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holas Song\Downloads\"/>
    </mc:Choice>
  </mc:AlternateContent>
  <xr:revisionPtr revIDLastSave="0" documentId="13_ncr:1_{4904A1B5-8C1F-4B9D-9DCA-369D11CEEB9B}" xr6:coauthVersionLast="47" xr6:coauthVersionMax="47" xr10:uidLastSave="{00000000-0000-0000-0000-000000000000}"/>
  <bookViews>
    <workbookView xWindow="15255" yWindow="0" windowWidth="26970" windowHeight="14820" tabRatio="708" xr2:uid="{26E7B7BE-8825-4F92-A6A5-9AC11E8CEE1E}"/>
  </bookViews>
  <sheets>
    <sheet name="Summary Sheets" sheetId="98" r:id="rId1"/>
    <sheet name="Base" sheetId="5" r:id="rId2"/>
    <sheet name="CAPEX" sheetId="18" r:id="rId3"/>
    <sheet name="P&amp;Ls" sheetId="9" r:id="rId4"/>
    <sheet name="Summary" sheetId="34" r:id="rId5"/>
    <sheet name="JV1" sheetId="84" r:id="rId6"/>
    <sheet name="JV2" sheetId="85" r:id="rId7"/>
    <sheet name="All" sheetId="26" r:id="rId8"/>
    <sheet name="JV1-Monthly" sheetId="99" r:id="rId9"/>
    <sheet name="JV2-Monthly" sheetId="100" r:id="rId10"/>
    <sheet name="Monthly" sheetId="78" r:id="rId11"/>
    <sheet name="Corp." sheetId="17" r:id="rId12"/>
    <sheet name="QTR" sheetId="96" r:id="rId13"/>
    <sheet name="Sites" sheetId="69" r:id="rId14"/>
    <sheet name="MS" sheetId="77" r:id="rId15"/>
    <sheet name="AAPL" sheetId="79" r:id="rId16"/>
    <sheet name="NF" sheetId="80" r:id="rId17"/>
    <sheet name="META" sheetId="81" r:id="rId18"/>
    <sheet name="MDA1" sheetId="22" r:id="rId19"/>
    <sheet name="MDB1" sheetId="27" r:id="rId20"/>
    <sheet name="MDA3" sheetId="13" r:id="rId21"/>
    <sheet name="MDB2" sheetId="88" r:id="rId22"/>
    <sheet name="GBA1" sheetId="23" r:id="rId23"/>
    <sheet name="GBB1" sheetId="29" r:id="rId24"/>
    <sheet name="AZB1" sheetId="24" r:id="rId25"/>
    <sheet name="NJA1" sheetId="19" r:id="rId26"/>
    <sheet name="NJA2" sheetId="30" r:id="rId27"/>
    <sheet name="NJA3" sheetId="33" r:id="rId28"/>
    <sheet name="NJB1" sheetId="32" r:id="rId29"/>
    <sheet name="NJA4" sheetId="31" r:id="rId30"/>
    <sheet name="NJB2" sheetId="25" r:id="rId31"/>
    <sheet name="NJA5" sheetId="50" r:id="rId32"/>
    <sheet name="NJB3" sheetId="35" r:id="rId33"/>
    <sheet name="NJA6" sheetId="51" r:id="rId34"/>
    <sheet name="NJA7" sheetId="52" r:id="rId35"/>
    <sheet name="NJB4" sheetId="37" r:id="rId36"/>
    <sheet name="NJ2601-C" sheetId="65" r:id="rId37"/>
    <sheet name="NJ2601-H" sheetId="66" r:id="rId38"/>
    <sheet name="NJ2602-C" sheetId="67" r:id="rId39"/>
    <sheet name="NJ2602-H" sheetId="68" r:id="rId40"/>
    <sheet name="NJ2701-C" sheetId="53" r:id="rId41"/>
    <sheet name="NJ2701-H" sheetId="38" r:id="rId42"/>
    <sheet name="NJ2702-C" sheetId="54" r:id="rId43"/>
    <sheet name="NJ2702-H" sheetId="39" r:id="rId44"/>
    <sheet name="NJ2703-C" sheetId="55" r:id="rId45"/>
    <sheet name="NJ2704-C" sheetId="56" r:id="rId46"/>
    <sheet name="NJ2704-H" sheetId="41" r:id="rId47"/>
    <sheet name="NJ2705-C" sheetId="57" r:id="rId48"/>
    <sheet name="NJ2801-C" sheetId="59" r:id="rId49"/>
    <sheet name="NJ2801-H" sheetId="44" r:id="rId50"/>
    <sheet name="NJ2802-C" sheetId="60" r:id="rId51"/>
    <sheet name="NJ2802-H" sheetId="45" r:id="rId52"/>
    <sheet name="NJ2803-C" sheetId="61" r:id="rId53"/>
    <sheet name="NJ2804-C" sheetId="62" r:id="rId54"/>
    <sheet name="NJ2805-C" sheetId="63" r:id="rId55"/>
    <sheet name="NJ2806-H" sheetId="49" r:id="rId56"/>
    <sheet name="MD2601-C" sheetId="70" r:id="rId57"/>
    <sheet name="MD2601-H" sheetId="91" r:id="rId58"/>
    <sheet name="MD2701-C" sheetId="71" r:id="rId59"/>
    <sheet name="MD2801-C" sheetId="72" r:id="rId60"/>
    <sheet name="NC2601-C" sheetId="74" r:id="rId61"/>
    <sheet name="NC-2026-02" sheetId="48" r:id="rId62"/>
    <sheet name="NC2701-C" sheetId="75" r:id="rId63"/>
    <sheet name="AZB2" sheetId="89" r:id="rId64"/>
    <sheet name="AZB3" sheetId="90" r:id="rId65"/>
    <sheet name="NCA9" sheetId="73" r:id="rId66"/>
  </sheets>
  <definedNames>
    <definedName name="_xlnm.Print_Area" localSheetId="0">'Summary Sheets'!$A$1:$BH$31</definedName>
    <definedName name="_xlnm.Print_Titles" localSheetId="7">All!$A:$D</definedName>
    <definedName name="_xlnm.Print_Titles" localSheetId="5">'JV1'!$A:$C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" i="26" l="1" a="1"/>
  <c r="E25" i="26" s="1"/>
  <c r="E20" i="34" a="1"/>
  <c r="E20" i="34" s="1"/>
  <c r="E25" i="99" a="1"/>
  <c r="E25" i="99" s="1"/>
  <c r="E25" i="100" a="1"/>
  <c r="E25" i="100" s="1"/>
  <c r="AN56" i="73" a="1"/>
  <c r="AN56" i="73" s="1"/>
  <c r="AM56" i="73" a="1"/>
  <c r="AM56" i="73" s="1"/>
  <c r="AL56" i="73" a="1"/>
  <c r="AL56" i="73" s="1"/>
  <c r="AK56" i="73" a="1"/>
  <c r="AK56" i="73" s="1"/>
  <c r="AJ56" i="73" a="1"/>
  <c r="AJ56" i="73" s="1"/>
  <c r="AI56" i="73" a="1"/>
  <c r="AI56" i="73" s="1"/>
  <c r="AH56" i="73" a="1"/>
  <c r="AH56" i="73" s="1"/>
  <c r="AG56" i="73" a="1"/>
  <c r="AG56" i="73" s="1"/>
  <c r="AF56" i="73" a="1"/>
  <c r="AF56" i="73" s="1"/>
  <c r="AE56" i="73" a="1"/>
  <c r="AE56" i="73" s="1"/>
  <c r="AD56" i="73" a="1"/>
  <c r="AD56" i="73" s="1"/>
  <c r="AC56" i="73" a="1"/>
  <c r="AC56" i="73" s="1"/>
  <c r="AB56" i="73" a="1"/>
  <c r="AB56" i="73" s="1"/>
  <c r="AA56" i="73" a="1"/>
  <c r="AA56" i="73" s="1"/>
  <c r="Z56" i="73" a="1"/>
  <c r="Z56" i="73" s="1"/>
  <c r="Y56" i="73" a="1"/>
  <c r="Y56" i="73" s="1"/>
  <c r="X56" i="73" a="1"/>
  <c r="X56" i="73" s="1"/>
  <c r="W56" i="73" a="1"/>
  <c r="W56" i="73" s="1"/>
  <c r="V56" i="73" a="1"/>
  <c r="V56" i="73" s="1"/>
  <c r="U56" i="73" a="1"/>
  <c r="U56" i="73" s="1"/>
  <c r="T56" i="73" a="1"/>
  <c r="T56" i="73" s="1"/>
  <c r="S56" i="73" a="1"/>
  <c r="S56" i="73" s="1"/>
  <c r="R56" i="73" a="1"/>
  <c r="R56" i="73" s="1"/>
  <c r="Q56" i="73" a="1"/>
  <c r="Q56" i="73" s="1"/>
  <c r="P56" i="73" a="1"/>
  <c r="P56" i="73" s="1"/>
  <c r="O56" i="73" a="1"/>
  <c r="O56" i="73" s="1"/>
  <c r="N56" i="73" a="1"/>
  <c r="N56" i="73" s="1"/>
  <c r="M56" i="73" a="1"/>
  <c r="M56" i="73" s="1"/>
  <c r="L56" i="73" a="1"/>
  <c r="L56" i="73" s="1"/>
  <c r="K56" i="73" a="1"/>
  <c r="K56" i="73" s="1"/>
  <c r="J56" i="73" a="1"/>
  <c r="J56" i="73" s="1"/>
  <c r="I56" i="73" a="1"/>
  <c r="I56" i="73" s="1"/>
  <c r="H56" i="73" a="1"/>
  <c r="H56" i="73" s="1"/>
  <c r="G56" i="73" a="1"/>
  <c r="G56" i="73" s="1"/>
  <c r="F56" i="73" a="1"/>
  <c r="F56" i="73" s="1"/>
  <c r="E56" i="73" a="1"/>
  <c r="E56" i="73" s="1"/>
  <c r="AN56" i="13" a="1"/>
  <c r="AN56" i="13" s="1"/>
  <c r="AM56" i="13" a="1"/>
  <c r="AM56" i="13" s="1"/>
  <c r="AL56" i="13" a="1"/>
  <c r="AL56" i="13" s="1"/>
  <c r="AK56" i="13" a="1"/>
  <c r="AK56" i="13" s="1"/>
  <c r="AJ56" i="13" a="1"/>
  <c r="AJ56" i="13" s="1"/>
  <c r="AI56" i="13" a="1"/>
  <c r="AI56" i="13" s="1"/>
  <c r="AH56" i="13" a="1"/>
  <c r="AH56" i="13" s="1"/>
  <c r="AG56" i="13" a="1"/>
  <c r="AG56" i="13" s="1"/>
  <c r="AF56" i="13" a="1"/>
  <c r="AF56" i="13" s="1"/>
  <c r="AE56" i="13" a="1"/>
  <c r="AE56" i="13" s="1"/>
  <c r="AD56" i="13" a="1"/>
  <c r="AD56" i="13" s="1"/>
  <c r="AC56" i="13" a="1"/>
  <c r="AC56" i="13" s="1"/>
  <c r="AB56" i="13" a="1"/>
  <c r="AB56" i="13" s="1"/>
  <c r="AA56" i="13" a="1"/>
  <c r="AA56" i="13" s="1"/>
  <c r="Z56" i="13" a="1"/>
  <c r="Z56" i="13" s="1"/>
  <c r="Y56" i="13" a="1"/>
  <c r="Y56" i="13" s="1"/>
  <c r="X56" i="13" a="1"/>
  <c r="X56" i="13" s="1"/>
  <c r="W56" i="13" a="1"/>
  <c r="W56" i="13" s="1"/>
  <c r="V56" i="13" a="1"/>
  <c r="V56" i="13" s="1"/>
  <c r="U56" i="13" a="1"/>
  <c r="U56" i="13" s="1"/>
  <c r="T56" i="13" a="1"/>
  <c r="T56" i="13" s="1"/>
  <c r="S56" i="13" a="1"/>
  <c r="S56" i="13" s="1"/>
  <c r="R56" i="13" a="1"/>
  <c r="R56" i="13" s="1"/>
  <c r="Q56" i="13" a="1"/>
  <c r="Q56" i="13" s="1"/>
  <c r="P56" i="13" a="1"/>
  <c r="P56" i="13" s="1"/>
  <c r="O56" i="13" a="1"/>
  <c r="O56" i="13" s="1"/>
  <c r="N56" i="13" a="1"/>
  <c r="N56" i="13" s="1"/>
  <c r="M56" i="13" a="1"/>
  <c r="M56" i="13" s="1"/>
  <c r="L56" i="13" a="1"/>
  <c r="L56" i="13" s="1"/>
  <c r="K56" i="13" a="1"/>
  <c r="K56" i="13" s="1"/>
  <c r="J56" i="13" a="1"/>
  <c r="J56" i="13" s="1"/>
  <c r="I56" i="13" a="1"/>
  <c r="I56" i="13" s="1"/>
  <c r="H56" i="13" a="1"/>
  <c r="H56" i="13" s="1"/>
  <c r="G56" i="13" a="1"/>
  <c r="G56" i="13" s="1"/>
  <c r="F56" i="13" a="1"/>
  <c r="F56" i="13" s="1"/>
  <c r="E56" i="13" a="1"/>
  <c r="E56" i="13" s="1"/>
  <c r="AN56" i="88" a="1"/>
  <c r="AN56" i="88" s="1"/>
  <c r="AM56" i="88" a="1"/>
  <c r="AM56" i="88" s="1"/>
  <c r="AL56" i="88" a="1"/>
  <c r="AL56" i="88" s="1"/>
  <c r="AK56" i="88" a="1"/>
  <c r="AK56" i="88" s="1"/>
  <c r="AJ56" i="88" a="1"/>
  <c r="AJ56" i="88" s="1"/>
  <c r="AI56" i="88" a="1"/>
  <c r="AI56" i="88" s="1"/>
  <c r="AH56" i="88" a="1"/>
  <c r="AH56" i="88" s="1"/>
  <c r="AG56" i="88" a="1"/>
  <c r="AG56" i="88" s="1"/>
  <c r="AF56" i="88" a="1"/>
  <c r="AF56" i="88" s="1"/>
  <c r="AE56" i="88" a="1"/>
  <c r="AE56" i="88" s="1"/>
  <c r="AD56" i="88" a="1"/>
  <c r="AD56" i="88" s="1"/>
  <c r="AC56" i="88" a="1"/>
  <c r="AC56" i="88" s="1"/>
  <c r="AB56" i="88" a="1"/>
  <c r="AB56" i="88" s="1"/>
  <c r="AA56" i="88" a="1"/>
  <c r="AA56" i="88" s="1"/>
  <c r="Z56" i="88" a="1"/>
  <c r="Z56" i="88" s="1"/>
  <c r="Y56" i="88" a="1"/>
  <c r="Y56" i="88" s="1"/>
  <c r="X56" i="88" a="1"/>
  <c r="X56" i="88" s="1"/>
  <c r="W56" i="88" a="1"/>
  <c r="W56" i="88" s="1"/>
  <c r="V56" i="88" a="1"/>
  <c r="V56" i="88" s="1"/>
  <c r="U56" i="88" a="1"/>
  <c r="U56" i="88" s="1"/>
  <c r="T56" i="88" a="1"/>
  <c r="T56" i="88" s="1"/>
  <c r="S56" i="88" a="1"/>
  <c r="S56" i="88" s="1"/>
  <c r="R56" i="88" a="1"/>
  <c r="R56" i="88" s="1"/>
  <c r="Q56" i="88" a="1"/>
  <c r="Q56" i="88" s="1"/>
  <c r="P56" i="88" a="1"/>
  <c r="P56" i="88" s="1"/>
  <c r="O56" i="88" a="1"/>
  <c r="O56" i="88" s="1"/>
  <c r="N56" i="88" a="1"/>
  <c r="N56" i="88" s="1"/>
  <c r="M56" i="88" a="1"/>
  <c r="M56" i="88" s="1"/>
  <c r="L56" i="88" a="1"/>
  <c r="L56" i="88" s="1"/>
  <c r="K56" i="88" a="1"/>
  <c r="K56" i="88" s="1"/>
  <c r="J56" i="88" a="1"/>
  <c r="J56" i="88" s="1"/>
  <c r="I56" i="88" a="1"/>
  <c r="I56" i="88" s="1"/>
  <c r="H56" i="88" a="1"/>
  <c r="H56" i="88" s="1"/>
  <c r="G56" i="88" a="1"/>
  <c r="G56" i="88" s="1"/>
  <c r="F56" i="88" a="1"/>
  <c r="F56" i="88" s="1"/>
  <c r="E56" i="88" a="1"/>
  <c r="E56" i="88" s="1"/>
  <c r="AN56" i="23" a="1"/>
  <c r="AN56" i="23" s="1"/>
  <c r="AM56" i="23" a="1"/>
  <c r="AM56" i="23" s="1"/>
  <c r="AL56" i="23" a="1"/>
  <c r="AL56" i="23" s="1"/>
  <c r="AK56" i="23" a="1"/>
  <c r="AK56" i="23" s="1"/>
  <c r="AJ56" i="23" a="1"/>
  <c r="AJ56" i="23" s="1"/>
  <c r="AI56" i="23" a="1"/>
  <c r="AI56" i="23" s="1"/>
  <c r="AH56" i="23" a="1"/>
  <c r="AH56" i="23" s="1"/>
  <c r="AG56" i="23" a="1"/>
  <c r="AG56" i="23" s="1"/>
  <c r="AF56" i="23" a="1"/>
  <c r="AF56" i="23" s="1"/>
  <c r="AE56" i="23" a="1"/>
  <c r="AE56" i="23" s="1"/>
  <c r="AD56" i="23" a="1"/>
  <c r="AD56" i="23" s="1"/>
  <c r="AC56" i="23" a="1"/>
  <c r="AC56" i="23" s="1"/>
  <c r="AB56" i="23" a="1"/>
  <c r="AB56" i="23" s="1"/>
  <c r="AA56" i="23" a="1"/>
  <c r="AA56" i="23" s="1"/>
  <c r="Z56" i="23" a="1"/>
  <c r="Z56" i="23" s="1"/>
  <c r="Y56" i="23" a="1"/>
  <c r="Y56" i="23" s="1"/>
  <c r="X56" i="23" a="1"/>
  <c r="X56" i="23" s="1"/>
  <c r="W56" i="23" a="1"/>
  <c r="W56" i="23" s="1"/>
  <c r="V56" i="23" a="1"/>
  <c r="V56" i="23" s="1"/>
  <c r="U56" i="23" a="1"/>
  <c r="U56" i="23" s="1"/>
  <c r="T56" i="23" a="1"/>
  <c r="T56" i="23" s="1"/>
  <c r="S56" i="23" a="1"/>
  <c r="S56" i="23" s="1"/>
  <c r="R56" i="23" a="1"/>
  <c r="R56" i="23" s="1"/>
  <c r="Q56" i="23" a="1"/>
  <c r="Q56" i="23" s="1"/>
  <c r="P56" i="23" a="1"/>
  <c r="P56" i="23" s="1"/>
  <c r="O56" i="23" a="1"/>
  <c r="O56" i="23" s="1"/>
  <c r="N56" i="23" a="1"/>
  <c r="N56" i="23" s="1"/>
  <c r="M56" i="23" a="1"/>
  <c r="M56" i="23" s="1"/>
  <c r="L56" i="23" a="1"/>
  <c r="L56" i="23" s="1"/>
  <c r="K56" i="23" a="1"/>
  <c r="K56" i="23" s="1"/>
  <c r="J56" i="23" a="1"/>
  <c r="J56" i="23" s="1"/>
  <c r="I56" i="23" a="1"/>
  <c r="I56" i="23" s="1"/>
  <c r="H56" i="23" a="1"/>
  <c r="H56" i="23" s="1"/>
  <c r="G56" i="23" a="1"/>
  <c r="G56" i="23" s="1"/>
  <c r="F56" i="23" a="1"/>
  <c r="F56" i="23" s="1"/>
  <c r="E56" i="23" a="1"/>
  <c r="E56" i="23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Y56" i="29" a="1"/>
  <c r="Y56" i="29" s="1"/>
  <c r="X56" i="29" a="1"/>
  <c r="X56" i="29" s="1"/>
  <c r="W56" i="29" a="1"/>
  <c r="W56" i="29" s="1"/>
  <c r="V56" i="29" a="1"/>
  <c r="V56" i="29" s="1"/>
  <c r="U56" i="29" a="1"/>
  <c r="U56" i="29" s="1"/>
  <c r="T56" i="29" a="1"/>
  <c r="T56" i="29" s="1"/>
  <c r="S56" i="29" a="1"/>
  <c r="S56" i="29" s="1"/>
  <c r="R56" i="29" a="1"/>
  <c r="R56" i="29" s="1"/>
  <c r="Q56" i="29" a="1"/>
  <c r="Q56" i="29" s="1"/>
  <c r="P56" i="29" a="1"/>
  <c r="P56" i="29" s="1"/>
  <c r="O56" i="29" a="1"/>
  <c r="O56" i="29" s="1"/>
  <c r="N56" i="29" a="1"/>
  <c r="N56" i="29" s="1"/>
  <c r="M56" i="29" a="1"/>
  <c r="M56" i="29" s="1"/>
  <c r="L56" i="29" a="1"/>
  <c r="L56" i="29" s="1"/>
  <c r="K56" i="29" a="1"/>
  <c r="K56" i="29" s="1"/>
  <c r="J56" i="29" a="1"/>
  <c r="J56" i="29" s="1"/>
  <c r="I56" i="29" a="1"/>
  <c r="I56" i="29" s="1"/>
  <c r="H56" i="29" a="1"/>
  <c r="H56" i="29" s="1"/>
  <c r="G56" i="29" a="1"/>
  <c r="G56" i="29" s="1"/>
  <c r="F56" i="29" a="1"/>
  <c r="F56" i="29" s="1"/>
  <c r="E56" i="29" a="1"/>
  <c r="E56" i="29" s="1"/>
  <c r="AN56" i="24" a="1"/>
  <c r="AN56" i="24" s="1"/>
  <c r="AM56" i="24" a="1"/>
  <c r="AM56" i="24" s="1"/>
  <c r="AL56" i="24" a="1"/>
  <c r="AL56" i="24" s="1"/>
  <c r="AK56" i="24" a="1"/>
  <c r="AK56" i="24" s="1"/>
  <c r="AJ56" i="24" a="1"/>
  <c r="AJ56" i="24" s="1"/>
  <c r="AI56" i="24" a="1"/>
  <c r="AI56" i="24" s="1"/>
  <c r="AH56" i="24" a="1"/>
  <c r="AH56" i="24" s="1"/>
  <c r="AG56" i="24" a="1"/>
  <c r="AG56" i="24" s="1"/>
  <c r="AF56" i="24" a="1"/>
  <c r="AF56" i="24" s="1"/>
  <c r="AE56" i="24" a="1"/>
  <c r="AE56" i="24" s="1"/>
  <c r="AD56" i="24" a="1"/>
  <c r="AD56" i="24" s="1"/>
  <c r="AC56" i="24" a="1"/>
  <c r="AC56" i="24" s="1"/>
  <c r="AB56" i="24" a="1"/>
  <c r="AB56" i="24" s="1"/>
  <c r="AA56" i="24" a="1"/>
  <c r="AA56" i="24" s="1"/>
  <c r="Z56" i="24" a="1"/>
  <c r="Z56" i="24" s="1"/>
  <c r="Y56" i="24" a="1"/>
  <c r="Y56" i="24" s="1"/>
  <c r="X56" i="24" a="1"/>
  <c r="X56" i="24" s="1"/>
  <c r="W56" i="24" a="1"/>
  <c r="W56" i="24" s="1"/>
  <c r="V56" i="24" a="1"/>
  <c r="V56" i="24" s="1"/>
  <c r="U56" i="24" a="1"/>
  <c r="U56" i="24" s="1"/>
  <c r="T56" i="24" a="1"/>
  <c r="T56" i="24" s="1"/>
  <c r="S56" i="24" a="1"/>
  <c r="S56" i="24" s="1"/>
  <c r="R56" i="24" a="1"/>
  <c r="R56" i="24" s="1"/>
  <c r="Q56" i="24" a="1"/>
  <c r="Q56" i="24" s="1"/>
  <c r="P56" i="24" a="1"/>
  <c r="P56" i="24" s="1"/>
  <c r="O56" i="24" a="1"/>
  <c r="O56" i="24" s="1"/>
  <c r="N56" i="24" a="1"/>
  <c r="N56" i="24" s="1"/>
  <c r="M56" i="24" a="1"/>
  <c r="M56" i="24" s="1"/>
  <c r="L56" i="24" a="1"/>
  <c r="L56" i="24" s="1"/>
  <c r="K56" i="24" a="1"/>
  <c r="K56" i="24" s="1"/>
  <c r="J56" i="24" a="1"/>
  <c r="J56" i="24" s="1"/>
  <c r="I56" i="24" a="1"/>
  <c r="I56" i="24" s="1"/>
  <c r="H56" i="24" a="1"/>
  <c r="H56" i="24" s="1"/>
  <c r="G56" i="24" a="1"/>
  <c r="G56" i="24" s="1"/>
  <c r="F56" i="24" a="1"/>
  <c r="F56" i="24" s="1"/>
  <c r="E56" i="24" a="1"/>
  <c r="E56" i="24" s="1"/>
  <c r="AN56" i="19" a="1"/>
  <c r="AN56" i="19" s="1"/>
  <c r="AM56" i="19" a="1"/>
  <c r="AM56" i="19" s="1"/>
  <c r="AL56" i="19" a="1"/>
  <c r="AL56" i="19" s="1"/>
  <c r="AK56" i="19" a="1"/>
  <c r="AK56" i="19" s="1"/>
  <c r="AJ56" i="19" a="1"/>
  <c r="AJ56" i="19" s="1"/>
  <c r="AI56" i="19" a="1"/>
  <c r="AI56" i="19" s="1"/>
  <c r="AH56" i="19" a="1"/>
  <c r="AH56" i="19" s="1"/>
  <c r="AG56" i="19" a="1"/>
  <c r="AG56" i="19" s="1"/>
  <c r="AF56" i="19" a="1"/>
  <c r="AF56" i="19" s="1"/>
  <c r="AE56" i="19" a="1"/>
  <c r="AE56" i="19" s="1"/>
  <c r="AD56" i="19" a="1"/>
  <c r="AD56" i="19" s="1"/>
  <c r="AC56" i="19" a="1"/>
  <c r="AC56" i="19" s="1"/>
  <c r="AB56" i="19" a="1"/>
  <c r="AB56" i="19" s="1"/>
  <c r="AA56" i="19" a="1"/>
  <c r="AA56" i="19" s="1"/>
  <c r="Z56" i="19" a="1"/>
  <c r="Z56" i="19" s="1"/>
  <c r="Y56" i="19" a="1"/>
  <c r="Y56" i="19" s="1"/>
  <c r="X56" i="19" a="1"/>
  <c r="X56" i="19" s="1"/>
  <c r="W56" i="19" a="1"/>
  <c r="W56" i="19" s="1"/>
  <c r="V56" i="19" a="1"/>
  <c r="V56" i="19" s="1"/>
  <c r="U56" i="19" a="1"/>
  <c r="U56" i="19" s="1"/>
  <c r="T56" i="19" a="1"/>
  <c r="T56" i="19" s="1"/>
  <c r="S56" i="19" a="1"/>
  <c r="S56" i="19" s="1"/>
  <c r="R56" i="19" a="1"/>
  <c r="R56" i="19" s="1"/>
  <c r="Q56" i="19" a="1"/>
  <c r="Q56" i="19" s="1"/>
  <c r="P56" i="19" a="1"/>
  <c r="P56" i="19" s="1"/>
  <c r="O56" i="19" a="1"/>
  <c r="O56" i="19" s="1"/>
  <c r="N56" i="19" a="1"/>
  <c r="N56" i="19" s="1"/>
  <c r="M56" i="19" a="1"/>
  <c r="M56" i="19" s="1"/>
  <c r="L56" i="19" a="1"/>
  <c r="L56" i="19" s="1"/>
  <c r="K56" i="19" a="1"/>
  <c r="K56" i="19" s="1"/>
  <c r="J56" i="19" a="1"/>
  <c r="J56" i="19" s="1"/>
  <c r="I56" i="19" a="1"/>
  <c r="I56" i="19" s="1"/>
  <c r="H56" i="19" a="1"/>
  <c r="H56" i="19" s="1"/>
  <c r="G56" i="19" a="1"/>
  <c r="G56" i="19" s="1"/>
  <c r="F56" i="19" a="1"/>
  <c r="F56" i="19" s="1"/>
  <c r="E56" i="19" a="1"/>
  <c r="E56" i="19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Y56" i="30" a="1"/>
  <c r="Y56" i="30" s="1"/>
  <c r="X56" i="30" a="1"/>
  <c r="X56" i="30" s="1"/>
  <c r="W56" i="30" a="1"/>
  <c r="W56" i="30" s="1"/>
  <c r="V56" i="30" a="1"/>
  <c r="V56" i="30" s="1"/>
  <c r="U56" i="30" a="1"/>
  <c r="U56" i="30" s="1"/>
  <c r="T56" i="30" a="1"/>
  <c r="T56" i="30" s="1"/>
  <c r="S56" i="30" a="1"/>
  <c r="S56" i="30" s="1"/>
  <c r="R56" i="30" a="1"/>
  <c r="R56" i="30" s="1"/>
  <c r="Q56" i="30" a="1"/>
  <c r="Q56" i="30" s="1"/>
  <c r="P56" i="30" a="1"/>
  <c r="P56" i="30" s="1"/>
  <c r="O56" i="30" a="1"/>
  <c r="O56" i="30" s="1"/>
  <c r="N56" i="30" a="1"/>
  <c r="N56" i="30" s="1"/>
  <c r="M56" i="30" a="1"/>
  <c r="M56" i="30" s="1"/>
  <c r="L56" i="30" a="1"/>
  <c r="L56" i="30" s="1"/>
  <c r="K56" i="30" a="1"/>
  <c r="K56" i="30" s="1"/>
  <c r="J56" i="30" a="1"/>
  <c r="J56" i="30" s="1"/>
  <c r="I56" i="30" a="1"/>
  <c r="I56" i="30" s="1"/>
  <c r="H56" i="30" a="1"/>
  <c r="H56" i="30" s="1"/>
  <c r="G56" i="30" a="1"/>
  <c r="G56" i="30" s="1"/>
  <c r="F56" i="30" a="1"/>
  <c r="F56" i="30" s="1"/>
  <c r="E56" i="30" a="1"/>
  <c r="E56" i="30" s="1"/>
  <c r="AN56" i="33" a="1"/>
  <c r="AN56" i="33" s="1"/>
  <c r="AM56" i="33" a="1"/>
  <c r="AM56" i="33" s="1"/>
  <c r="AL56" i="33" a="1"/>
  <c r="AL56" i="33" s="1"/>
  <c r="AK56" i="33" a="1"/>
  <c r="AK56" i="33" s="1"/>
  <c r="AJ56" i="33" a="1"/>
  <c r="AJ56" i="33" s="1"/>
  <c r="AI56" i="33" a="1"/>
  <c r="AI56" i="33" s="1"/>
  <c r="AH56" i="33" a="1"/>
  <c r="AH56" i="33" s="1"/>
  <c r="AG56" i="33" a="1"/>
  <c r="AG56" i="33" s="1"/>
  <c r="AF56" i="33" a="1"/>
  <c r="AF56" i="33" s="1"/>
  <c r="AE56" i="33" a="1"/>
  <c r="AE56" i="33" s="1"/>
  <c r="AD56" i="33" a="1"/>
  <c r="AD56" i="33" s="1"/>
  <c r="AC56" i="33" a="1"/>
  <c r="AC56" i="33" s="1"/>
  <c r="AB56" i="33" a="1"/>
  <c r="AB56" i="33" s="1"/>
  <c r="AA56" i="33" a="1"/>
  <c r="AA56" i="33" s="1"/>
  <c r="Z56" i="33" a="1"/>
  <c r="Z56" i="33" s="1"/>
  <c r="Y56" i="33" a="1"/>
  <c r="Y56" i="33" s="1"/>
  <c r="X56" i="33" a="1"/>
  <c r="X56" i="33" s="1"/>
  <c r="W56" i="33" a="1"/>
  <c r="W56" i="33" s="1"/>
  <c r="V56" i="33" a="1"/>
  <c r="V56" i="33" s="1"/>
  <c r="U56" i="33" a="1"/>
  <c r="U56" i="33" s="1"/>
  <c r="T56" i="33" a="1"/>
  <c r="T56" i="33" s="1"/>
  <c r="S56" i="33" a="1"/>
  <c r="S56" i="33" s="1"/>
  <c r="R56" i="33" a="1"/>
  <c r="R56" i="33" s="1"/>
  <c r="Q56" i="33" a="1"/>
  <c r="Q56" i="33" s="1"/>
  <c r="P56" i="33" a="1"/>
  <c r="P56" i="33" s="1"/>
  <c r="O56" i="33" a="1"/>
  <c r="O56" i="33" s="1"/>
  <c r="N56" i="33" a="1"/>
  <c r="N56" i="33" s="1"/>
  <c r="M56" i="33" a="1"/>
  <c r="M56" i="33" s="1"/>
  <c r="L56" i="33" a="1"/>
  <c r="L56" i="33" s="1"/>
  <c r="K56" i="33" a="1"/>
  <c r="K56" i="33" s="1"/>
  <c r="J56" i="33" a="1"/>
  <c r="J56" i="33" s="1"/>
  <c r="I56" i="33" a="1"/>
  <c r="I56" i="33" s="1"/>
  <c r="H56" i="33" a="1"/>
  <c r="H56" i="33" s="1"/>
  <c r="G56" i="33" a="1"/>
  <c r="G56" i="33" s="1"/>
  <c r="F56" i="33" a="1"/>
  <c r="F56" i="33" s="1"/>
  <c r="E56" i="33" a="1"/>
  <c r="E56" i="33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Y56" i="32" a="1"/>
  <c r="Y56" i="32" s="1"/>
  <c r="X56" i="32" a="1"/>
  <c r="X56" i="32" s="1"/>
  <c r="W56" i="32" a="1"/>
  <c r="W56" i="32" s="1"/>
  <c r="V56" i="32" a="1"/>
  <c r="V56" i="32" s="1"/>
  <c r="U56" i="32" a="1"/>
  <c r="U56" i="32" s="1"/>
  <c r="T56" i="32" a="1"/>
  <c r="T56" i="32" s="1"/>
  <c r="S56" i="32" a="1"/>
  <c r="S56" i="32" s="1"/>
  <c r="R56" i="32" a="1"/>
  <c r="R56" i="32" s="1"/>
  <c r="Q56" i="32" a="1"/>
  <c r="Q56" i="32" s="1"/>
  <c r="P56" i="32" a="1"/>
  <c r="P56" i="32" s="1"/>
  <c r="O56" i="32" a="1"/>
  <c r="O56" i="32" s="1"/>
  <c r="N56" i="32" a="1"/>
  <c r="N56" i="32" s="1"/>
  <c r="M56" i="32" a="1"/>
  <c r="M56" i="32" s="1"/>
  <c r="L56" i="32" a="1"/>
  <c r="L56" i="32" s="1"/>
  <c r="K56" i="32" a="1"/>
  <c r="K56" i="32" s="1"/>
  <c r="J56" i="32" a="1"/>
  <c r="J56" i="32" s="1"/>
  <c r="I56" i="32" a="1"/>
  <c r="I56" i="32" s="1"/>
  <c r="H56" i="32" a="1"/>
  <c r="H56" i="32" s="1"/>
  <c r="G56" i="32" a="1"/>
  <c r="G56" i="32" s="1"/>
  <c r="F56" i="32" a="1"/>
  <c r="F56" i="32" s="1"/>
  <c r="E56" i="32" a="1"/>
  <c r="E56" i="32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Y56" i="31" a="1"/>
  <c r="Y56" i="31" s="1"/>
  <c r="X56" i="31" a="1"/>
  <c r="X56" i="31" s="1"/>
  <c r="W56" i="31" a="1"/>
  <c r="W56" i="31" s="1"/>
  <c r="V56" i="31" a="1"/>
  <c r="V56" i="31" s="1"/>
  <c r="U56" i="31" a="1"/>
  <c r="U56" i="31" s="1"/>
  <c r="T56" i="31" a="1"/>
  <c r="T56" i="31" s="1"/>
  <c r="S56" i="31" a="1"/>
  <c r="S56" i="31" s="1"/>
  <c r="R56" i="31" a="1"/>
  <c r="R56" i="31" s="1"/>
  <c r="Q56" i="31" a="1"/>
  <c r="Q56" i="31" s="1"/>
  <c r="P56" i="31" a="1"/>
  <c r="P56" i="31" s="1"/>
  <c r="O56" i="31" a="1"/>
  <c r="O56" i="31" s="1"/>
  <c r="N56" i="31" a="1"/>
  <c r="N56" i="31" s="1"/>
  <c r="M56" i="31" a="1"/>
  <c r="M56" i="31" s="1"/>
  <c r="L56" i="31" a="1"/>
  <c r="L56" i="31" s="1"/>
  <c r="K56" i="31" a="1"/>
  <c r="K56" i="31" s="1"/>
  <c r="J56" i="31" a="1"/>
  <c r="J56" i="31" s="1"/>
  <c r="I56" i="31" a="1"/>
  <c r="I56" i="31" s="1"/>
  <c r="H56" i="31" a="1"/>
  <c r="H56" i="31" s="1"/>
  <c r="G56" i="31" a="1"/>
  <c r="G56" i="31" s="1"/>
  <c r="F56" i="31" a="1"/>
  <c r="F56" i="31" s="1"/>
  <c r="E56" i="31" a="1"/>
  <c r="E56" i="31" s="1"/>
  <c r="AN56" i="25" a="1"/>
  <c r="AN56" i="25" s="1"/>
  <c r="AM56" i="25" a="1"/>
  <c r="AM56" i="25" s="1"/>
  <c r="AL56" i="25" a="1"/>
  <c r="AL56" i="25" s="1"/>
  <c r="AK56" i="25" a="1"/>
  <c r="AK56" i="25" s="1"/>
  <c r="AJ56" i="25" a="1"/>
  <c r="AJ56" i="25" s="1"/>
  <c r="AI56" i="25"/>
  <c r="AI56" i="25" a="1"/>
  <c r="AH56" i="25" a="1"/>
  <c r="AH56" i="25" s="1"/>
  <c r="AG56" i="25" a="1"/>
  <c r="AG56" i="25" s="1"/>
  <c r="AF56" i="25" a="1"/>
  <c r="AF56" i="25" s="1"/>
  <c r="AE56" i="25" a="1"/>
  <c r="AE56" i="25" s="1"/>
  <c r="AD56" i="25" a="1"/>
  <c r="AD56" i="25" s="1"/>
  <c r="AC56" i="25" a="1"/>
  <c r="AC56" i="25" s="1"/>
  <c r="AB56" i="25" a="1"/>
  <c r="AB56" i="25" s="1"/>
  <c r="AA56" i="25" a="1"/>
  <c r="AA56" i="25" s="1"/>
  <c r="Z56" i="25" a="1"/>
  <c r="Z56" i="25" s="1"/>
  <c r="Y56" i="25" a="1"/>
  <c r="Y56" i="25" s="1"/>
  <c r="X56" i="25" a="1"/>
  <c r="X56" i="25" s="1"/>
  <c r="W56" i="25" a="1"/>
  <c r="W56" i="25" s="1"/>
  <c r="V56" i="25" a="1"/>
  <c r="V56" i="25" s="1"/>
  <c r="U56" i="25" a="1"/>
  <c r="U56" i="25" s="1"/>
  <c r="T56" i="25" a="1"/>
  <c r="T56" i="25" s="1"/>
  <c r="S56" i="25" a="1"/>
  <c r="S56" i="25" s="1"/>
  <c r="R56" i="25" a="1"/>
  <c r="R56" i="25" s="1"/>
  <c r="Q56" i="25" a="1"/>
  <c r="Q56" i="25" s="1"/>
  <c r="P56" i="25" a="1"/>
  <c r="P56" i="25" s="1"/>
  <c r="O56" i="25" a="1"/>
  <c r="O56" i="25" s="1"/>
  <c r="N56" i="25" a="1"/>
  <c r="N56" i="25" s="1"/>
  <c r="M56" i="25" a="1"/>
  <c r="M56" i="25" s="1"/>
  <c r="L56" i="25" a="1"/>
  <c r="L56" i="25" s="1"/>
  <c r="K56" i="25" a="1"/>
  <c r="K56" i="25" s="1"/>
  <c r="J56" i="25" a="1"/>
  <c r="J56" i="25" s="1"/>
  <c r="I56" i="25" a="1"/>
  <c r="I56" i="25" s="1"/>
  <c r="H56" i="25" a="1"/>
  <c r="H56" i="25" s="1"/>
  <c r="G56" i="25" a="1"/>
  <c r="G56" i="25" s="1"/>
  <c r="F56" i="25" a="1"/>
  <c r="F56" i="25" s="1"/>
  <c r="E56" i="25" a="1"/>
  <c r="E56" i="25" s="1"/>
  <c r="AN56" i="50" a="1"/>
  <c r="AN56" i="50" s="1"/>
  <c r="AM56" i="50" a="1"/>
  <c r="AM56" i="50" s="1"/>
  <c r="AL56" i="50" a="1"/>
  <c r="AL56" i="50" s="1"/>
  <c r="AK56" i="50" a="1"/>
  <c r="AK56" i="50" s="1"/>
  <c r="AJ56" i="50" a="1"/>
  <c r="AJ56" i="50" s="1"/>
  <c r="AI56" i="50" a="1"/>
  <c r="AI56" i="50" s="1"/>
  <c r="AH56" i="50" a="1"/>
  <c r="AH56" i="50" s="1"/>
  <c r="AG56" i="50" a="1"/>
  <c r="AG56" i="50" s="1"/>
  <c r="AF56" i="50" a="1"/>
  <c r="AF56" i="50" s="1"/>
  <c r="AE56" i="50" a="1"/>
  <c r="AE56" i="50" s="1"/>
  <c r="AD56" i="50" a="1"/>
  <c r="AD56" i="50" s="1"/>
  <c r="AC56" i="50" a="1"/>
  <c r="AC56" i="50" s="1"/>
  <c r="AB56" i="50" a="1"/>
  <c r="AB56" i="50" s="1"/>
  <c r="AA56" i="50" a="1"/>
  <c r="AA56" i="50" s="1"/>
  <c r="Z56" i="50" a="1"/>
  <c r="Z56" i="50" s="1"/>
  <c r="Y56" i="50" a="1"/>
  <c r="Y56" i="50" s="1"/>
  <c r="X56" i="50" a="1"/>
  <c r="X56" i="50" s="1"/>
  <c r="W56" i="50" a="1"/>
  <c r="W56" i="50" s="1"/>
  <c r="V56" i="50" a="1"/>
  <c r="V56" i="50" s="1"/>
  <c r="U56" i="50" a="1"/>
  <c r="U56" i="50" s="1"/>
  <c r="T56" i="50" a="1"/>
  <c r="T56" i="50" s="1"/>
  <c r="S56" i="50" a="1"/>
  <c r="S56" i="50" s="1"/>
  <c r="R56" i="50" a="1"/>
  <c r="R56" i="50" s="1"/>
  <c r="Q56" i="50" a="1"/>
  <c r="Q56" i="50" s="1"/>
  <c r="P56" i="50" a="1"/>
  <c r="P56" i="50" s="1"/>
  <c r="O56" i="50" a="1"/>
  <c r="O56" i="50" s="1"/>
  <c r="N56" i="50" a="1"/>
  <c r="N56" i="50" s="1"/>
  <c r="M56" i="50" a="1"/>
  <c r="M56" i="50" s="1"/>
  <c r="L56" i="50" a="1"/>
  <c r="L56" i="50" s="1"/>
  <c r="K56" i="50" a="1"/>
  <c r="K56" i="50" s="1"/>
  <c r="J56" i="50" a="1"/>
  <c r="J56" i="50" s="1"/>
  <c r="I56" i="50" a="1"/>
  <c r="I56" i="50" s="1"/>
  <c r="H56" i="50" a="1"/>
  <c r="H56" i="50" s="1"/>
  <c r="G56" i="50" a="1"/>
  <c r="G56" i="50" s="1"/>
  <c r="F56" i="50" a="1"/>
  <c r="F56" i="50" s="1"/>
  <c r="E56" i="50" a="1"/>
  <c r="E56" i="50" s="1"/>
  <c r="AN56" i="35" a="1"/>
  <c r="AN56" i="35" s="1"/>
  <c r="AM56" i="35" a="1"/>
  <c r="AM56" i="35" s="1"/>
  <c r="AL56" i="35" a="1"/>
  <c r="AL56" i="35" s="1"/>
  <c r="AK56" i="35" a="1"/>
  <c r="AK56" i="35" s="1"/>
  <c r="AJ56" i="35" a="1"/>
  <c r="AJ56" i="35" s="1"/>
  <c r="AI56" i="35" a="1"/>
  <c r="AI56" i="35" s="1"/>
  <c r="AH56" i="35" a="1"/>
  <c r="AH56" i="35" s="1"/>
  <c r="AG56" i="35" a="1"/>
  <c r="AG56" i="35" s="1"/>
  <c r="AF56" i="35" a="1"/>
  <c r="AF56" i="35" s="1"/>
  <c r="AE56" i="35" a="1"/>
  <c r="AE56" i="35" s="1"/>
  <c r="AD56" i="35" a="1"/>
  <c r="AD56" i="35" s="1"/>
  <c r="AC56" i="35" a="1"/>
  <c r="AC56" i="35" s="1"/>
  <c r="AB56" i="35" a="1"/>
  <c r="AB56" i="35" s="1"/>
  <c r="AA56" i="35" a="1"/>
  <c r="AA56" i="35" s="1"/>
  <c r="Z56" i="35" a="1"/>
  <c r="Z56" i="35" s="1"/>
  <c r="Y56" i="35" a="1"/>
  <c r="Y56" i="35" s="1"/>
  <c r="X56" i="35" a="1"/>
  <c r="X56" i="35" s="1"/>
  <c r="W56" i="35" a="1"/>
  <c r="W56" i="35" s="1"/>
  <c r="V56" i="35" a="1"/>
  <c r="V56" i="35" s="1"/>
  <c r="U56" i="35" a="1"/>
  <c r="U56" i="35" s="1"/>
  <c r="T56" i="35" a="1"/>
  <c r="T56" i="35" s="1"/>
  <c r="S56" i="35" a="1"/>
  <c r="S56" i="35" s="1"/>
  <c r="R56" i="35" a="1"/>
  <c r="R56" i="35" s="1"/>
  <c r="Q56" i="35" a="1"/>
  <c r="Q56" i="35" s="1"/>
  <c r="P56" i="35" a="1"/>
  <c r="P56" i="35" s="1"/>
  <c r="O56" i="35" a="1"/>
  <c r="O56" i="35" s="1"/>
  <c r="N56" i="35" a="1"/>
  <c r="N56" i="35" s="1"/>
  <c r="M56" i="35" a="1"/>
  <c r="M56" i="35" s="1"/>
  <c r="L56" i="35" a="1"/>
  <c r="L56" i="35" s="1"/>
  <c r="K56" i="35" a="1"/>
  <c r="K56" i="35" s="1"/>
  <c r="J56" i="35" a="1"/>
  <c r="J56" i="35" s="1"/>
  <c r="I56" i="35" a="1"/>
  <c r="I56" i="35" s="1"/>
  <c r="H56" i="35" a="1"/>
  <c r="H56" i="35" s="1"/>
  <c r="G56" i="35" a="1"/>
  <c r="G56" i="35" s="1"/>
  <c r="F56" i="35" a="1"/>
  <c r="F56" i="35" s="1"/>
  <c r="E56" i="35" a="1"/>
  <c r="E56" i="35" s="1"/>
  <c r="AN56" i="51" a="1"/>
  <c r="AN56" i="51" s="1"/>
  <c r="AM56" i="51" a="1"/>
  <c r="AM56" i="51" s="1"/>
  <c r="AL56" i="51" a="1"/>
  <c r="AL56" i="51" s="1"/>
  <c r="AK56" i="51" a="1"/>
  <c r="AK56" i="51" s="1"/>
  <c r="AJ56" i="51" a="1"/>
  <c r="AJ56" i="51" s="1"/>
  <c r="AI56" i="51" a="1"/>
  <c r="AI56" i="51" s="1"/>
  <c r="AH56" i="51" a="1"/>
  <c r="AH56" i="51" s="1"/>
  <c r="AG56" i="51" a="1"/>
  <c r="AG56" i="51" s="1"/>
  <c r="AF56" i="51" a="1"/>
  <c r="AF56" i="51" s="1"/>
  <c r="AE56" i="51" a="1"/>
  <c r="AE56" i="51" s="1"/>
  <c r="AD56" i="51" a="1"/>
  <c r="AD56" i="51" s="1"/>
  <c r="AC56" i="51" a="1"/>
  <c r="AC56" i="51" s="1"/>
  <c r="AB56" i="51" a="1"/>
  <c r="AB56" i="51" s="1"/>
  <c r="AA56" i="51" a="1"/>
  <c r="AA56" i="51" s="1"/>
  <c r="Z56" i="51" a="1"/>
  <c r="Z56" i="51" s="1"/>
  <c r="Y56" i="51" a="1"/>
  <c r="Y56" i="51" s="1"/>
  <c r="X56" i="51" a="1"/>
  <c r="X56" i="51" s="1"/>
  <c r="W56" i="51" a="1"/>
  <c r="W56" i="51" s="1"/>
  <c r="V56" i="51" a="1"/>
  <c r="V56" i="51" s="1"/>
  <c r="U56" i="51" a="1"/>
  <c r="U56" i="51" s="1"/>
  <c r="T56" i="51" a="1"/>
  <c r="T56" i="51" s="1"/>
  <c r="S56" i="51" a="1"/>
  <c r="S56" i="51" s="1"/>
  <c r="R56" i="51" a="1"/>
  <c r="R56" i="51" s="1"/>
  <c r="Q56" i="51" a="1"/>
  <c r="Q56" i="51" s="1"/>
  <c r="P56" i="51" a="1"/>
  <c r="P56" i="51" s="1"/>
  <c r="O56" i="51" a="1"/>
  <c r="O56" i="51" s="1"/>
  <c r="N56" i="51" a="1"/>
  <c r="N56" i="51" s="1"/>
  <c r="M56" i="51" a="1"/>
  <c r="M56" i="51" s="1"/>
  <c r="L56" i="51" a="1"/>
  <c r="L56" i="51" s="1"/>
  <c r="K56" i="51" a="1"/>
  <c r="K56" i="51" s="1"/>
  <c r="J56" i="51" a="1"/>
  <c r="J56" i="51" s="1"/>
  <c r="I56" i="51" a="1"/>
  <c r="I56" i="51" s="1"/>
  <c r="H56" i="51" a="1"/>
  <c r="H56" i="51" s="1"/>
  <c r="G56" i="51" a="1"/>
  <c r="G56" i="51" s="1"/>
  <c r="F56" i="51" a="1"/>
  <c r="F56" i="51" s="1"/>
  <c r="E56" i="51" a="1"/>
  <c r="E56" i="51" s="1"/>
  <c r="AN56" i="52" a="1"/>
  <c r="AN56" i="52" s="1"/>
  <c r="AM56" i="52" a="1"/>
  <c r="AM56" i="52" s="1"/>
  <c r="AL56" i="52" a="1"/>
  <c r="AL56" i="52" s="1"/>
  <c r="AK56" i="52" a="1"/>
  <c r="AK56" i="52" s="1"/>
  <c r="AJ56" i="52" a="1"/>
  <c r="AJ56" i="52" s="1"/>
  <c r="AI56" i="52" a="1"/>
  <c r="AI56" i="52" s="1"/>
  <c r="AH56" i="52" a="1"/>
  <c r="AH56" i="52" s="1"/>
  <c r="AG56" i="52" a="1"/>
  <c r="AG56" i="52" s="1"/>
  <c r="AF56" i="52" a="1"/>
  <c r="AF56" i="52" s="1"/>
  <c r="AE56" i="52" a="1"/>
  <c r="AE56" i="52" s="1"/>
  <c r="AD56" i="52" a="1"/>
  <c r="AD56" i="52" s="1"/>
  <c r="AC56" i="52" a="1"/>
  <c r="AC56" i="52" s="1"/>
  <c r="AB56" i="52" a="1"/>
  <c r="AB56" i="52" s="1"/>
  <c r="AA56" i="52" a="1"/>
  <c r="AA56" i="52" s="1"/>
  <c r="Z56" i="52" a="1"/>
  <c r="Z56" i="52" s="1"/>
  <c r="Y56" i="52" a="1"/>
  <c r="Y56" i="52" s="1"/>
  <c r="X56" i="52" a="1"/>
  <c r="X56" i="52" s="1"/>
  <c r="W56" i="52" a="1"/>
  <c r="W56" i="52" s="1"/>
  <c r="V56" i="52" a="1"/>
  <c r="V56" i="52" s="1"/>
  <c r="U56" i="52" a="1"/>
  <c r="U56" i="52" s="1"/>
  <c r="T56" i="52" a="1"/>
  <c r="T56" i="52" s="1"/>
  <c r="S56" i="52" a="1"/>
  <c r="S56" i="52" s="1"/>
  <c r="R56" i="52" a="1"/>
  <c r="R56" i="52" s="1"/>
  <c r="Q56" i="52" a="1"/>
  <c r="Q56" i="52" s="1"/>
  <c r="P56" i="52" a="1"/>
  <c r="P56" i="52" s="1"/>
  <c r="O56" i="52" a="1"/>
  <c r="O56" i="52" s="1"/>
  <c r="N56" i="52" a="1"/>
  <c r="N56" i="52" s="1"/>
  <c r="M56" i="52" a="1"/>
  <c r="M56" i="52" s="1"/>
  <c r="L56" i="52" a="1"/>
  <c r="L56" i="52" s="1"/>
  <c r="K56" i="52" a="1"/>
  <c r="K56" i="52" s="1"/>
  <c r="J56" i="52" a="1"/>
  <c r="J56" i="52" s="1"/>
  <c r="I56" i="52" a="1"/>
  <c r="I56" i="52" s="1"/>
  <c r="H56" i="52" a="1"/>
  <c r="H56" i="52" s="1"/>
  <c r="G56" i="52" a="1"/>
  <c r="G56" i="52" s="1"/>
  <c r="F56" i="52" a="1"/>
  <c r="F56" i="52" s="1"/>
  <c r="E56" i="52" a="1"/>
  <c r="E56" i="52" s="1"/>
  <c r="AN56" i="37" a="1"/>
  <c r="AN56" i="37" s="1"/>
  <c r="AM56" i="37" a="1"/>
  <c r="AM56" i="37" s="1"/>
  <c r="AL56" i="37" a="1"/>
  <c r="AL56" i="37" s="1"/>
  <c r="AK56" i="37" a="1"/>
  <c r="AK56" i="37" s="1"/>
  <c r="AJ56" i="37" a="1"/>
  <c r="AJ56" i="37" s="1"/>
  <c r="AI56" i="37" a="1"/>
  <c r="AI56" i="37" s="1"/>
  <c r="AH56" i="37" a="1"/>
  <c r="AH56" i="37" s="1"/>
  <c r="AG56" i="37" a="1"/>
  <c r="AG56" i="37" s="1"/>
  <c r="AF56" i="37" a="1"/>
  <c r="AF56" i="37" s="1"/>
  <c r="AE56" i="37" a="1"/>
  <c r="AE56" i="37" s="1"/>
  <c r="AD56" i="37" a="1"/>
  <c r="AD56" i="37" s="1"/>
  <c r="AC56" i="37" a="1"/>
  <c r="AC56" i="37" s="1"/>
  <c r="AB56" i="37" a="1"/>
  <c r="AB56" i="37" s="1"/>
  <c r="AA56" i="37" a="1"/>
  <c r="AA56" i="37" s="1"/>
  <c r="Z56" i="37" a="1"/>
  <c r="Z56" i="37" s="1"/>
  <c r="Y56" i="37" a="1"/>
  <c r="Y56" i="37" s="1"/>
  <c r="X56" i="37" a="1"/>
  <c r="X56" i="37" s="1"/>
  <c r="W56" i="37" a="1"/>
  <c r="W56" i="37" s="1"/>
  <c r="V56" i="37" a="1"/>
  <c r="V56" i="37" s="1"/>
  <c r="U56" i="37" a="1"/>
  <c r="U56" i="37" s="1"/>
  <c r="T56" i="37" a="1"/>
  <c r="T56" i="37" s="1"/>
  <c r="S56" i="37" a="1"/>
  <c r="S56" i="37" s="1"/>
  <c r="R56" i="37" a="1"/>
  <c r="R56" i="37" s="1"/>
  <c r="Q56" i="37" a="1"/>
  <c r="Q56" i="37" s="1"/>
  <c r="P56" i="37" a="1"/>
  <c r="P56" i="37" s="1"/>
  <c r="O56" i="37" a="1"/>
  <c r="O56" i="37" s="1"/>
  <c r="N56" i="37" a="1"/>
  <c r="N56" i="37" s="1"/>
  <c r="M56" i="37" a="1"/>
  <c r="M56" i="37" s="1"/>
  <c r="L56" i="37" a="1"/>
  <c r="L56" i="37" s="1"/>
  <c r="K56" i="37" a="1"/>
  <c r="K56" i="37" s="1"/>
  <c r="J56" i="37" a="1"/>
  <c r="J56" i="37" s="1"/>
  <c r="I56" i="37" a="1"/>
  <c r="I56" i="37" s="1"/>
  <c r="H56" i="37" a="1"/>
  <c r="H56" i="37" s="1"/>
  <c r="G56" i="37" a="1"/>
  <c r="G56" i="37" s="1"/>
  <c r="F56" i="37" a="1"/>
  <c r="F56" i="37" s="1"/>
  <c r="E56" i="37" a="1"/>
  <c r="E56" i="37" s="1"/>
  <c r="AN56" i="65" a="1"/>
  <c r="AN56" i="65" s="1"/>
  <c r="AM56" i="65" a="1"/>
  <c r="AM56" i="65" s="1"/>
  <c r="AL56" i="65" a="1"/>
  <c r="AL56" i="65" s="1"/>
  <c r="AK56" i="65" a="1"/>
  <c r="AK56" i="65" s="1"/>
  <c r="AJ56" i="65" a="1"/>
  <c r="AJ56" i="65" s="1"/>
  <c r="AI56" i="65" a="1"/>
  <c r="AI56" i="65" s="1"/>
  <c r="AH56" i="65" a="1"/>
  <c r="AH56" i="65" s="1"/>
  <c r="AG56" i="65" a="1"/>
  <c r="AG56" i="65" s="1"/>
  <c r="AF56" i="65" a="1"/>
  <c r="AF56" i="65" s="1"/>
  <c r="AE56" i="65" a="1"/>
  <c r="AE56" i="65" s="1"/>
  <c r="AD56" i="65" a="1"/>
  <c r="AD56" i="65" s="1"/>
  <c r="AC56" i="65" a="1"/>
  <c r="AC56" i="65" s="1"/>
  <c r="AB56" i="65" a="1"/>
  <c r="AB56" i="65" s="1"/>
  <c r="AA56" i="65" a="1"/>
  <c r="AA56" i="65" s="1"/>
  <c r="Z56" i="65" a="1"/>
  <c r="Z56" i="65" s="1"/>
  <c r="Y56" i="65" a="1"/>
  <c r="Y56" i="65" s="1"/>
  <c r="X56" i="65" a="1"/>
  <c r="X56" i="65" s="1"/>
  <c r="W56" i="65" a="1"/>
  <c r="W56" i="65" s="1"/>
  <c r="V56" i="65" a="1"/>
  <c r="V56" i="65" s="1"/>
  <c r="U56" i="65" a="1"/>
  <c r="U56" i="65" s="1"/>
  <c r="T56" i="65" a="1"/>
  <c r="T56" i="65" s="1"/>
  <c r="S56" i="65" a="1"/>
  <c r="S56" i="65" s="1"/>
  <c r="R56" i="65" a="1"/>
  <c r="R56" i="65" s="1"/>
  <c r="Q56" i="65" a="1"/>
  <c r="Q56" i="65" s="1"/>
  <c r="P56" i="65" a="1"/>
  <c r="P56" i="65" s="1"/>
  <c r="O56" i="65" a="1"/>
  <c r="O56" i="65" s="1"/>
  <c r="N56" i="65" a="1"/>
  <c r="N56" i="65" s="1"/>
  <c r="M56" i="65" a="1"/>
  <c r="M56" i="65" s="1"/>
  <c r="L56" i="65" a="1"/>
  <c r="L56" i="65" s="1"/>
  <c r="K56" i="65" a="1"/>
  <c r="K56" i="65" s="1"/>
  <c r="J56" i="65" a="1"/>
  <c r="J56" i="65" s="1"/>
  <c r="I56" i="65" a="1"/>
  <c r="I56" i="65" s="1"/>
  <c r="H56" i="65" a="1"/>
  <c r="H56" i="65" s="1"/>
  <c r="G56" i="65" a="1"/>
  <c r="G56" i="65" s="1"/>
  <c r="F56" i="65" a="1"/>
  <c r="F56" i="65" s="1"/>
  <c r="E56" i="65" a="1"/>
  <c r="E56" i="65" s="1"/>
  <c r="AN56" i="66" a="1"/>
  <c r="AN56" i="66" s="1"/>
  <c r="AM56" i="66" a="1"/>
  <c r="AM56" i="66" s="1"/>
  <c r="AL56" i="66" a="1"/>
  <c r="AL56" i="66" s="1"/>
  <c r="AK56" i="66" a="1"/>
  <c r="AK56" i="66" s="1"/>
  <c r="AJ56" i="66" a="1"/>
  <c r="AJ56" i="66" s="1"/>
  <c r="AI56" i="66" a="1"/>
  <c r="AI56" i="66" s="1"/>
  <c r="AH56" i="66" a="1"/>
  <c r="AH56" i="66" s="1"/>
  <c r="AG56" i="66" a="1"/>
  <c r="AG56" i="66" s="1"/>
  <c r="AF56" i="66" a="1"/>
  <c r="AF56" i="66" s="1"/>
  <c r="AE56" i="66" a="1"/>
  <c r="AE56" i="66" s="1"/>
  <c r="AD56" i="66" a="1"/>
  <c r="AD56" i="66" s="1"/>
  <c r="AC56" i="66" a="1"/>
  <c r="AC56" i="66" s="1"/>
  <c r="AB56" i="66" a="1"/>
  <c r="AB56" i="66" s="1"/>
  <c r="AA56" i="66" a="1"/>
  <c r="AA56" i="66" s="1"/>
  <c r="Z56" i="66" a="1"/>
  <c r="Z56" i="66" s="1"/>
  <c r="Y56" i="66" a="1"/>
  <c r="Y56" i="66" s="1"/>
  <c r="X56" i="66" a="1"/>
  <c r="X56" i="66" s="1"/>
  <c r="W56" i="66" a="1"/>
  <c r="W56" i="66" s="1"/>
  <c r="V56" i="66" a="1"/>
  <c r="V56" i="66" s="1"/>
  <c r="U56" i="66" a="1"/>
  <c r="U56" i="66" s="1"/>
  <c r="T56" i="66" a="1"/>
  <c r="T56" i="66" s="1"/>
  <c r="S56" i="66" a="1"/>
  <c r="S56" i="66" s="1"/>
  <c r="R56" i="66" a="1"/>
  <c r="R56" i="66" s="1"/>
  <c r="Q56" i="66" a="1"/>
  <c r="Q56" i="66" s="1"/>
  <c r="P56" i="66" a="1"/>
  <c r="P56" i="66" s="1"/>
  <c r="O56" i="66" a="1"/>
  <c r="O56" i="66" s="1"/>
  <c r="N56" i="66" a="1"/>
  <c r="N56" i="66" s="1"/>
  <c r="M56" i="66" a="1"/>
  <c r="M56" i="66" s="1"/>
  <c r="L56" i="66" a="1"/>
  <c r="L56" i="66" s="1"/>
  <c r="K56" i="66" a="1"/>
  <c r="K56" i="66" s="1"/>
  <c r="J56" i="66" a="1"/>
  <c r="J56" i="66" s="1"/>
  <c r="I56" i="66" a="1"/>
  <c r="I56" i="66" s="1"/>
  <c r="H56" i="66" a="1"/>
  <c r="H56" i="66" s="1"/>
  <c r="G56" i="66" a="1"/>
  <c r="G56" i="66" s="1"/>
  <c r="F56" i="66" a="1"/>
  <c r="F56" i="66" s="1"/>
  <c r="E56" i="66" a="1"/>
  <c r="E56" i="66" s="1"/>
  <c r="AN56" i="67" a="1"/>
  <c r="AN56" i="67" s="1"/>
  <c r="AM56" i="67" a="1"/>
  <c r="AM56" i="67" s="1"/>
  <c r="AL56" i="67" a="1"/>
  <c r="AL56" i="67" s="1"/>
  <c r="AK56" i="67" a="1"/>
  <c r="AK56" i="67" s="1"/>
  <c r="AJ56" i="67" a="1"/>
  <c r="AJ56" i="67" s="1"/>
  <c r="AI56" i="67" a="1"/>
  <c r="AI56" i="67" s="1"/>
  <c r="AH56" i="67" a="1"/>
  <c r="AH56" i="67" s="1"/>
  <c r="AG56" i="67" a="1"/>
  <c r="AG56" i="67" s="1"/>
  <c r="AF56" i="67" a="1"/>
  <c r="AF56" i="67" s="1"/>
  <c r="AE56" i="67" a="1"/>
  <c r="AE56" i="67" s="1"/>
  <c r="AD56" i="67" a="1"/>
  <c r="AD56" i="67" s="1"/>
  <c r="AC56" i="67" a="1"/>
  <c r="AC56" i="67" s="1"/>
  <c r="AB56" i="67" a="1"/>
  <c r="AB56" i="67" s="1"/>
  <c r="AA56" i="67" a="1"/>
  <c r="AA56" i="67" s="1"/>
  <c r="Z56" i="67" a="1"/>
  <c r="Z56" i="67" s="1"/>
  <c r="Y56" i="67" a="1"/>
  <c r="Y56" i="67" s="1"/>
  <c r="X56" i="67" a="1"/>
  <c r="X56" i="67" s="1"/>
  <c r="W56" i="67" a="1"/>
  <c r="W56" i="67" s="1"/>
  <c r="V56" i="67" a="1"/>
  <c r="V56" i="67" s="1"/>
  <c r="U56" i="67" a="1"/>
  <c r="U56" i="67" s="1"/>
  <c r="T56" i="67" a="1"/>
  <c r="T56" i="67" s="1"/>
  <c r="S56" i="67" a="1"/>
  <c r="S56" i="67" s="1"/>
  <c r="R56" i="67" a="1"/>
  <c r="R56" i="67" s="1"/>
  <c r="Q56" i="67" a="1"/>
  <c r="Q56" i="67" s="1"/>
  <c r="P56" i="67" a="1"/>
  <c r="P56" i="67" s="1"/>
  <c r="O56" i="67" a="1"/>
  <c r="O56" i="67" s="1"/>
  <c r="N56" i="67" a="1"/>
  <c r="N56" i="67" s="1"/>
  <c r="M56" i="67" a="1"/>
  <c r="M56" i="67" s="1"/>
  <c r="L56" i="67" a="1"/>
  <c r="L56" i="67" s="1"/>
  <c r="K56" i="67" a="1"/>
  <c r="K56" i="67" s="1"/>
  <c r="J56" i="67" a="1"/>
  <c r="J56" i="67" s="1"/>
  <c r="I56" i="67" a="1"/>
  <c r="I56" i="67" s="1"/>
  <c r="H56" i="67" a="1"/>
  <c r="H56" i="67" s="1"/>
  <c r="G56" i="67" a="1"/>
  <c r="G56" i="67" s="1"/>
  <c r="F56" i="67" a="1"/>
  <c r="F56" i="67" s="1"/>
  <c r="E56" i="67" a="1"/>
  <c r="E56" i="67" s="1"/>
  <c r="AN56" i="68" a="1"/>
  <c r="AN56" i="68" s="1"/>
  <c r="AM56" i="68" a="1"/>
  <c r="AM56" i="68" s="1"/>
  <c r="AL56" i="68" a="1"/>
  <c r="AL56" i="68" s="1"/>
  <c r="AK56" i="68" a="1"/>
  <c r="AK56" i="68" s="1"/>
  <c r="AJ56" i="68" a="1"/>
  <c r="AJ56" i="68" s="1"/>
  <c r="AI56" i="68" a="1"/>
  <c r="AI56" i="68" s="1"/>
  <c r="AH56" i="68" a="1"/>
  <c r="AH56" i="68" s="1"/>
  <c r="AG56" i="68" a="1"/>
  <c r="AG56" i="68" s="1"/>
  <c r="AF56" i="68" a="1"/>
  <c r="AF56" i="68" s="1"/>
  <c r="AE56" i="68" a="1"/>
  <c r="AE56" i="68" s="1"/>
  <c r="AD56" i="68" a="1"/>
  <c r="AD56" i="68" s="1"/>
  <c r="AC56" i="68" a="1"/>
  <c r="AC56" i="68" s="1"/>
  <c r="AB56" i="68" a="1"/>
  <c r="AB56" i="68" s="1"/>
  <c r="AA56" i="68" a="1"/>
  <c r="AA56" i="68" s="1"/>
  <c r="Z56" i="68" a="1"/>
  <c r="Z56" i="68" s="1"/>
  <c r="Y56" i="68" a="1"/>
  <c r="Y56" i="68" s="1"/>
  <c r="X56" i="68" a="1"/>
  <c r="X56" i="68" s="1"/>
  <c r="W56" i="68" a="1"/>
  <c r="W56" i="68" s="1"/>
  <c r="V56" i="68" a="1"/>
  <c r="V56" i="68" s="1"/>
  <c r="U56" i="68" a="1"/>
  <c r="U56" i="68" s="1"/>
  <c r="T56" i="68" a="1"/>
  <c r="T56" i="68" s="1"/>
  <c r="S56" i="68" a="1"/>
  <c r="S56" i="68" s="1"/>
  <c r="R56" i="68" a="1"/>
  <c r="R56" i="68" s="1"/>
  <c r="Q56" i="68" a="1"/>
  <c r="Q56" i="68" s="1"/>
  <c r="P56" i="68" a="1"/>
  <c r="P56" i="68" s="1"/>
  <c r="O56" i="68" a="1"/>
  <c r="O56" i="68" s="1"/>
  <c r="N56" i="68" a="1"/>
  <c r="N56" i="68" s="1"/>
  <c r="M56" i="68" a="1"/>
  <c r="M56" i="68" s="1"/>
  <c r="L56" i="68" a="1"/>
  <c r="L56" i="68" s="1"/>
  <c r="K56" i="68" a="1"/>
  <c r="K56" i="68" s="1"/>
  <c r="J56" i="68" a="1"/>
  <c r="J56" i="68" s="1"/>
  <c r="I56" i="68" a="1"/>
  <c r="I56" i="68" s="1"/>
  <c r="H56" i="68" a="1"/>
  <c r="H56" i="68" s="1"/>
  <c r="G56" i="68" a="1"/>
  <c r="G56" i="68" s="1"/>
  <c r="F56" i="68" a="1"/>
  <c r="F56" i="68" s="1"/>
  <c r="E56" i="68" a="1"/>
  <c r="E56" i="68" s="1"/>
  <c r="AN56" i="53" a="1"/>
  <c r="AN56" i="53" s="1"/>
  <c r="AM56" i="53" a="1"/>
  <c r="AM56" i="53" s="1"/>
  <c r="AL56" i="53" a="1"/>
  <c r="AL56" i="53" s="1"/>
  <c r="AK56" i="53" a="1"/>
  <c r="AK56" i="53" s="1"/>
  <c r="AJ56" i="53" a="1"/>
  <c r="AJ56" i="53" s="1"/>
  <c r="AI56" i="53" a="1"/>
  <c r="AI56" i="53" s="1"/>
  <c r="AH56" i="53" a="1"/>
  <c r="AH56" i="53" s="1"/>
  <c r="AG56" i="53" a="1"/>
  <c r="AG56" i="53" s="1"/>
  <c r="AF56" i="53" a="1"/>
  <c r="AF56" i="53" s="1"/>
  <c r="AE56" i="53" a="1"/>
  <c r="AE56" i="53" s="1"/>
  <c r="AD56" i="53" a="1"/>
  <c r="AD56" i="53" s="1"/>
  <c r="AC56" i="53"/>
  <c r="AC56" i="53" a="1"/>
  <c r="AB56" i="53" a="1"/>
  <c r="AB56" i="53" s="1"/>
  <c r="AA56" i="53" a="1"/>
  <c r="AA56" i="53" s="1"/>
  <c r="Z56" i="53" a="1"/>
  <c r="Z56" i="53" s="1"/>
  <c r="Y56" i="53" a="1"/>
  <c r="Y56" i="53" s="1"/>
  <c r="X56" i="53" a="1"/>
  <c r="X56" i="53" s="1"/>
  <c r="W56" i="53" a="1"/>
  <c r="W56" i="53" s="1"/>
  <c r="V56" i="53" a="1"/>
  <c r="V56" i="53" s="1"/>
  <c r="U56" i="53" a="1"/>
  <c r="U56" i="53" s="1"/>
  <c r="T56" i="53" a="1"/>
  <c r="T56" i="53" s="1"/>
  <c r="S56" i="53" a="1"/>
  <c r="S56" i="53" s="1"/>
  <c r="R56" i="53" a="1"/>
  <c r="R56" i="53" s="1"/>
  <c r="Q56" i="53" a="1"/>
  <c r="Q56" i="53" s="1"/>
  <c r="P56" i="53" a="1"/>
  <c r="P56" i="53" s="1"/>
  <c r="O56" i="53" a="1"/>
  <c r="O56" i="53" s="1"/>
  <c r="N56" i="53" a="1"/>
  <c r="N56" i="53" s="1"/>
  <c r="M56" i="53" a="1"/>
  <c r="M56" i="53" s="1"/>
  <c r="L56" i="53" a="1"/>
  <c r="L56" i="53" s="1"/>
  <c r="K56" i="53" a="1"/>
  <c r="K56" i="53" s="1"/>
  <c r="J56" i="53" a="1"/>
  <c r="J56" i="53" s="1"/>
  <c r="I56" i="53" a="1"/>
  <c r="I56" i="53" s="1"/>
  <c r="H56" i="53" a="1"/>
  <c r="H56" i="53" s="1"/>
  <c r="G56" i="53" a="1"/>
  <c r="G56" i="53" s="1"/>
  <c r="F56" i="53" a="1"/>
  <c r="F56" i="53" s="1"/>
  <c r="E56" i="53" a="1"/>
  <c r="E56" i="53" s="1"/>
  <c r="AN56" i="38" a="1"/>
  <c r="AN56" i="38" s="1"/>
  <c r="AM56" i="38" a="1"/>
  <c r="AM56" i="38" s="1"/>
  <c r="AL56" i="38" a="1"/>
  <c r="AL56" i="38" s="1"/>
  <c r="AK56" i="38" a="1"/>
  <c r="AK56" i="38" s="1"/>
  <c r="AJ56" i="38" a="1"/>
  <c r="AJ56" i="38" s="1"/>
  <c r="AI56" i="38" a="1"/>
  <c r="AI56" i="38" s="1"/>
  <c r="AH56" i="38" a="1"/>
  <c r="AH56" i="38" s="1"/>
  <c r="AG56" i="38" a="1"/>
  <c r="AG56" i="38" s="1"/>
  <c r="AF56" i="38" a="1"/>
  <c r="AF56" i="38" s="1"/>
  <c r="AE56" i="38" a="1"/>
  <c r="AE56" i="38" s="1"/>
  <c r="AD56" i="38" a="1"/>
  <c r="AD56" i="38" s="1"/>
  <c r="AC56" i="38" a="1"/>
  <c r="AC56" i="38" s="1"/>
  <c r="AB56" i="38" a="1"/>
  <c r="AB56" i="38" s="1"/>
  <c r="AA56" i="38" a="1"/>
  <c r="AA56" i="38" s="1"/>
  <c r="Z56" i="38" a="1"/>
  <c r="Z56" i="38" s="1"/>
  <c r="Y56" i="38" a="1"/>
  <c r="Y56" i="38" s="1"/>
  <c r="X56" i="38" a="1"/>
  <c r="X56" i="38" s="1"/>
  <c r="W56" i="38" a="1"/>
  <c r="W56" i="38" s="1"/>
  <c r="V56" i="38" a="1"/>
  <c r="V56" i="38" s="1"/>
  <c r="U56" i="38" a="1"/>
  <c r="U56" i="38" s="1"/>
  <c r="T56" i="38" a="1"/>
  <c r="T56" i="38" s="1"/>
  <c r="S56" i="38" a="1"/>
  <c r="S56" i="38" s="1"/>
  <c r="R56" i="38" a="1"/>
  <c r="R56" i="38" s="1"/>
  <c r="Q56" i="38" a="1"/>
  <c r="Q56" i="38" s="1"/>
  <c r="P56" i="38" a="1"/>
  <c r="P56" i="38" s="1"/>
  <c r="O56" i="38" a="1"/>
  <c r="O56" i="38" s="1"/>
  <c r="N56" i="38" a="1"/>
  <c r="N56" i="38" s="1"/>
  <c r="M56" i="38" a="1"/>
  <c r="M56" i="38" s="1"/>
  <c r="L56" i="38" a="1"/>
  <c r="L56" i="38" s="1"/>
  <c r="K56" i="38" a="1"/>
  <c r="K56" i="38" s="1"/>
  <c r="J56" i="38" a="1"/>
  <c r="J56" i="38" s="1"/>
  <c r="I56" i="38" a="1"/>
  <c r="I56" i="38" s="1"/>
  <c r="H56" i="38" a="1"/>
  <c r="H56" i="38" s="1"/>
  <c r="G56" i="38" a="1"/>
  <c r="G56" i="38" s="1"/>
  <c r="F56" i="38" a="1"/>
  <c r="F56" i="38" s="1"/>
  <c r="E56" i="38" a="1"/>
  <c r="E56" i="38" s="1"/>
  <c r="AN56" i="54" a="1"/>
  <c r="AN56" i="54" s="1"/>
  <c r="AM56" i="54" a="1"/>
  <c r="AM56" i="54" s="1"/>
  <c r="AL56" i="54" a="1"/>
  <c r="AL56" i="54" s="1"/>
  <c r="AK56" i="54" a="1"/>
  <c r="AK56" i="54" s="1"/>
  <c r="AJ56" i="54" a="1"/>
  <c r="AJ56" i="54" s="1"/>
  <c r="AI56" i="54" a="1"/>
  <c r="AI56" i="54" s="1"/>
  <c r="AH56" i="54" a="1"/>
  <c r="AH56" i="54" s="1"/>
  <c r="AG56" i="54" a="1"/>
  <c r="AG56" i="54" s="1"/>
  <c r="AF56" i="54" a="1"/>
  <c r="AF56" i="54" s="1"/>
  <c r="AE56" i="54" a="1"/>
  <c r="AE56" i="54" s="1"/>
  <c r="AD56" i="54" a="1"/>
  <c r="AD56" i="54" s="1"/>
  <c r="AC56" i="54" a="1"/>
  <c r="AC56" i="54" s="1"/>
  <c r="AB56" i="54" a="1"/>
  <c r="AB56" i="54" s="1"/>
  <c r="AA56" i="54" a="1"/>
  <c r="AA56" i="54" s="1"/>
  <c r="Z56" i="54" a="1"/>
  <c r="Z56" i="54" s="1"/>
  <c r="Y56" i="54" a="1"/>
  <c r="Y56" i="54" s="1"/>
  <c r="X56" i="54" a="1"/>
  <c r="X56" i="54" s="1"/>
  <c r="W56" i="54" a="1"/>
  <c r="W56" i="54" s="1"/>
  <c r="V56" i="54" a="1"/>
  <c r="V56" i="54" s="1"/>
  <c r="U56" i="54" a="1"/>
  <c r="U56" i="54" s="1"/>
  <c r="T56" i="54" a="1"/>
  <c r="T56" i="54" s="1"/>
  <c r="S56" i="54" a="1"/>
  <c r="S56" i="54" s="1"/>
  <c r="R56" i="54" a="1"/>
  <c r="R56" i="54" s="1"/>
  <c r="Q56" i="54" a="1"/>
  <c r="Q56" i="54" s="1"/>
  <c r="P56" i="54" a="1"/>
  <c r="P56" i="54" s="1"/>
  <c r="O56" i="54" a="1"/>
  <c r="O56" i="54" s="1"/>
  <c r="N56" i="54" a="1"/>
  <c r="N56" i="54" s="1"/>
  <c r="M56" i="54" a="1"/>
  <c r="M56" i="54" s="1"/>
  <c r="L56" i="54" a="1"/>
  <c r="L56" i="54" s="1"/>
  <c r="K56" i="54" a="1"/>
  <c r="K56" i="54" s="1"/>
  <c r="J56" i="54" a="1"/>
  <c r="J56" i="54" s="1"/>
  <c r="I56" i="54" a="1"/>
  <c r="I56" i="54" s="1"/>
  <c r="H56" i="54" a="1"/>
  <c r="H56" i="54" s="1"/>
  <c r="G56" i="54" a="1"/>
  <c r="G56" i="54" s="1"/>
  <c r="F56" i="54" a="1"/>
  <c r="F56" i="54" s="1"/>
  <c r="E56" i="54" a="1"/>
  <c r="E56" i="54" s="1"/>
  <c r="AN56" i="39" a="1"/>
  <c r="AN56" i="39" s="1"/>
  <c r="AM56" i="39" a="1"/>
  <c r="AM56" i="39" s="1"/>
  <c r="AL56" i="39" a="1"/>
  <c r="AL56" i="39" s="1"/>
  <c r="AK56" i="39" a="1"/>
  <c r="AK56" i="39" s="1"/>
  <c r="AJ56" i="39" a="1"/>
  <c r="AJ56" i="39" s="1"/>
  <c r="AI56" i="39" a="1"/>
  <c r="AI56" i="39" s="1"/>
  <c r="AH56" i="39" a="1"/>
  <c r="AH56" i="39" s="1"/>
  <c r="AG56" i="39" a="1"/>
  <c r="AG56" i="39" s="1"/>
  <c r="AF56" i="39" a="1"/>
  <c r="AF56" i="39" s="1"/>
  <c r="AE56" i="39" a="1"/>
  <c r="AE56" i="39" s="1"/>
  <c r="AD56" i="39" a="1"/>
  <c r="AD56" i="39" s="1"/>
  <c r="AC56" i="39" a="1"/>
  <c r="AC56" i="39" s="1"/>
  <c r="AB56" i="39" a="1"/>
  <c r="AB56" i="39" s="1"/>
  <c r="AA56" i="39" a="1"/>
  <c r="AA56" i="39" s="1"/>
  <c r="Z56" i="39" a="1"/>
  <c r="Z56" i="39" s="1"/>
  <c r="Y56" i="39" a="1"/>
  <c r="Y56" i="39" s="1"/>
  <c r="X56" i="39" a="1"/>
  <c r="X56" i="39" s="1"/>
  <c r="W56" i="39" a="1"/>
  <c r="W56" i="39" s="1"/>
  <c r="V56" i="39" a="1"/>
  <c r="V56" i="39" s="1"/>
  <c r="U56" i="39" a="1"/>
  <c r="U56" i="39" s="1"/>
  <c r="T56" i="39" a="1"/>
  <c r="T56" i="39" s="1"/>
  <c r="S56" i="39" a="1"/>
  <c r="S56" i="39" s="1"/>
  <c r="R56" i="39" a="1"/>
  <c r="R56" i="39" s="1"/>
  <c r="Q56" i="39" a="1"/>
  <c r="Q56" i="39" s="1"/>
  <c r="P56" i="39" a="1"/>
  <c r="P56" i="39" s="1"/>
  <c r="O56" i="39" a="1"/>
  <c r="O56" i="39" s="1"/>
  <c r="N56" i="39" a="1"/>
  <c r="N56" i="39" s="1"/>
  <c r="M56" i="39" a="1"/>
  <c r="M56" i="39" s="1"/>
  <c r="L56" i="39" a="1"/>
  <c r="L56" i="39" s="1"/>
  <c r="K56" i="39" a="1"/>
  <c r="K56" i="39" s="1"/>
  <c r="J56" i="39" a="1"/>
  <c r="J56" i="39" s="1"/>
  <c r="I56" i="39" a="1"/>
  <c r="I56" i="39" s="1"/>
  <c r="H56" i="39" a="1"/>
  <c r="H56" i="39" s="1"/>
  <c r="G56" i="39" a="1"/>
  <c r="G56" i="39" s="1"/>
  <c r="F56" i="39" a="1"/>
  <c r="F56" i="39" s="1"/>
  <c r="E56" i="39" a="1"/>
  <c r="E56" i="39" s="1"/>
  <c r="AN56" i="55" a="1"/>
  <c r="AN56" i="55" s="1"/>
  <c r="AM56" i="55" a="1"/>
  <c r="AM56" i="55" s="1"/>
  <c r="AL56" i="55" a="1"/>
  <c r="AL56" i="55" s="1"/>
  <c r="AK56" i="55" a="1"/>
  <c r="AK56" i="55" s="1"/>
  <c r="AJ56" i="55" a="1"/>
  <c r="AJ56" i="55" s="1"/>
  <c r="AI56" i="55" a="1"/>
  <c r="AI56" i="55" s="1"/>
  <c r="AH56" i="55" a="1"/>
  <c r="AH56" i="55" s="1"/>
  <c r="AG56" i="55" a="1"/>
  <c r="AG56" i="55" s="1"/>
  <c r="AF56" i="55" a="1"/>
  <c r="AF56" i="55" s="1"/>
  <c r="AE56" i="55" a="1"/>
  <c r="AE56" i="55" s="1"/>
  <c r="AD56" i="55" a="1"/>
  <c r="AD56" i="55" s="1"/>
  <c r="AC56" i="55" a="1"/>
  <c r="AC56" i="55" s="1"/>
  <c r="AB56" i="55" a="1"/>
  <c r="AB56" i="55" s="1"/>
  <c r="AA56" i="55" a="1"/>
  <c r="AA56" i="55" s="1"/>
  <c r="Z56" i="55" a="1"/>
  <c r="Z56" i="55" s="1"/>
  <c r="Y56" i="55" a="1"/>
  <c r="Y56" i="55" s="1"/>
  <c r="X56" i="55" a="1"/>
  <c r="X56" i="55" s="1"/>
  <c r="W56" i="55" a="1"/>
  <c r="W56" i="55" s="1"/>
  <c r="V56" i="55" a="1"/>
  <c r="V56" i="55" s="1"/>
  <c r="U56" i="55" a="1"/>
  <c r="U56" i="55" s="1"/>
  <c r="T56" i="55" a="1"/>
  <c r="T56" i="55" s="1"/>
  <c r="S56" i="55" a="1"/>
  <c r="S56" i="55" s="1"/>
  <c r="R56" i="55" a="1"/>
  <c r="R56" i="55" s="1"/>
  <c r="Q56" i="55" a="1"/>
  <c r="Q56" i="55" s="1"/>
  <c r="P56" i="55" a="1"/>
  <c r="P56" i="55" s="1"/>
  <c r="O56" i="55" a="1"/>
  <c r="O56" i="55" s="1"/>
  <c r="N56" i="55" a="1"/>
  <c r="N56" i="55" s="1"/>
  <c r="M56" i="55" a="1"/>
  <c r="M56" i="55" s="1"/>
  <c r="L56" i="55" a="1"/>
  <c r="L56" i="55" s="1"/>
  <c r="K56" i="55" a="1"/>
  <c r="K56" i="55" s="1"/>
  <c r="J56" i="55" a="1"/>
  <c r="J56" i="55" s="1"/>
  <c r="I56" i="55" a="1"/>
  <c r="I56" i="55" s="1"/>
  <c r="H56" i="55" a="1"/>
  <c r="H56" i="55" s="1"/>
  <c r="G56" i="55" a="1"/>
  <c r="G56" i="55" s="1"/>
  <c r="F56" i="55" a="1"/>
  <c r="F56" i="55" s="1"/>
  <c r="E56" i="55" a="1"/>
  <c r="E56" i="55" s="1"/>
  <c r="AN56" i="56" a="1"/>
  <c r="AN56" i="56" s="1"/>
  <c r="AM56" i="56" a="1"/>
  <c r="AM56" i="56" s="1"/>
  <c r="AL56" i="56" a="1"/>
  <c r="AL56" i="56" s="1"/>
  <c r="AK56" i="56" a="1"/>
  <c r="AK56" i="56" s="1"/>
  <c r="AJ56" i="56" a="1"/>
  <c r="AJ56" i="56" s="1"/>
  <c r="AI56" i="56" a="1"/>
  <c r="AI56" i="56" s="1"/>
  <c r="AH56" i="56" a="1"/>
  <c r="AH56" i="56" s="1"/>
  <c r="AG56" i="56" a="1"/>
  <c r="AG56" i="56" s="1"/>
  <c r="AF56" i="56" a="1"/>
  <c r="AF56" i="56" s="1"/>
  <c r="AE56" i="56" a="1"/>
  <c r="AE56" i="56" s="1"/>
  <c r="AD56" i="56" a="1"/>
  <c r="AD56" i="56" s="1"/>
  <c r="AC56" i="56" a="1"/>
  <c r="AC56" i="56" s="1"/>
  <c r="AB56" i="56" a="1"/>
  <c r="AB56" i="56" s="1"/>
  <c r="AA56" i="56" a="1"/>
  <c r="AA56" i="56" s="1"/>
  <c r="Z56" i="56" a="1"/>
  <c r="Z56" i="56" s="1"/>
  <c r="Y56" i="56" a="1"/>
  <c r="Y56" i="56" s="1"/>
  <c r="X56" i="56" a="1"/>
  <c r="X56" i="56" s="1"/>
  <c r="W56" i="56" a="1"/>
  <c r="W56" i="56" s="1"/>
  <c r="V56" i="56" a="1"/>
  <c r="V56" i="56" s="1"/>
  <c r="U56" i="56" a="1"/>
  <c r="U56" i="56" s="1"/>
  <c r="T56" i="56" a="1"/>
  <c r="T56" i="56" s="1"/>
  <c r="S56" i="56" a="1"/>
  <c r="S56" i="56" s="1"/>
  <c r="R56" i="56" a="1"/>
  <c r="R56" i="56" s="1"/>
  <c r="Q56" i="56" a="1"/>
  <c r="Q56" i="56" s="1"/>
  <c r="P56" i="56" a="1"/>
  <c r="P56" i="56" s="1"/>
  <c r="O56" i="56" a="1"/>
  <c r="O56" i="56" s="1"/>
  <c r="N56" i="56" a="1"/>
  <c r="N56" i="56" s="1"/>
  <c r="M56" i="56" a="1"/>
  <c r="M56" i="56" s="1"/>
  <c r="L56" i="56" a="1"/>
  <c r="L56" i="56" s="1"/>
  <c r="K56" i="56" a="1"/>
  <c r="K56" i="56" s="1"/>
  <c r="J56" i="56" a="1"/>
  <c r="J56" i="56" s="1"/>
  <c r="I56" i="56" a="1"/>
  <c r="I56" i="56" s="1"/>
  <c r="H56" i="56" a="1"/>
  <c r="H56" i="56" s="1"/>
  <c r="G56" i="56" a="1"/>
  <c r="G56" i="56" s="1"/>
  <c r="F56" i="56" a="1"/>
  <c r="F56" i="56" s="1"/>
  <c r="E56" i="56" a="1"/>
  <c r="E56" i="56" s="1"/>
  <c r="AN56" i="41" a="1"/>
  <c r="AN56" i="41" s="1"/>
  <c r="AM56" i="41" a="1"/>
  <c r="AM56" i="41" s="1"/>
  <c r="AL56" i="41" a="1"/>
  <c r="AL56" i="41" s="1"/>
  <c r="AK56" i="41" a="1"/>
  <c r="AK56" i="41" s="1"/>
  <c r="AJ56" i="41" a="1"/>
  <c r="AJ56" i="41" s="1"/>
  <c r="AI56" i="41" a="1"/>
  <c r="AI56" i="41" s="1"/>
  <c r="AH56" i="41" a="1"/>
  <c r="AH56" i="41" s="1"/>
  <c r="AG56" i="41" a="1"/>
  <c r="AG56" i="41" s="1"/>
  <c r="AF56" i="41" a="1"/>
  <c r="AF56" i="41" s="1"/>
  <c r="AE56" i="41" a="1"/>
  <c r="AE56" i="41" s="1"/>
  <c r="AD56" i="41" a="1"/>
  <c r="AD56" i="41" s="1"/>
  <c r="AC56" i="41" a="1"/>
  <c r="AC56" i="41" s="1"/>
  <c r="AB56" i="41" a="1"/>
  <c r="AB56" i="41" s="1"/>
  <c r="AA56" i="41" a="1"/>
  <c r="AA56" i="41" s="1"/>
  <c r="Z56" i="41" a="1"/>
  <c r="Z56" i="41" s="1"/>
  <c r="Y56" i="41" a="1"/>
  <c r="Y56" i="41" s="1"/>
  <c r="X56" i="41" a="1"/>
  <c r="X56" i="41" s="1"/>
  <c r="W56" i="41" a="1"/>
  <c r="W56" i="41" s="1"/>
  <c r="V56" i="41" a="1"/>
  <c r="V56" i="41" s="1"/>
  <c r="U56" i="41" a="1"/>
  <c r="U56" i="41" s="1"/>
  <c r="T56" i="41" a="1"/>
  <c r="T56" i="41" s="1"/>
  <c r="S56" i="41" a="1"/>
  <c r="S56" i="41" s="1"/>
  <c r="R56" i="41" a="1"/>
  <c r="R56" i="41" s="1"/>
  <c r="Q56" i="41" a="1"/>
  <c r="Q56" i="41" s="1"/>
  <c r="P56" i="41" a="1"/>
  <c r="P56" i="41" s="1"/>
  <c r="O56" i="41" a="1"/>
  <c r="O56" i="41" s="1"/>
  <c r="N56" i="41" a="1"/>
  <c r="N56" i="41" s="1"/>
  <c r="M56" i="41" a="1"/>
  <c r="M56" i="41" s="1"/>
  <c r="L56" i="41" a="1"/>
  <c r="L56" i="41" s="1"/>
  <c r="K56" i="41" a="1"/>
  <c r="K56" i="41" s="1"/>
  <c r="J56" i="41" a="1"/>
  <c r="J56" i="41" s="1"/>
  <c r="I56" i="41" a="1"/>
  <c r="I56" i="41" s="1"/>
  <c r="H56" i="41" a="1"/>
  <c r="H56" i="41" s="1"/>
  <c r="G56" i="41" a="1"/>
  <c r="G56" i="41" s="1"/>
  <c r="F56" i="41" a="1"/>
  <c r="F56" i="41" s="1"/>
  <c r="E56" i="41" a="1"/>
  <c r="E56" i="41" s="1"/>
  <c r="AN56" i="57" a="1"/>
  <c r="AN56" i="57" s="1"/>
  <c r="AM56" i="57" a="1"/>
  <c r="AM56" i="57" s="1"/>
  <c r="AL56" i="57" a="1"/>
  <c r="AL56" i="57" s="1"/>
  <c r="AK56" i="57" a="1"/>
  <c r="AK56" i="57" s="1"/>
  <c r="AJ56" i="57"/>
  <c r="AJ56" i="57" a="1"/>
  <c r="AI56" i="57" a="1"/>
  <c r="AI56" i="57" s="1"/>
  <c r="AH56" i="57" a="1"/>
  <c r="AH56" i="57" s="1"/>
  <c r="AG56" i="57" a="1"/>
  <c r="AG56" i="57" s="1"/>
  <c r="AF56" i="57" a="1"/>
  <c r="AF56" i="57" s="1"/>
  <c r="AE56" i="57" a="1"/>
  <c r="AE56" i="57" s="1"/>
  <c r="AD56" i="57" a="1"/>
  <c r="AD56" i="57" s="1"/>
  <c r="AC56" i="57" a="1"/>
  <c r="AC56" i="57" s="1"/>
  <c r="AB56" i="57" a="1"/>
  <c r="AB56" i="57" s="1"/>
  <c r="AA56" i="57" a="1"/>
  <c r="AA56" i="57" s="1"/>
  <c r="Z56" i="57" a="1"/>
  <c r="Z56" i="57" s="1"/>
  <c r="Y56" i="57" a="1"/>
  <c r="Y56" i="57" s="1"/>
  <c r="X56" i="57" a="1"/>
  <c r="X56" i="57" s="1"/>
  <c r="W56" i="57" a="1"/>
  <c r="W56" i="57" s="1"/>
  <c r="V56" i="57" a="1"/>
  <c r="V56" i="57" s="1"/>
  <c r="U56" i="57" a="1"/>
  <c r="U56" i="57" s="1"/>
  <c r="T56" i="57" a="1"/>
  <c r="T56" i="57" s="1"/>
  <c r="S56" i="57" a="1"/>
  <c r="S56" i="57" s="1"/>
  <c r="R56" i="57" a="1"/>
  <c r="R56" i="57" s="1"/>
  <c r="Q56" i="57" a="1"/>
  <c r="Q56" i="57" s="1"/>
  <c r="P56" i="57" a="1"/>
  <c r="P56" i="57" s="1"/>
  <c r="O56" i="57" a="1"/>
  <c r="O56" i="57" s="1"/>
  <c r="N56" i="57" a="1"/>
  <c r="N56" i="57" s="1"/>
  <c r="M56" i="57" a="1"/>
  <c r="M56" i="57" s="1"/>
  <c r="L56" i="57" a="1"/>
  <c r="L56" i="57" s="1"/>
  <c r="K56" i="57" a="1"/>
  <c r="K56" i="57" s="1"/>
  <c r="J56" i="57" a="1"/>
  <c r="J56" i="57" s="1"/>
  <c r="I56" i="57" a="1"/>
  <c r="I56" i="57" s="1"/>
  <c r="H56" i="57" a="1"/>
  <c r="H56" i="57" s="1"/>
  <c r="G56" i="57" a="1"/>
  <c r="G56" i="57" s="1"/>
  <c r="F56" i="57" a="1"/>
  <c r="F56" i="57" s="1"/>
  <c r="E56" i="57" a="1"/>
  <c r="E56" i="57" s="1"/>
  <c r="AN56" i="59" a="1"/>
  <c r="AN56" i="59" s="1"/>
  <c r="AM56" i="59" a="1"/>
  <c r="AM56" i="59" s="1"/>
  <c r="AL56" i="59" a="1"/>
  <c r="AL56" i="59" s="1"/>
  <c r="AK56" i="59" a="1"/>
  <c r="AK56" i="59" s="1"/>
  <c r="AJ56" i="59" a="1"/>
  <c r="AJ56" i="59" s="1"/>
  <c r="AI56" i="59" a="1"/>
  <c r="AI56" i="59" s="1"/>
  <c r="AH56" i="59" a="1"/>
  <c r="AH56" i="59" s="1"/>
  <c r="AG56" i="59" a="1"/>
  <c r="AG56" i="59" s="1"/>
  <c r="AF56" i="59" a="1"/>
  <c r="AF56" i="59" s="1"/>
  <c r="AE56" i="59" a="1"/>
  <c r="AE56" i="59" s="1"/>
  <c r="AD56" i="59" a="1"/>
  <c r="AD56" i="59" s="1"/>
  <c r="AC56" i="59" a="1"/>
  <c r="AC56" i="59" s="1"/>
  <c r="AB56" i="59" a="1"/>
  <c r="AB56" i="59" s="1"/>
  <c r="AA56" i="59" a="1"/>
  <c r="AA56" i="59" s="1"/>
  <c r="Z56" i="59" a="1"/>
  <c r="Z56" i="59" s="1"/>
  <c r="Y56" i="59" a="1"/>
  <c r="Y56" i="59" s="1"/>
  <c r="X56" i="59" a="1"/>
  <c r="X56" i="59" s="1"/>
  <c r="W56" i="59" a="1"/>
  <c r="W56" i="59" s="1"/>
  <c r="V56" i="59" a="1"/>
  <c r="V56" i="59" s="1"/>
  <c r="U56" i="59" a="1"/>
  <c r="U56" i="59" s="1"/>
  <c r="T56" i="59" a="1"/>
  <c r="T56" i="59" s="1"/>
  <c r="S56" i="59" a="1"/>
  <c r="S56" i="59" s="1"/>
  <c r="R56" i="59" a="1"/>
  <c r="R56" i="59" s="1"/>
  <c r="Q56" i="59" a="1"/>
  <c r="Q56" i="59" s="1"/>
  <c r="P56" i="59" a="1"/>
  <c r="P56" i="59" s="1"/>
  <c r="O56" i="59" a="1"/>
  <c r="O56" i="59" s="1"/>
  <c r="N56" i="59" a="1"/>
  <c r="N56" i="59" s="1"/>
  <c r="M56" i="59" a="1"/>
  <c r="M56" i="59" s="1"/>
  <c r="L56" i="59" a="1"/>
  <c r="L56" i="59" s="1"/>
  <c r="K56" i="59" a="1"/>
  <c r="K56" i="59" s="1"/>
  <c r="J56" i="59" a="1"/>
  <c r="J56" i="59" s="1"/>
  <c r="I56" i="59" a="1"/>
  <c r="I56" i="59" s="1"/>
  <c r="H56" i="59" a="1"/>
  <c r="H56" i="59" s="1"/>
  <c r="G56" i="59" a="1"/>
  <c r="G56" i="59" s="1"/>
  <c r="F56" i="59" a="1"/>
  <c r="F56" i="59" s="1"/>
  <c r="E56" i="59" a="1"/>
  <c r="E56" i="59" s="1"/>
  <c r="AN56" i="44" a="1"/>
  <c r="AN56" i="44" s="1"/>
  <c r="AM56" i="44" a="1"/>
  <c r="AM56" i="44" s="1"/>
  <c r="AL56" i="44" a="1"/>
  <c r="AL56" i="44" s="1"/>
  <c r="AK56" i="44" a="1"/>
  <c r="AK56" i="44" s="1"/>
  <c r="AJ56" i="44" a="1"/>
  <c r="AJ56" i="44" s="1"/>
  <c r="AI56" i="44" a="1"/>
  <c r="AI56" i="44" s="1"/>
  <c r="AH56" i="44" a="1"/>
  <c r="AH56" i="44" s="1"/>
  <c r="AG56" i="44" a="1"/>
  <c r="AG56" i="44" s="1"/>
  <c r="AF56" i="44" a="1"/>
  <c r="AF56" i="44" s="1"/>
  <c r="AE56" i="44" a="1"/>
  <c r="AE56" i="44" s="1"/>
  <c r="AD56" i="44" a="1"/>
  <c r="AD56" i="44" s="1"/>
  <c r="AC56" i="44" a="1"/>
  <c r="AC56" i="44" s="1"/>
  <c r="AB56" i="44" a="1"/>
  <c r="AB56" i="44" s="1"/>
  <c r="AA56" i="44" a="1"/>
  <c r="AA56" i="44" s="1"/>
  <c r="Z56" i="44" a="1"/>
  <c r="Z56" i="44" s="1"/>
  <c r="Y56" i="44" a="1"/>
  <c r="Y56" i="44" s="1"/>
  <c r="X56" i="44" a="1"/>
  <c r="X56" i="44" s="1"/>
  <c r="W56" i="44" a="1"/>
  <c r="W56" i="44" s="1"/>
  <c r="V56" i="44" a="1"/>
  <c r="V56" i="44" s="1"/>
  <c r="U56" i="44" a="1"/>
  <c r="U56" i="44" s="1"/>
  <c r="T56" i="44" a="1"/>
  <c r="T56" i="44" s="1"/>
  <c r="S56" i="44" a="1"/>
  <c r="S56" i="44" s="1"/>
  <c r="R56" i="44" a="1"/>
  <c r="R56" i="44" s="1"/>
  <c r="Q56" i="44" a="1"/>
  <c r="Q56" i="44" s="1"/>
  <c r="P56" i="44" a="1"/>
  <c r="P56" i="44" s="1"/>
  <c r="O56" i="44" a="1"/>
  <c r="O56" i="44" s="1"/>
  <c r="N56" i="44" a="1"/>
  <c r="N56" i="44" s="1"/>
  <c r="M56" i="44" a="1"/>
  <c r="M56" i="44" s="1"/>
  <c r="L56" i="44" a="1"/>
  <c r="L56" i="44" s="1"/>
  <c r="K56" i="44" a="1"/>
  <c r="K56" i="44" s="1"/>
  <c r="J56" i="44" a="1"/>
  <c r="J56" i="44" s="1"/>
  <c r="I56" i="44" a="1"/>
  <c r="I56" i="44" s="1"/>
  <c r="H56" i="44" a="1"/>
  <c r="H56" i="44" s="1"/>
  <c r="G56" i="44" a="1"/>
  <c r="G56" i="44" s="1"/>
  <c r="F56" i="44" a="1"/>
  <c r="F56" i="44" s="1"/>
  <c r="E56" i="44" a="1"/>
  <c r="E56" i="44" s="1"/>
  <c r="AN56" i="60" a="1"/>
  <c r="AN56" i="60" s="1"/>
  <c r="AM56" i="60" a="1"/>
  <c r="AM56" i="60" s="1"/>
  <c r="AL56" i="60" a="1"/>
  <c r="AL56" i="60" s="1"/>
  <c r="AK56" i="60" a="1"/>
  <c r="AK56" i="60" s="1"/>
  <c r="AJ56" i="60" a="1"/>
  <c r="AJ56" i="60" s="1"/>
  <c r="AI56" i="60" a="1"/>
  <c r="AI56" i="60" s="1"/>
  <c r="AH56" i="60" a="1"/>
  <c r="AH56" i="60" s="1"/>
  <c r="AG56" i="60" a="1"/>
  <c r="AG56" i="60" s="1"/>
  <c r="AF56" i="60" a="1"/>
  <c r="AF56" i="60" s="1"/>
  <c r="AE56" i="60" a="1"/>
  <c r="AE56" i="60" s="1"/>
  <c r="AD56" i="60" a="1"/>
  <c r="AD56" i="60" s="1"/>
  <c r="AC56" i="60" a="1"/>
  <c r="AC56" i="60" s="1"/>
  <c r="AB56" i="60" a="1"/>
  <c r="AB56" i="60" s="1"/>
  <c r="AA56" i="60" a="1"/>
  <c r="AA56" i="60" s="1"/>
  <c r="Z56" i="60" a="1"/>
  <c r="Z56" i="60" s="1"/>
  <c r="Y56" i="60" a="1"/>
  <c r="Y56" i="60" s="1"/>
  <c r="X56" i="60" a="1"/>
  <c r="X56" i="60" s="1"/>
  <c r="W56" i="60"/>
  <c r="W56" i="60" a="1"/>
  <c r="V56" i="60" a="1"/>
  <c r="V56" i="60" s="1"/>
  <c r="U56" i="60" a="1"/>
  <c r="U56" i="60" s="1"/>
  <c r="T56" i="60" a="1"/>
  <c r="T56" i="60" s="1"/>
  <c r="S56" i="60" a="1"/>
  <c r="S56" i="60" s="1"/>
  <c r="R56" i="60" a="1"/>
  <c r="R56" i="60" s="1"/>
  <c r="Q56" i="60" a="1"/>
  <c r="Q56" i="60" s="1"/>
  <c r="P56" i="60" a="1"/>
  <c r="P56" i="60" s="1"/>
  <c r="O56" i="60" a="1"/>
  <c r="O56" i="60" s="1"/>
  <c r="N56" i="60" a="1"/>
  <c r="N56" i="60" s="1"/>
  <c r="M56" i="60" a="1"/>
  <c r="M56" i="60" s="1"/>
  <c r="L56" i="60" a="1"/>
  <c r="L56" i="60" s="1"/>
  <c r="K56" i="60" a="1"/>
  <c r="K56" i="60" s="1"/>
  <c r="J56" i="60" a="1"/>
  <c r="J56" i="60" s="1"/>
  <c r="I56" i="60" a="1"/>
  <c r="I56" i="60" s="1"/>
  <c r="H56" i="60" a="1"/>
  <c r="H56" i="60" s="1"/>
  <c r="G56" i="60" a="1"/>
  <c r="G56" i="60" s="1"/>
  <c r="F56" i="60" a="1"/>
  <c r="F56" i="60" s="1"/>
  <c r="E56" i="60" a="1"/>
  <c r="E56" i="60" s="1"/>
  <c r="AN56" i="45" a="1"/>
  <c r="AN56" i="45" s="1"/>
  <c r="AM56" i="45" a="1"/>
  <c r="AM56" i="45" s="1"/>
  <c r="AL56" i="45" a="1"/>
  <c r="AL56" i="45" s="1"/>
  <c r="AK56" i="45" a="1"/>
  <c r="AK56" i="45" s="1"/>
  <c r="AJ56" i="45" a="1"/>
  <c r="AJ56" i="45" s="1"/>
  <c r="AI56" i="45" a="1"/>
  <c r="AI56" i="45" s="1"/>
  <c r="AH56" i="45" a="1"/>
  <c r="AH56" i="45" s="1"/>
  <c r="AG56" i="45" a="1"/>
  <c r="AG56" i="45" s="1"/>
  <c r="AF56" i="45" a="1"/>
  <c r="AF56" i="45" s="1"/>
  <c r="AE56" i="45" a="1"/>
  <c r="AE56" i="45" s="1"/>
  <c r="AD56" i="45" a="1"/>
  <c r="AD56" i="45" s="1"/>
  <c r="AC56" i="45" a="1"/>
  <c r="AC56" i="45" s="1"/>
  <c r="AB56" i="45" a="1"/>
  <c r="AB56" i="45" s="1"/>
  <c r="AA56" i="45" a="1"/>
  <c r="AA56" i="45" s="1"/>
  <c r="Z56" i="45" a="1"/>
  <c r="Z56" i="45" s="1"/>
  <c r="Y56" i="45" a="1"/>
  <c r="Y56" i="45" s="1"/>
  <c r="X56" i="45" a="1"/>
  <c r="X56" i="45" s="1"/>
  <c r="W56" i="45" a="1"/>
  <c r="W56" i="45" s="1"/>
  <c r="V56" i="45" a="1"/>
  <c r="V56" i="45" s="1"/>
  <c r="U56" i="45" a="1"/>
  <c r="U56" i="45" s="1"/>
  <c r="T56" i="45" a="1"/>
  <c r="T56" i="45" s="1"/>
  <c r="S56" i="45" a="1"/>
  <c r="S56" i="45" s="1"/>
  <c r="R56" i="45" a="1"/>
  <c r="R56" i="45" s="1"/>
  <c r="Q56" i="45" a="1"/>
  <c r="Q56" i="45" s="1"/>
  <c r="P56" i="45" a="1"/>
  <c r="P56" i="45" s="1"/>
  <c r="O56" i="45" a="1"/>
  <c r="O56" i="45" s="1"/>
  <c r="N56" i="45" a="1"/>
  <c r="N56" i="45" s="1"/>
  <c r="M56" i="45" a="1"/>
  <c r="M56" i="45" s="1"/>
  <c r="L56" i="45" a="1"/>
  <c r="L56" i="45" s="1"/>
  <c r="K56" i="45" a="1"/>
  <c r="K56" i="45" s="1"/>
  <c r="J56" i="45" a="1"/>
  <c r="J56" i="45" s="1"/>
  <c r="I56" i="45" a="1"/>
  <c r="I56" i="45" s="1"/>
  <c r="H56" i="45" a="1"/>
  <c r="H56" i="45" s="1"/>
  <c r="G56" i="45" a="1"/>
  <c r="G56" i="45" s="1"/>
  <c r="F56" i="45" a="1"/>
  <c r="F56" i="45" s="1"/>
  <c r="E56" i="45" a="1"/>
  <c r="E56" i="45" s="1"/>
  <c r="AN56" i="61" a="1"/>
  <c r="AN56" i="61" s="1"/>
  <c r="AM56" i="61" a="1"/>
  <c r="AM56" i="61" s="1"/>
  <c r="AL56" i="61" a="1"/>
  <c r="AL56" i="61" s="1"/>
  <c r="AK56" i="61" a="1"/>
  <c r="AK56" i="61" s="1"/>
  <c r="AJ56" i="61" a="1"/>
  <c r="AJ56" i="61" s="1"/>
  <c r="AI56" i="61" a="1"/>
  <c r="AI56" i="61" s="1"/>
  <c r="AH56" i="61" a="1"/>
  <c r="AH56" i="61" s="1"/>
  <c r="AG56" i="61" a="1"/>
  <c r="AG56" i="61" s="1"/>
  <c r="AF56" i="61" a="1"/>
  <c r="AF56" i="61" s="1"/>
  <c r="AE56" i="61" a="1"/>
  <c r="AE56" i="61" s="1"/>
  <c r="AD56" i="61" a="1"/>
  <c r="AD56" i="61" s="1"/>
  <c r="AC56" i="61" a="1"/>
  <c r="AC56" i="61" s="1"/>
  <c r="AB56" i="61" a="1"/>
  <c r="AB56" i="61" s="1"/>
  <c r="AA56" i="61" a="1"/>
  <c r="AA56" i="61" s="1"/>
  <c r="Z56" i="61" a="1"/>
  <c r="Z56" i="61" s="1"/>
  <c r="Y56" i="61" a="1"/>
  <c r="Y56" i="61" s="1"/>
  <c r="X56" i="61" a="1"/>
  <c r="X56" i="61" s="1"/>
  <c r="W56" i="61" a="1"/>
  <c r="W56" i="61" s="1"/>
  <c r="V56" i="61" a="1"/>
  <c r="V56" i="61" s="1"/>
  <c r="U56" i="61" a="1"/>
  <c r="U56" i="61" s="1"/>
  <c r="T56" i="61" a="1"/>
  <c r="T56" i="61" s="1"/>
  <c r="S56" i="61" a="1"/>
  <c r="S56" i="61" s="1"/>
  <c r="R56" i="61" a="1"/>
  <c r="R56" i="61" s="1"/>
  <c r="Q56" i="61" a="1"/>
  <c r="Q56" i="61" s="1"/>
  <c r="P56" i="61" a="1"/>
  <c r="P56" i="61" s="1"/>
  <c r="O56" i="61" a="1"/>
  <c r="O56" i="61" s="1"/>
  <c r="N56" i="61" a="1"/>
  <c r="N56" i="61" s="1"/>
  <c r="M56" i="61" a="1"/>
  <c r="M56" i="61" s="1"/>
  <c r="L56" i="61" a="1"/>
  <c r="L56" i="61" s="1"/>
  <c r="K56" i="61" a="1"/>
  <c r="K56" i="61" s="1"/>
  <c r="J56" i="61" a="1"/>
  <c r="J56" i="61" s="1"/>
  <c r="I56" i="61" a="1"/>
  <c r="I56" i="61" s="1"/>
  <c r="H56" i="61" a="1"/>
  <c r="H56" i="61" s="1"/>
  <c r="G56" i="61" a="1"/>
  <c r="G56" i="61" s="1"/>
  <c r="F56" i="61" a="1"/>
  <c r="F56" i="61" s="1"/>
  <c r="E56" i="61" a="1"/>
  <c r="E56" i="61" s="1"/>
  <c r="AN56" i="62" a="1"/>
  <c r="AN56" i="62" s="1"/>
  <c r="AM56" i="62" a="1"/>
  <c r="AM56" i="62" s="1"/>
  <c r="AL56" i="62" a="1"/>
  <c r="AL56" i="62" s="1"/>
  <c r="AK56" i="62" a="1"/>
  <c r="AK56" i="62" s="1"/>
  <c r="AJ56" i="62" a="1"/>
  <c r="AJ56" i="62" s="1"/>
  <c r="AI56" i="62" a="1"/>
  <c r="AI56" i="62" s="1"/>
  <c r="AH56" i="62" a="1"/>
  <c r="AH56" i="62" s="1"/>
  <c r="AG56" i="62" a="1"/>
  <c r="AG56" i="62" s="1"/>
  <c r="AF56" i="62" a="1"/>
  <c r="AF56" i="62" s="1"/>
  <c r="AE56" i="62" a="1"/>
  <c r="AE56" i="62" s="1"/>
  <c r="AD56" i="62" a="1"/>
  <c r="AD56" i="62" s="1"/>
  <c r="AC56" i="62" a="1"/>
  <c r="AC56" i="62" s="1"/>
  <c r="AB56" i="62" a="1"/>
  <c r="AB56" i="62" s="1"/>
  <c r="AA56" i="62" a="1"/>
  <c r="AA56" i="62" s="1"/>
  <c r="Z56" i="62" a="1"/>
  <c r="Z56" i="62" s="1"/>
  <c r="Y56" i="62" a="1"/>
  <c r="Y56" i="62" s="1"/>
  <c r="X56" i="62" a="1"/>
  <c r="X56" i="62" s="1"/>
  <c r="W56" i="62" a="1"/>
  <c r="W56" i="62" s="1"/>
  <c r="V56" i="62" a="1"/>
  <c r="V56" i="62" s="1"/>
  <c r="U56" i="62" a="1"/>
  <c r="U56" i="62" s="1"/>
  <c r="T56" i="62" a="1"/>
  <c r="T56" i="62" s="1"/>
  <c r="S56" i="62" a="1"/>
  <c r="S56" i="62" s="1"/>
  <c r="R56" i="62" a="1"/>
  <c r="R56" i="62" s="1"/>
  <c r="Q56" i="62" a="1"/>
  <c r="Q56" i="62" s="1"/>
  <c r="P56" i="62" a="1"/>
  <c r="P56" i="62" s="1"/>
  <c r="O56" i="62" a="1"/>
  <c r="O56" i="62" s="1"/>
  <c r="N56" i="62" a="1"/>
  <c r="N56" i="62" s="1"/>
  <c r="M56" i="62" a="1"/>
  <c r="M56" i="62" s="1"/>
  <c r="L56" i="62" a="1"/>
  <c r="L56" i="62" s="1"/>
  <c r="K56" i="62" a="1"/>
  <c r="K56" i="62" s="1"/>
  <c r="J56" i="62" a="1"/>
  <c r="J56" i="62" s="1"/>
  <c r="I56" i="62" a="1"/>
  <c r="I56" i="62" s="1"/>
  <c r="H56" i="62" a="1"/>
  <c r="H56" i="62" s="1"/>
  <c r="G56" i="62" a="1"/>
  <c r="G56" i="62" s="1"/>
  <c r="F56" i="62" a="1"/>
  <c r="F56" i="62" s="1"/>
  <c r="E56" i="62" a="1"/>
  <c r="E56" i="62" s="1"/>
  <c r="AN56" i="63" a="1"/>
  <c r="AN56" i="63" s="1"/>
  <c r="AM56" i="63" a="1"/>
  <c r="AM56" i="63" s="1"/>
  <c r="AL56" i="63" a="1"/>
  <c r="AL56" i="63" s="1"/>
  <c r="AK56" i="63" a="1"/>
  <c r="AK56" i="63" s="1"/>
  <c r="AJ56" i="63" a="1"/>
  <c r="AJ56" i="63" s="1"/>
  <c r="AI56" i="63" a="1"/>
  <c r="AI56" i="63" s="1"/>
  <c r="AH56" i="63" a="1"/>
  <c r="AH56" i="63" s="1"/>
  <c r="AG56" i="63" a="1"/>
  <c r="AG56" i="63" s="1"/>
  <c r="AF56" i="63" a="1"/>
  <c r="AF56" i="63" s="1"/>
  <c r="AE56" i="63" a="1"/>
  <c r="AE56" i="63" s="1"/>
  <c r="AD56" i="63" a="1"/>
  <c r="AD56" i="63" s="1"/>
  <c r="AC56" i="63" a="1"/>
  <c r="AC56" i="63" s="1"/>
  <c r="AB56" i="63" a="1"/>
  <c r="AB56" i="63" s="1"/>
  <c r="AA56" i="63" a="1"/>
  <c r="AA56" i="63" s="1"/>
  <c r="Z56" i="63" a="1"/>
  <c r="Z56" i="63" s="1"/>
  <c r="Y56" i="63" a="1"/>
  <c r="Y56" i="63" s="1"/>
  <c r="X56" i="63" a="1"/>
  <c r="X56" i="63" s="1"/>
  <c r="W56" i="63" a="1"/>
  <c r="W56" i="63" s="1"/>
  <c r="V56" i="63" a="1"/>
  <c r="V56" i="63" s="1"/>
  <c r="U56" i="63" a="1"/>
  <c r="U56" i="63" s="1"/>
  <c r="T56" i="63" a="1"/>
  <c r="T56" i="63" s="1"/>
  <c r="S56" i="63" a="1"/>
  <c r="S56" i="63" s="1"/>
  <c r="R56" i="63" a="1"/>
  <c r="R56" i="63" s="1"/>
  <c r="Q56" i="63" a="1"/>
  <c r="Q56" i="63" s="1"/>
  <c r="P56" i="63" a="1"/>
  <c r="P56" i="63" s="1"/>
  <c r="O56" i="63" a="1"/>
  <c r="O56" i="63" s="1"/>
  <c r="N56" i="63" a="1"/>
  <c r="N56" i="63" s="1"/>
  <c r="M56" i="63" a="1"/>
  <c r="M56" i="63" s="1"/>
  <c r="L56" i="63" a="1"/>
  <c r="L56" i="63" s="1"/>
  <c r="K56" i="63" a="1"/>
  <c r="K56" i="63" s="1"/>
  <c r="J56" i="63" a="1"/>
  <c r="J56" i="63" s="1"/>
  <c r="I56" i="63" a="1"/>
  <c r="I56" i="63" s="1"/>
  <c r="H56" i="63" a="1"/>
  <c r="H56" i="63" s="1"/>
  <c r="G56" i="63" a="1"/>
  <c r="G56" i="63" s="1"/>
  <c r="F56" i="63" a="1"/>
  <c r="F56" i="63" s="1"/>
  <c r="E56" i="63" a="1"/>
  <c r="E56" i="63" s="1"/>
  <c r="AN56" i="49" a="1"/>
  <c r="AN56" i="49" s="1"/>
  <c r="AM56" i="49" a="1"/>
  <c r="AM56" i="49" s="1"/>
  <c r="AL56" i="49" a="1"/>
  <c r="AL56" i="49" s="1"/>
  <c r="AK56" i="49" a="1"/>
  <c r="AK56" i="49" s="1"/>
  <c r="AJ56" i="49" a="1"/>
  <c r="AJ56" i="49" s="1"/>
  <c r="AI56" i="49" a="1"/>
  <c r="AI56" i="49" s="1"/>
  <c r="AH56" i="49" a="1"/>
  <c r="AH56" i="49" s="1"/>
  <c r="AG56" i="49" a="1"/>
  <c r="AG56" i="49" s="1"/>
  <c r="AF56" i="49" a="1"/>
  <c r="AF56" i="49" s="1"/>
  <c r="AE56" i="49" a="1"/>
  <c r="AE56" i="49" s="1"/>
  <c r="AD56" i="49" a="1"/>
  <c r="AD56" i="49" s="1"/>
  <c r="AC56" i="49" a="1"/>
  <c r="AC56" i="49" s="1"/>
  <c r="AB56" i="49" a="1"/>
  <c r="AB56" i="49" s="1"/>
  <c r="AA56" i="49" a="1"/>
  <c r="AA56" i="49" s="1"/>
  <c r="Z56" i="49" a="1"/>
  <c r="Z56" i="49" s="1"/>
  <c r="Y56" i="49" a="1"/>
  <c r="Y56" i="49" s="1"/>
  <c r="X56" i="49" a="1"/>
  <c r="X56" i="49" s="1"/>
  <c r="W56" i="49" a="1"/>
  <c r="W56" i="49" s="1"/>
  <c r="V56" i="49" a="1"/>
  <c r="V56" i="49" s="1"/>
  <c r="U56" i="49" a="1"/>
  <c r="U56" i="49" s="1"/>
  <c r="T56" i="49" a="1"/>
  <c r="T56" i="49" s="1"/>
  <c r="S56" i="49" a="1"/>
  <c r="S56" i="49" s="1"/>
  <c r="R56" i="49" a="1"/>
  <c r="R56" i="49" s="1"/>
  <c r="Q56" i="49" a="1"/>
  <c r="Q56" i="49" s="1"/>
  <c r="P56" i="49" a="1"/>
  <c r="P56" i="49" s="1"/>
  <c r="O56" i="49" a="1"/>
  <c r="O56" i="49" s="1"/>
  <c r="N56" i="49" a="1"/>
  <c r="N56" i="49" s="1"/>
  <c r="M56" i="49" a="1"/>
  <c r="M56" i="49" s="1"/>
  <c r="L56" i="49" a="1"/>
  <c r="L56" i="49" s="1"/>
  <c r="K56" i="49" a="1"/>
  <c r="K56" i="49" s="1"/>
  <c r="J56" i="49" a="1"/>
  <c r="J56" i="49" s="1"/>
  <c r="I56" i="49" a="1"/>
  <c r="I56" i="49" s="1"/>
  <c r="H56" i="49" a="1"/>
  <c r="H56" i="49" s="1"/>
  <c r="G56" i="49" a="1"/>
  <c r="G56" i="49" s="1"/>
  <c r="F56" i="49" a="1"/>
  <c r="F56" i="49" s="1"/>
  <c r="E56" i="49" a="1"/>
  <c r="E56" i="49" s="1"/>
  <c r="AN56" i="70" a="1"/>
  <c r="AN56" i="70" s="1"/>
  <c r="AM56" i="70" a="1"/>
  <c r="AM56" i="70" s="1"/>
  <c r="AL56" i="70" a="1"/>
  <c r="AL56" i="70" s="1"/>
  <c r="AK56" i="70" a="1"/>
  <c r="AK56" i="70" s="1"/>
  <c r="AJ56" i="70" a="1"/>
  <c r="AJ56" i="70" s="1"/>
  <c r="AI56" i="70" a="1"/>
  <c r="AI56" i="70" s="1"/>
  <c r="AH56" i="70" a="1"/>
  <c r="AH56" i="70" s="1"/>
  <c r="AG56" i="70" a="1"/>
  <c r="AG56" i="70" s="1"/>
  <c r="AF56" i="70" a="1"/>
  <c r="AF56" i="70" s="1"/>
  <c r="AE56" i="70" a="1"/>
  <c r="AE56" i="70" s="1"/>
  <c r="AD56" i="70" a="1"/>
  <c r="AD56" i="70" s="1"/>
  <c r="AC56" i="70" a="1"/>
  <c r="AC56" i="70" s="1"/>
  <c r="AB56" i="70" a="1"/>
  <c r="AB56" i="70" s="1"/>
  <c r="AA56" i="70" a="1"/>
  <c r="AA56" i="70" s="1"/>
  <c r="Z56" i="70" a="1"/>
  <c r="Z56" i="70" s="1"/>
  <c r="Y56" i="70" a="1"/>
  <c r="Y56" i="70" s="1"/>
  <c r="X56" i="70" a="1"/>
  <c r="X56" i="70" s="1"/>
  <c r="W56" i="70" a="1"/>
  <c r="W56" i="70" s="1"/>
  <c r="V56" i="70" a="1"/>
  <c r="V56" i="70" s="1"/>
  <c r="U56" i="70" a="1"/>
  <c r="U56" i="70" s="1"/>
  <c r="T56" i="70" a="1"/>
  <c r="T56" i="70" s="1"/>
  <c r="S56" i="70" a="1"/>
  <c r="S56" i="70" s="1"/>
  <c r="R56" i="70" a="1"/>
  <c r="R56" i="70" s="1"/>
  <c r="Q56" i="70" a="1"/>
  <c r="Q56" i="70" s="1"/>
  <c r="P56" i="70" a="1"/>
  <c r="P56" i="70" s="1"/>
  <c r="O56" i="70" a="1"/>
  <c r="O56" i="70" s="1"/>
  <c r="N56" i="70" a="1"/>
  <c r="N56" i="70" s="1"/>
  <c r="M56" i="70" a="1"/>
  <c r="M56" i="70" s="1"/>
  <c r="L56" i="70" a="1"/>
  <c r="L56" i="70" s="1"/>
  <c r="K56" i="70" a="1"/>
  <c r="K56" i="70" s="1"/>
  <c r="J56" i="70" a="1"/>
  <c r="J56" i="70" s="1"/>
  <c r="I56" i="70" a="1"/>
  <c r="I56" i="70" s="1"/>
  <c r="H56" i="70" a="1"/>
  <c r="H56" i="70" s="1"/>
  <c r="G56" i="70" a="1"/>
  <c r="G56" i="70" s="1"/>
  <c r="F56" i="70" a="1"/>
  <c r="F56" i="70" s="1"/>
  <c r="E56" i="70" a="1"/>
  <c r="E56" i="70" s="1"/>
  <c r="AN56" i="91" a="1"/>
  <c r="AN56" i="91" s="1"/>
  <c r="AM56" i="91" a="1"/>
  <c r="AM56" i="91" s="1"/>
  <c r="AL56" i="91" a="1"/>
  <c r="AL56" i="91" s="1"/>
  <c r="AK56" i="91" a="1"/>
  <c r="AK56" i="91" s="1"/>
  <c r="AJ56" i="91" a="1"/>
  <c r="AJ56" i="91" s="1"/>
  <c r="AI56" i="91" a="1"/>
  <c r="AI56" i="91" s="1"/>
  <c r="AH56" i="91" a="1"/>
  <c r="AH56" i="91" s="1"/>
  <c r="AG56" i="91" a="1"/>
  <c r="AG56" i="91" s="1"/>
  <c r="AF56" i="91" a="1"/>
  <c r="AF56" i="91" s="1"/>
  <c r="AE56" i="91" a="1"/>
  <c r="AE56" i="91" s="1"/>
  <c r="AD56" i="91" a="1"/>
  <c r="AD56" i="91" s="1"/>
  <c r="AC56" i="91" a="1"/>
  <c r="AC56" i="91" s="1"/>
  <c r="AB56" i="91" a="1"/>
  <c r="AB56" i="91" s="1"/>
  <c r="AA56" i="91" a="1"/>
  <c r="AA56" i="91" s="1"/>
  <c r="Z56" i="91" a="1"/>
  <c r="Z56" i="91" s="1"/>
  <c r="Y56" i="91" a="1"/>
  <c r="Y56" i="91" s="1"/>
  <c r="X56" i="91" a="1"/>
  <c r="X56" i="91" s="1"/>
  <c r="W56" i="91" a="1"/>
  <c r="W56" i="91" s="1"/>
  <c r="V56" i="91" a="1"/>
  <c r="V56" i="91" s="1"/>
  <c r="U56" i="91" a="1"/>
  <c r="U56" i="91" s="1"/>
  <c r="T56" i="91" a="1"/>
  <c r="T56" i="91" s="1"/>
  <c r="S56" i="91" a="1"/>
  <c r="S56" i="91" s="1"/>
  <c r="R56" i="91" a="1"/>
  <c r="R56" i="91" s="1"/>
  <c r="Q56" i="91" a="1"/>
  <c r="Q56" i="91" s="1"/>
  <c r="P56" i="91" a="1"/>
  <c r="P56" i="91" s="1"/>
  <c r="O56" i="91" a="1"/>
  <c r="O56" i="91" s="1"/>
  <c r="N56" i="91" a="1"/>
  <c r="N56" i="91" s="1"/>
  <c r="M56" i="91" a="1"/>
  <c r="M56" i="91" s="1"/>
  <c r="L56" i="91" a="1"/>
  <c r="L56" i="91" s="1"/>
  <c r="K56" i="91" a="1"/>
  <c r="K56" i="91" s="1"/>
  <c r="J56" i="91" a="1"/>
  <c r="J56" i="91" s="1"/>
  <c r="I56" i="91" a="1"/>
  <c r="I56" i="91" s="1"/>
  <c r="H56" i="91" a="1"/>
  <c r="H56" i="91" s="1"/>
  <c r="G56" i="91" a="1"/>
  <c r="G56" i="91" s="1"/>
  <c r="F56" i="91" a="1"/>
  <c r="F56" i="91" s="1"/>
  <c r="E56" i="91" a="1"/>
  <c r="E56" i="91" s="1"/>
  <c r="AN56" i="71" a="1"/>
  <c r="AN56" i="71" s="1"/>
  <c r="AM56" i="71" a="1"/>
  <c r="AM56" i="71" s="1"/>
  <c r="AL56" i="71" a="1"/>
  <c r="AL56" i="71" s="1"/>
  <c r="AK56" i="71" a="1"/>
  <c r="AK56" i="71" s="1"/>
  <c r="AJ56" i="71" a="1"/>
  <c r="AJ56" i="71" s="1"/>
  <c r="AI56" i="71" a="1"/>
  <c r="AI56" i="71" s="1"/>
  <c r="AH56" i="71" a="1"/>
  <c r="AH56" i="71" s="1"/>
  <c r="AG56" i="71" a="1"/>
  <c r="AG56" i="71" s="1"/>
  <c r="AF56" i="71" a="1"/>
  <c r="AF56" i="71" s="1"/>
  <c r="AE56" i="71" a="1"/>
  <c r="AE56" i="71" s="1"/>
  <c r="AD56" i="71" a="1"/>
  <c r="AD56" i="71" s="1"/>
  <c r="AC56" i="71" a="1"/>
  <c r="AC56" i="71" s="1"/>
  <c r="AB56" i="71" a="1"/>
  <c r="AB56" i="71" s="1"/>
  <c r="AA56" i="71" a="1"/>
  <c r="AA56" i="71" s="1"/>
  <c r="Z56" i="71" a="1"/>
  <c r="Z56" i="71" s="1"/>
  <c r="Y56" i="71" a="1"/>
  <c r="Y56" i="71" s="1"/>
  <c r="X56" i="71" a="1"/>
  <c r="X56" i="71" s="1"/>
  <c r="W56" i="71" a="1"/>
  <c r="W56" i="71" s="1"/>
  <c r="V56" i="71" a="1"/>
  <c r="V56" i="71" s="1"/>
  <c r="U56" i="71" a="1"/>
  <c r="U56" i="71" s="1"/>
  <c r="T56" i="71" a="1"/>
  <c r="T56" i="71" s="1"/>
  <c r="S56" i="71" a="1"/>
  <c r="S56" i="71" s="1"/>
  <c r="R56" i="71" a="1"/>
  <c r="R56" i="71" s="1"/>
  <c r="Q56" i="71" a="1"/>
  <c r="Q56" i="71" s="1"/>
  <c r="P56" i="71" a="1"/>
  <c r="P56" i="71" s="1"/>
  <c r="O56" i="71" a="1"/>
  <c r="O56" i="71" s="1"/>
  <c r="N56" i="71" a="1"/>
  <c r="N56" i="71" s="1"/>
  <c r="M56" i="71" a="1"/>
  <c r="M56" i="71" s="1"/>
  <c r="L56" i="71" a="1"/>
  <c r="L56" i="71" s="1"/>
  <c r="K56" i="71" a="1"/>
  <c r="K56" i="71" s="1"/>
  <c r="J56" i="71" a="1"/>
  <c r="J56" i="71" s="1"/>
  <c r="I56" i="71" a="1"/>
  <c r="I56" i="71" s="1"/>
  <c r="H56" i="71" a="1"/>
  <c r="H56" i="71" s="1"/>
  <c r="G56" i="71" a="1"/>
  <c r="G56" i="71" s="1"/>
  <c r="F56" i="71" a="1"/>
  <c r="F56" i="71" s="1"/>
  <c r="E56" i="71" a="1"/>
  <c r="E56" i="71" s="1"/>
  <c r="AN56" i="72" a="1"/>
  <c r="AN56" i="72" s="1"/>
  <c r="AM56" i="72" a="1"/>
  <c r="AM56" i="72" s="1"/>
  <c r="AL56" i="72" a="1"/>
  <c r="AL56" i="72" s="1"/>
  <c r="AK56" i="72" a="1"/>
  <c r="AK56" i="72" s="1"/>
  <c r="AJ56" i="72" a="1"/>
  <c r="AJ56" i="72" s="1"/>
  <c r="AI56" i="72" a="1"/>
  <c r="AI56" i="72" s="1"/>
  <c r="AH56" i="72" a="1"/>
  <c r="AH56" i="72" s="1"/>
  <c r="AG56" i="72" a="1"/>
  <c r="AG56" i="72" s="1"/>
  <c r="AF56" i="72" a="1"/>
  <c r="AF56" i="72" s="1"/>
  <c r="AE56" i="72" a="1"/>
  <c r="AE56" i="72" s="1"/>
  <c r="AD56" i="72" a="1"/>
  <c r="AD56" i="72" s="1"/>
  <c r="AC56" i="72" a="1"/>
  <c r="AC56" i="72" s="1"/>
  <c r="AB56" i="72" a="1"/>
  <c r="AB56" i="72" s="1"/>
  <c r="AA56" i="72" a="1"/>
  <c r="AA56" i="72" s="1"/>
  <c r="Z56" i="72" a="1"/>
  <c r="Z56" i="72" s="1"/>
  <c r="Y56" i="72" a="1"/>
  <c r="Y56" i="72" s="1"/>
  <c r="X56" i="72" a="1"/>
  <c r="X56" i="72" s="1"/>
  <c r="W56" i="72" a="1"/>
  <c r="W56" i="72" s="1"/>
  <c r="V56" i="72" a="1"/>
  <c r="V56" i="72" s="1"/>
  <c r="U56" i="72" a="1"/>
  <c r="U56" i="72" s="1"/>
  <c r="T56" i="72" a="1"/>
  <c r="T56" i="72" s="1"/>
  <c r="S56" i="72" a="1"/>
  <c r="S56" i="72" s="1"/>
  <c r="R56" i="72" a="1"/>
  <c r="R56" i="72" s="1"/>
  <c r="Q56" i="72" a="1"/>
  <c r="Q56" i="72" s="1"/>
  <c r="P56" i="72" a="1"/>
  <c r="P56" i="72" s="1"/>
  <c r="O56" i="72" a="1"/>
  <c r="O56" i="72" s="1"/>
  <c r="N56" i="72" a="1"/>
  <c r="N56" i="72" s="1"/>
  <c r="M56" i="72" a="1"/>
  <c r="M56" i="72" s="1"/>
  <c r="L56" i="72" a="1"/>
  <c r="L56" i="72" s="1"/>
  <c r="K56" i="72" a="1"/>
  <c r="K56" i="72" s="1"/>
  <c r="J56" i="72" a="1"/>
  <c r="J56" i="72" s="1"/>
  <c r="I56" i="72" a="1"/>
  <c r="I56" i="72" s="1"/>
  <c r="H56" i="72" a="1"/>
  <c r="H56" i="72" s="1"/>
  <c r="G56" i="72" a="1"/>
  <c r="G56" i="72" s="1"/>
  <c r="F56" i="72" a="1"/>
  <c r="F56" i="72" s="1"/>
  <c r="E56" i="72" a="1"/>
  <c r="E56" i="72" s="1"/>
  <c r="AN56" i="74" a="1"/>
  <c r="AN56" i="74" s="1"/>
  <c r="AM56" i="74" a="1"/>
  <c r="AM56" i="74" s="1"/>
  <c r="AL56" i="74" a="1"/>
  <c r="AL56" i="74" s="1"/>
  <c r="AK56" i="74" a="1"/>
  <c r="AK56" i="74" s="1"/>
  <c r="AJ56" i="74" a="1"/>
  <c r="AJ56" i="74" s="1"/>
  <c r="AI56" i="74" a="1"/>
  <c r="AI56" i="74" s="1"/>
  <c r="AH56" i="74" a="1"/>
  <c r="AH56" i="74" s="1"/>
  <c r="AG56" i="74" a="1"/>
  <c r="AG56" i="74" s="1"/>
  <c r="AF56" i="74" a="1"/>
  <c r="AF56" i="74" s="1"/>
  <c r="AE56" i="74" a="1"/>
  <c r="AE56" i="74" s="1"/>
  <c r="AD56" i="74" a="1"/>
  <c r="AD56" i="74" s="1"/>
  <c r="AC56" i="74" a="1"/>
  <c r="AC56" i="74" s="1"/>
  <c r="AB56" i="74" a="1"/>
  <c r="AB56" i="74" s="1"/>
  <c r="AA56" i="74" a="1"/>
  <c r="AA56" i="74" s="1"/>
  <c r="Z56" i="74" a="1"/>
  <c r="Z56" i="74" s="1"/>
  <c r="Y56" i="74" a="1"/>
  <c r="Y56" i="74" s="1"/>
  <c r="X56" i="74" a="1"/>
  <c r="X56" i="74" s="1"/>
  <c r="W56" i="74" a="1"/>
  <c r="W56" i="74" s="1"/>
  <c r="V56" i="74" a="1"/>
  <c r="V56" i="74" s="1"/>
  <c r="U56" i="74" a="1"/>
  <c r="U56" i="74" s="1"/>
  <c r="T56" i="74" a="1"/>
  <c r="T56" i="74" s="1"/>
  <c r="S56" i="74" a="1"/>
  <c r="S56" i="74" s="1"/>
  <c r="R56" i="74" a="1"/>
  <c r="R56" i="74" s="1"/>
  <c r="Q56" i="74"/>
  <c r="Q56" i="74" a="1"/>
  <c r="P56" i="74" a="1"/>
  <c r="P56" i="74" s="1"/>
  <c r="O56" i="74" a="1"/>
  <c r="O56" i="74" s="1"/>
  <c r="N56" i="74" a="1"/>
  <c r="N56" i="74" s="1"/>
  <c r="M56" i="74" a="1"/>
  <c r="M56" i="74" s="1"/>
  <c r="L56" i="74" a="1"/>
  <c r="L56" i="74" s="1"/>
  <c r="K56" i="74" a="1"/>
  <c r="K56" i="74" s="1"/>
  <c r="J56" i="74" a="1"/>
  <c r="J56" i="74" s="1"/>
  <c r="I56" i="74" a="1"/>
  <c r="I56" i="74" s="1"/>
  <c r="H56" i="74" a="1"/>
  <c r="H56" i="74" s="1"/>
  <c r="G56" i="74" a="1"/>
  <c r="G56" i="74" s="1"/>
  <c r="F56" i="74" a="1"/>
  <c r="F56" i="74" s="1"/>
  <c r="E56" i="74" a="1"/>
  <c r="E56" i="74" s="1"/>
  <c r="AN56" i="48" a="1"/>
  <c r="AN56" i="48" s="1"/>
  <c r="AM56" i="48" a="1"/>
  <c r="AM56" i="48" s="1"/>
  <c r="AL56" i="48" a="1"/>
  <c r="AL56" i="48" s="1"/>
  <c r="AK56" i="48" a="1"/>
  <c r="AK56" i="48" s="1"/>
  <c r="AJ56" i="48" a="1"/>
  <c r="AJ56" i="48" s="1"/>
  <c r="AI56" i="48" a="1"/>
  <c r="AI56" i="48" s="1"/>
  <c r="AH56" i="48" a="1"/>
  <c r="AH56" i="48" s="1"/>
  <c r="AG56" i="48" a="1"/>
  <c r="AG56" i="48" s="1"/>
  <c r="AF56" i="48" a="1"/>
  <c r="AF56" i="48" s="1"/>
  <c r="AE56" i="48" a="1"/>
  <c r="AE56" i="48" s="1"/>
  <c r="AD56" i="48" a="1"/>
  <c r="AD56" i="48" s="1"/>
  <c r="AC56" i="48" a="1"/>
  <c r="AC56" i="48" s="1"/>
  <c r="AB56" i="48" a="1"/>
  <c r="AB56" i="48" s="1"/>
  <c r="AA56" i="48" a="1"/>
  <c r="AA56" i="48" s="1"/>
  <c r="Z56" i="48" a="1"/>
  <c r="Z56" i="48" s="1"/>
  <c r="Y56" i="48" a="1"/>
  <c r="Y56" i="48" s="1"/>
  <c r="X56" i="48" a="1"/>
  <c r="X56" i="48" s="1"/>
  <c r="W56" i="48" a="1"/>
  <c r="W56" i="48" s="1"/>
  <c r="V56" i="48" a="1"/>
  <c r="V56" i="48" s="1"/>
  <c r="U56" i="48" a="1"/>
  <c r="U56" i="48" s="1"/>
  <c r="T56" i="48" a="1"/>
  <c r="T56" i="48" s="1"/>
  <c r="S56" i="48" a="1"/>
  <c r="S56" i="48" s="1"/>
  <c r="R56" i="48" a="1"/>
  <c r="R56" i="48" s="1"/>
  <c r="Q56" i="48" a="1"/>
  <c r="Q56" i="48" s="1"/>
  <c r="P56" i="48" a="1"/>
  <c r="P56" i="48" s="1"/>
  <c r="O56" i="48" a="1"/>
  <c r="O56" i="48" s="1"/>
  <c r="N56" i="48" a="1"/>
  <c r="N56" i="48" s="1"/>
  <c r="M56" i="48" a="1"/>
  <c r="M56" i="48" s="1"/>
  <c r="L56" i="48" a="1"/>
  <c r="L56" i="48" s="1"/>
  <c r="K56" i="48" a="1"/>
  <c r="K56" i="48" s="1"/>
  <c r="J56" i="48" a="1"/>
  <c r="J56" i="48" s="1"/>
  <c r="I56" i="48" a="1"/>
  <c r="I56" i="48" s="1"/>
  <c r="H56" i="48" a="1"/>
  <c r="H56" i="48" s="1"/>
  <c r="G56" i="48" a="1"/>
  <c r="G56" i="48" s="1"/>
  <c r="F56" i="48" a="1"/>
  <c r="F56" i="48" s="1"/>
  <c r="E56" i="48" a="1"/>
  <c r="E56" i="48" s="1"/>
  <c r="AN56" i="75" a="1"/>
  <c r="AN56" i="75" s="1"/>
  <c r="AM56" i="75" a="1"/>
  <c r="AM56" i="75" s="1"/>
  <c r="AL56" i="75" a="1"/>
  <c r="AL56" i="75" s="1"/>
  <c r="AK56" i="75" a="1"/>
  <c r="AK56" i="75" s="1"/>
  <c r="AJ56" i="75" a="1"/>
  <c r="AJ56" i="75" s="1"/>
  <c r="AI56" i="75" a="1"/>
  <c r="AI56" i="75" s="1"/>
  <c r="AH56" i="75" a="1"/>
  <c r="AH56" i="75" s="1"/>
  <c r="AG56" i="75" a="1"/>
  <c r="AG56" i="75" s="1"/>
  <c r="AF56" i="75" a="1"/>
  <c r="AF56" i="75" s="1"/>
  <c r="AE56" i="75" a="1"/>
  <c r="AE56" i="75" s="1"/>
  <c r="AD56" i="75" a="1"/>
  <c r="AD56" i="75" s="1"/>
  <c r="AC56" i="75" a="1"/>
  <c r="AC56" i="75" s="1"/>
  <c r="AB56" i="75" a="1"/>
  <c r="AB56" i="75" s="1"/>
  <c r="AA56" i="75" a="1"/>
  <c r="AA56" i="75" s="1"/>
  <c r="Z56" i="75" a="1"/>
  <c r="Z56" i="75" s="1"/>
  <c r="Y56" i="75" a="1"/>
  <c r="Y56" i="75" s="1"/>
  <c r="X56" i="75" a="1"/>
  <c r="X56" i="75" s="1"/>
  <c r="W56" i="75" a="1"/>
  <c r="W56" i="75" s="1"/>
  <c r="V56" i="75" a="1"/>
  <c r="V56" i="75" s="1"/>
  <c r="U56" i="75" a="1"/>
  <c r="U56" i="75" s="1"/>
  <c r="T56" i="75" a="1"/>
  <c r="T56" i="75" s="1"/>
  <c r="S56" i="75" a="1"/>
  <c r="S56" i="75" s="1"/>
  <c r="R56" i="75" a="1"/>
  <c r="R56" i="75" s="1"/>
  <c r="Q56" i="75" a="1"/>
  <c r="Q56" i="75" s="1"/>
  <c r="P56" i="75" a="1"/>
  <c r="P56" i="75" s="1"/>
  <c r="O56" i="75" a="1"/>
  <c r="O56" i="75" s="1"/>
  <c r="N56" i="75" a="1"/>
  <c r="N56" i="75" s="1"/>
  <c r="M56" i="75" a="1"/>
  <c r="M56" i="75" s="1"/>
  <c r="L56" i="75" a="1"/>
  <c r="L56" i="75" s="1"/>
  <c r="K56" i="75" a="1"/>
  <c r="K56" i="75" s="1"/>
  <c r="J56" i="75" a="1"/>
  <c r="J56" i="75" s="1"/>
  <c r="I56" i="75" a="1"/>
  <c r="I56" i="75" s="1"/>
  <c r="H56" i="75" a="1"/>
  <c r="H56" i="75" s="1"/>
  <c r="G56" i="75" a="1"/>
  <c r="G56" i="75" s="1"/>
  <c r="F56" i="75" a="1"/>
  <c r="F56" i="75" s="1"/>
  <c r="E56" i="75" a="1"/>
  <c r="E56" i="75" s="1"/>
  <c r="AN56" i="89" a="1"/>
  <c r="AN56" i="89" s="1"/>
  <c r="AM56" i="89" a="1"/>
  <c r="AM56" i="89" s="1"/>
  <c r="AL56" i="89" a="1"/>
  <c r="AL56" i="89" s="1"/>
  <c r="AK56" i="89" a="1"/>
  <c r="AK56" i="89" s="1"/>
  <c r="AJ56" i="89" a="1"/>
  <c r="AJ56" i="89" s="1"/>
  <c r="AI56" i="89" a="1"/>
  <c r="AI56" i="89" s="1"/>
  <c r="AH56" i="89" a="1"/>
  <c r="AH56" i="89" s="1"/>
  <c r="AG56" i="89" a="1"/>
  <c r="AG56" i="89" s="1"/>
  <c r="AF56" i="89" a="1"/>
  <c r="AF56" i="89" s="1"/>
  <c r="AE56" i="89" a="1"/>
  <c r="AE56" i="89" s="1"/>
  <c r="AD56" i="89" a="1"/>
  <c r="AD56" i="89" s="1"/>
  <c r="AC56" i="89" a="1"/>
  <c r="AC56" i="89" s="1"/>
  <c r="AB56" i="89" a="1"/>
  <c r="AB56" i="89" s="1"/>
  <c r="AA56" i="89" a="1"/>
  <c r="AA56" i="89" s="1"/>
  <c r="Z56" i="89" a="1"/>
  <c r="Z56" i="89" s="1"/>
  <c r="Y56" i="89" a="1"/>
  <c r="Y56" i="89" s="1"/>
  <c r="X56" i="89" a="1"/>
  <c r="X56" i="89" s="1"/>
  <c r="W56" i="89" a="1"/>
  <c r="W56" i="89" s="1"/>
  <c r="V56" i="89" a="1"/>
  <c r="V56" i="89" s="1"/>
  <c r="U56" i="89" a="1"/>
  <c r="U56" i="89" s="1"/>
  <c r="T56" i="89" a="1"/>
  <c r="T56" i="89" s="1"/>
  <c r="S56" i="89" a="1"/>
  <c r="S56" i="89" s="1"/>
  <c r="R56" i="89" a="1"/>
  <c r="R56" i="89" s="1"/>
  <c r="Q56" i="89" a="1"/>
  <c r="Q56" i="89" s="1"/>
  <c r="P56" i="89" a="1"/>
  <c r="P56" i="89" s="1"/>
  <c r="O56" i="89" a="1"/>
  <c r="O56" i="89" s="1"/>
  <c r="N56" i="89" a="1"/>
  <c r="N56" i="89" s="1"/>
  <c r="M56" i="89" a="1"/>
  <c r="M56" i="89" s="1"/>
  <c r="L56" i="89" a="1"/>
  <c r="L56" i="89" s="1"/>
  <c r="K56" i="89" a="1"/>
  <c r="K56" i="89" s="1"/>
  <c r="J56" i="89" a="1"/>
  <c r="J56" i="89" s="1"/>
  <c r="I56" i="89" a="1"/>
  <c r="I56" i="89" s="1"/>
  <c r="H56" i="89" a="1"/>
  <c r="H56" i="89" s="1"/>
  <c r="G56" i="89" a="1"/>
  <c r="G56" i="89" s="1"/>
  <c r="F56" i="89" a="1"/>
  <c r="F56" i="89" s="1"/>
  <c r="E56" i="89" a="1"/>
  <c r="E56" i="89" s="1"/>
  <c r="AN56" i="90" a="1"/>
  <c r="AN56" i="90" s="1"/>
  <c r="AM56" i="90" a="1"/>
  <c r="AM56" i="90" s="1"/>
  <c r="AL56" i="90" a="1"/>
  <c r="AL56" i="90" s="1"/>
  <c r="AK56" i="90" a="1"/>
  <c r="AK56" i="90" s="1"/>
  <c r="AJ56" i="90" a="1"/>
  <c r="AJ56" i="90" s="1"/>
  <c r="AI56" i="90" a="1"/>
  <c r="AI56" i="90" s="1"/>
  <c r="AH56" i="90" a="1"/>
  <c r="AH56" i="90" s="1"/>
  <c r="AG56" i="90" a="1"/>
  <c r="AG56" i="90" s="1"/>
  <c r="AF56" i="90" a="1"/>
  <c r="AF56" i="90" s="1"/>
  <c r="AE56" i="90" a="1"/>
  <c r="AE56" i="90" s="1"/>
  <c r="AD56" i="90" a="1"/>
  <c r="AD56" i="90" s="1"/>
  <c r="AC56" i="90" a="1"/>
  <c r="AC56" i="90" s="1"/>
  <c r="AB56" i="90" a="1"/>
  <c r="AB56" i="90" s="1"/>
  <c r="AA56" i="90" a="1"/>
  <c r="AA56" i="90" s="1"/>
  <c r="Z56" i="90" a="1"/>
  <c r="Z56" i="90" s="1"/>
  <c r="Y56" i="90" a="1"/>
  <c r="Y56" i="90" s="1"/>
  <c r="X56" i="90" a="1"/>
  <c r="X56" i="90" s="1"/>
  <c r="W56" i="90" a="1"/>
  <c r="W56" i="90" s="1"/>
  <c r="V56" i="90" a="1"/>
  <c r="V56" i="90" s="1"/>
  <c r="U56" i="90" a="1"/>
  <c r="U56" i="90" s="1"/>
  <c r="T56" i="90" a="1"/>
  <c r="T56" i="90" s="1"/>
  <c r="S56" i="90" a="1"/>
  <c r="S56" i="90" s="1"/>
  <c r="R56" i="90" a="1"/>
  <c r="R56" i="90" s="1"/>
  <c r="Q56" i="90" a="1"/>
  <c r="Q56" i="90" s="1"/>
  <c r="P56" i="90" a="1"/>
  <c r="P56" i="90" s="1"/>
  <c r="O56" i="90" a="1"/>
  <c r="O56" i="90" s="1"/>
  <c r="N56" i="90" a="1"/>
  <c r="N56" i="90" s="1"/>
  <c r="M56" i="90" a="1"/>
  <c r="M56" i="90" s="1"/>
  <c r="L56" i="90" a="1"/>
  <c r="L56" i="90" s="1"/>
  <c r="K56" i="90" a="1"/>
  <c r="K56" i="90" s="1"/>
  <c r="J56" i="90" a="1"/>
  <c r="J56" i="90" s="1"/>
  <c r="I56" i="90" a="1"/>
  <c r="I56" i="90" s="1"/>
  <c r="H56" i="90" a="1"/>
  <c r="H56" i="90" s="1"/>
  <c r="G56" i="90" a="1"/>
  <c r="G56" i="90" s="1"/>
  <c r="F56" i="90" a="1"/>
  <c r="F56" i="90" s="1"/>
  <c r="E56" i="90" a="1"/>
  <c r="E56" i="90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Y56" i="27" a="1"/>
  <c r="Y56" i="27" s="1"/>
  <c r="X56" i="27" a="1"/>
  <c r="X56" i="27" s="1"/>
  <c r="W56" i="27" a="1"/>
  <c r="W56" i="27" s="1"/>
  <c r="V56" i="27" a="1"/>
  <c r="V56" i="27" s="1"/>
  <c r="U56" i="27" a="1"/>
  <c r="U56" i="27" s="1"/>
  <c r="T56" i="27" a="1"/>
  <c r="T56" i="27" s="1"/>
  <c r="S56" i="27" a="1"/>
  <c r="S56" i="27" s="1"/>
  <c r="R56" i="27" a="1"/>
  <c r="R56" i="27" s="1"/>
  <c r="Q56" i="27" a="1"/>
  <c r="Q56" i="27" s="1"/>
  <c r="P56" i="27" a="1"/>
  <c r="P56" i="27" s="1"/>
  <c r="O56" i="27" a="1"/>
  <c r="O56" i="27" s="1"/>
  <c r="N56" i="27" a="1"/>
  <c r="N56" i="27" s="1"/>
  <c r="M56" i="27" a="1"/>
  <c r="M56" i="27" s="1"/>
  <c r="L56" i="27" a="1"/>
  <c r="L56" i="27" s="1"/>
  <c r="K56" i="27" a="1"/>
  <c r="K56" i="27" s="1"/>
  <c r="J56" i="27" a="1"/>
  <c r="J56" i="27" s="1"/>
  <c r="I56" i="27" a="1"/>
  <c r="I56" i="27" s="1"/>
  <c r="H56" i="27" a="1"/>
  <c r="H56" i="27" s="1"/>
  <c r="G56" i="27" a="1"/>
  <c r="G56" i="27" s="1"/>
  <c r="F56" i="27" a="1"/>
  <c r="F56" i="27" s="1"/>
  <c r="E56" i="27" a="1"/>
  <c r="E56" i="27" s="1"/>
  <c r="AX4" i="5"/>
  <c r="A1" i="88" a="1"/>
  <c r="A1" i="88" s="1"/>
  <c r="A1" i="29" a="1"/>
  <c r="A1" i="29" s="1"/>
  <c r="A1" i="24" a="1"/>
  <c r="A1" i="24" s="1"/>
  <c r="A1" i="32" a="1"/>
  <c r="A1" i="32" s="1"/>
  <c r="A1" i="25" a="1"/>
  <c r="A1" i="25" s="1"/>
  <c r="A1" i="35" a="1"/>
  <c r="A1" i="35" s="1"/>
  <c r="A1" i="37" a="1"/>
  <c r="A1" i="37" s="1"/>
  <c r="A1" i="66" a="1"/>
  <c r="A1" i="66" s="1"/>
  <c r="A1" i="68" a="1"/>
  <c r="A1" i="68" s="1"/>
  <c r="A1" i="38" a="1"/>
  <c r="A1" i="38" s="1"/>
  <c r="A1" i="39" a="1"/>
  <c r="A1" i="39" s="1"/>
  <c r="A1" i="41" a="1"/>
  <c r="A1" i="41" s="1"/>
  <c r="A1" i="44" a="1"/>
  <c r="A1" i="44" s="1"/>
  <c r="A1" i="45" a="1"/>
  <c r="A1" i="45" s="1"/>
  <c r="A1" i="49" a="1"/>
  <c r="A1" i="49" s="1"/>
  <c r="A1" i="91" a="1"/>
  <c r="A1" i="91" s="1"/>
  <c r="A1" i="89" a="1"/>
  <c r="A1" i="89" s="1"/>
  <c r="A1" i="90" a="1"/>
  <c r="A1" i="90" s="1"/>
  <c r="A1" i="27" a="1"/>
  <c r="A1" i="27" s="1"/>
  <c r="AD21" i="98"/>
  <c r="AL21" i="98"/>
  <c r="AT21" i="98"/>
  <c r="B35" i="77"/>
  <c r="B34" i="77"/>
  <c r="B33" i="77"/>
  <c r="B32" i="77"/>
  <c r="B31" i="77"/>
  <c r="B30" i="77"/>
  <c r="B29" i="77"/>
  <c r="B28" i="77"/>
  <c r="B27" i="77"/>
  <c r="B26" i="77"/>
  <c r="B35" i="79"/>
  <c r="B34" i="79"/>
  <c r="B33" i="79"/>
  <c r="B32" i="79"/>
  <c r="B31" i="79"/>
  <c r="B30" i="79"/>
  <c r="B29" i="79"/>
  <c r="B28" i="79"/>
  <c r="B27" i="79"/>
  <c r="B26" i="79"/>
  <c r="B35" i="80"/>
  <c r="B34" i="80"/>
  <c r="B33" i="80"/>
  <c r="B32" i="80"/>
  <c r="B31" i="80"/>
  <c r="B30" i="80"/>
  <c r="B29" i="80"/>
  <c r="B28" i="80"/>
  <c r="B27" i="80"/>
  <c r="B26" i="80"/>
  <c r="B35" i="81"/>
  <c r="B34" i="81"/>
  <c r="B33" i="81"/>
  <c r="B32" i="81"/>
  <c r="B31" i="81"/>
  <c r="B30" i="81"/>
  <c r="B29" i="81"/>
  <c r="B28" i="81"/>
  <c r="B27" i="81"/>
  <c r="B26" i="81"/>
  <c r="E36" i="73" a="1"/>
  <c r="E36" i="73" s="1"/>
  <c r="E36" i="13" a="1"/>
  <c r="E36" i="13" s="1"/>
  <c r="E36" i="88" a="1"/>
  <c r="E36" i="88" s="1"/>
  <c r="E36" i="23" a="1"/>
  <c r="E36" i="23" s="1"/>
  <c r="E36" i="29" a="1"/>
  <c r="E36" i="29" s="1"/>
  <c r="E36" i="24" a="1"/>
  <c r="E36" i="24" s="1"/>
  <c r="E36" i="19" a="1"/>
  <c r="E36" i="19" s="1"/>
  <c r="E36" i="30" a="1"/>
  <c r="E36" i="30" s="1"/>
  <c r="E36" i="33" a="1"/>
  <c r="E36" i="33" s="1"/>
  <c r="E36" i="32" a="1"/>
  <c r="E36" i="32" s="1"/>
  <c r="E36" i="31" a="1"/>
  <c r="E36" i="31" s="1"/>
  <c r="E36" i="25" a="1"/>
  <c r="E36" i="25" s="1"/>
  <c r="E36" i="50" a="1"/>
  <c r="E36" i="50" s="1"/>
  <c r="E36" i="35" a="1"/>
  <c r="E36" i="35" s="1"/>
  <c r="E36" i="51" a="1"/>
  <c r="E36" i="51" s="1"/>
  <c r="E36" i="52" a="1"/>
  <c r="E36" i="52" s="1"/>
  <c r="E36" i="37" a="1"/>
  <c r="E36" i="37" s="1"/>
  <c r="E36" i="65" a="1"/>
  <c r="E36" i="65" s="1"/>
  <c r="E36" i="66" a="1"/>
  <c r="E36" i="66" s="1"/>
  <c r="E36" i="67" a="1"/>
  <c r="E36" i="67" s="1"/>
  <c r="E36" i="68" a="1"/>
  <c r="E36" i="68" s="1"/>
  <c r="E36" i="53" a="1"/>
  <c r="E36" i="53" s="1"/>
  <c r="E36" i="38" a="1"/>
  <c r="E36" i="38" s="1"/>
  <c r="E36" i="54" a="1"/>
  <c r="E36" i="54" s="1"/>
  <c r="E36" i="39" a="1"/>
  <c r="E36" i="39" s="1"/>
  <c r="E36" i="55" a="1"/>
  <c r="E36" i="55" s="1"/>
  <c r="E36" i="56" a="1"/>
  <c r="E36" i="56" s="1"/>
  <c r="E36" i="41" a="1"/>
  <c r="E36" i="41" s="1"/>
  <c r="E36" i="57" a="1"/>
  <c r="E36" i="57" s="1"/>
  <c r="E36" i="59" a="1"/>
  <c r="E36" i="59" s="1"/>
  <c r="E36" i="44" a="1"/>
  <c r="E36" i="44" s="1"/>
  <c r="E36" i="60" a="1"/>
  <c r="E36" i="60" s="1"/>
  <c r="E36" i="45" a="1"/>
  <c r="E36" i="45" s="1"/>
  <c r="E36" i="61" a="1"/>
  <c r="E36" i="61" s="1"/>
  <c r="E36" i="62" a="1"/>
  <c r="E36" i="62" s="1"/>
  <c r="E36" i="63" a="1"/>
  <c r="E36" i="63" s="1"/>
  <c r="E36" i="49" a="1"/>
  <c r="E36" i="49" s="1"/>
  <c r="E36" i="70" a="1"/>
  <c r="E36" i="70" s="1"/>
  <c r="E36" i="91" a="1"/>
  <c r="E36" i="91" s="1"/>
  <c r="E36" i="71" a="1"/>
  <c r="E36" i="71" s="1"/>
  <c r="E36" i="72" a="1"/>
  <c r="E36" i="72" s="1"/>
  <c r="E36" i="74" a="1"/>
  <c r="E36" i="74" s="1"/>
  <c r="E36" i="48" a="1"/>
  <c r="E36" i="48" s="1"/>
  <c r="E36" i="75" a="1"/>
  <c r="E36" i="75" s="1"/>
  <c r="E36" i="89" a="1"/>
  <c r="E36" i="89" s="1"/>
  <c r="E36" i="90" a="1"/>
  <c r="E36" i="90" s="1"/>
  <c r="E36" i="27" a="1"/>
  <c r="E36" i="27" s="1"/>
  <c r="E36" i="77" a="1"/>
  <c r="E36" i="77" s="1"/>
  <c r="E34" i="77" a="1"/>
  <c r="E34" i="77" s="1"/>
  <c r="E33" i="77" a="1"/>
  <c r="E33" i="77" s="1"/>
  <c r="E32" i="77" a="1"/>
  <c r="E32" i="77" s="1"/>
  <c r="E31" i="77" a="1"/>
  <c r="E31" i="77" s="1"/>
  <c r="E36" i="79" a="1"/>
  <c r="E36" i="79" s="1"/>
  <c r="E34" i="79" a="1"/>
  <c r="E34" i="79" s="1"/>
  <c r="E33" i="79" a="1"/>
  <c r="E33" i="79" s="1"/>
  <c r="E32" i="79" a="1"/>
  <c r="E32" i="79" s="1"/>
  <c r="E31" i="79" a="1"/>
  <c r="E31" i="79" s="1"/>
  <c r="E36" i="80" a="1"/>
  <c r="E36" i="80" s="1"/>
  <c r="E34" i="80" a="1"/>
  <c r="E34" i="80" s="1"/>
  <c r="E33" i="80" a="1"/>
  <c r="E33" i="80" s="1"/>
  <c r="E32" i="80" a="1"/>
  <c r="E32" i="80" s="1"/>
  <c r="E31" i="80" a="1"/>
  <c r="E31" i="80" s="1"/>
  <c r="E34" i="81" a="1"/>
  <c r="E34" i="81" s="1"/>
  <c r="E33" i="81" a="1"/>
  <c r="E33" i="81" s="1"/>
  <c r="E32" i="81" a="1"/>
  <c r="E32" i="81" s="1"/>
  <c r="E31" i="81" a="1"/>
  <c r="E31" i="81" s="1"/>
  <c r="E36" i="81" a="1"/>
  <c r="E36" i="81" s="1"/>
  <c r="BK144" i="5"/>
  <c r="BL144" i="5" s="1"/>
  <c r="BL143" i="5"/>
  <c r="BK143" i="5"/>
  <c r="BK142" i="5"/>
  <c r="BL142" i="5" s="1"/>
  <c r="BK134" i="5"/>
  <c r="BL134" i="5" s="1"/>
  <c r="C55" i="73" a="1"/>
  <c r="C55" i="73" s="1"/>
  <c r="C55" i="13" a="1"/>
  <c r="C55" i="13" s="1"/>
  <c r="C55" i="88" a="1"/>
  <c r="C55" i="88" s="1"/>
  <c r="C55" i="23" a="1"/>
  <c r="C55" i="23" s="1"/>
  <c r="C55" i="29" a="1"/>
  <c r="C55" i="29" s="1"/>
  <c r="C55" i="24" a="1"/>
  <c r="C55" i="24" s="1"/>
  <c r="C55" i="19" a="1"/>
  <c r="C55" i="19" s="1"/>
  <c r="C55" i="30" a="1"/>
  <c r="C55" i="30" s="1"/>
  <c r="C55" i="33" a="1"/>
  <c r="C55" i="33" s="1"/>
  <c r="C55" i="32" a="1"/>
  <c r="C55" i="32" s="1"/>
  <c r="C55" i="31" a="1"/>
  <c r="C55" i="31" s="1"/>
  <c r="C55" i="25" a="1"/>
  <c r="C55" i="25" s="1"/>
  <c r="C55" i="50" a="1"/>
  <c r="C55" i="50" s="1"/>
  <c r="C55" i="35" a="1"/>
  <c r="C55" i="35" s="1"/>
  <c r="C55" i="51" a="1"/>
  <c r="C55" i="51" s="1"/>
  <c r="C55" i="52" a="1"/>
  <c r="C55" i="52" s="1"/>
  <c r="C55" i="37" a="1"/>
  <c r="C55" i="37" s="1"/>
  <c r="C55" i="65" a="1"/>
  <c r="C55" i="65" s="1"/>
  <c r="C55" i="66" a="1"/>
  <c r="C55" i="66" s="1"/>
  <c r="C55" i="67" a="1"/>
  <c r="C55" i="67" s="1"/>
  <c r="C55" i="68" a="1"/>
  <c r="C55" i="68" s="1"/>
  <c r="C55" i="53" a="1"/>
  <c r="C55" i="53" s="1"/>
  <c r="C55" i="38" a="1"/>
  <c r="C55" i="38" s="1"/>
  <c r="C55" i="54" a="1"/>
  <c r="C55" i="54" s="1"/>
  <c r="C55" i="39" a="1"/>
  <c r="C55" i="39" s="1"/>
  <c r="C55" i="55" a="1"/>
  <c r="C55" i="55" s="1"/>
  <c r="C55" i="56" a="1"/>
  <c r="C55" i="56" s="1"/>
  <c r="C55" i="41" a="1"/>
  <c r="C55" i="41" s="1"/>
  <c r="C55" i="57" a="1"/>
  <c r="C55" i="57" s="1"/>
  <c r="C55" i="59" a="1"/>
  <c r="C55" i="59" s="1"/>
  <c r="C55" i="44" a="1"/>
  <c r="C55" i="44" s="1"/>
  <c r="C55" i="60" a="1"/>
  <c r="C55" i="60" s="1"/>
  <c r="C55" i="45" a="1"/>
  <c r="C55" i="45" s="1"/>
  <c r="C55" i="61" a="1"/>
  <c r="C55" i="61" s="1"/>
  <c r="C55" i="62" a="1"/>
  <c r="C55" i="62" s="1"/>
  <c r="C55" i="63" a="1"/>
  <c r="C55" i="63" s="1"/>
  <c r="C55" i="49" a="1"/>
  <c r="C55" i="49" s="1"/>
  <c r="C55" i="70" a="1"/>
  <c r="C55" i="70" s="1"/>
  <c r="C55" i="91" a="1"/>
  <c r="C55" i="91" s="1"/>
  <c r="C55" i="71" a="1"/>
  <c r="C55" i="71" s="1"/>
  <c r="C55" i="72" a="1"/>
  <c r="C55" i="72" s="1"/>
  <c r="C55" i="74" a="1"/>
  <c r="C55" i="74" s="1"/>
  <c r="C55" i="48" a="1"/>
  <c r="C55" i="48" s="1"/>
  <c r="C55" i="75" a="1"/>
  <c r="C55" i="75" s="1"/>
  <c r="C55" i="89" a="1"/>
  <c r="C55" i="89" s="1"/>
  <c r="C55" i="90" a="1"/>
  <c r="C55" i="90" s="1"/>
  <c r="C55" i="27" a="1"/>
  <c r="C55" i="27" s="1"/>
  <c r="C55" i="22" a="1"/>
  <c r="C55" i="22" s="1"/>
  <c r="C55" i="77" a="1"/>
  <c r="C55" i="77" s="1"/>
  <c r="C55" i="79" a="1"/>
  <c r="C55" i="79" s="1"/>
  <c r="C55" i="80" a="1"/>
  <c r="C55" i="80" s="1"/>
  <c r="C55" i="81" a="1"/>
  <c r="C55" i="81" s="1"/>
  <c r="C56" i="17" a="1"/>
  <c r="C56" i="17" s="1"/>
  <c r="E25" i="17" a="1"/>
  <c r="E25" i="17" s="1"/>
  <c r="E49" i="17" s="1" a="1"/>
  <c r="E49" i="17" s="1"/>
  <c r="E25" i="77" a="1"/>
  <c r="E25" i="77" s="1"/>
  <c r="E25" i="79" a="1"/>
  <c r="E25" i="79" s="1"/>
  <c r="E25" i="80" a="1"/>
  <c r="E25" i="80" s="1"/>
  <c r="E25" i="81" a="1"/>
  <c r="E25" i="81" s="1"/>
  <c r="E25" i="22" a="1"/>
  <c r="E25" i="22" s="1"/>
  <c r="E25" i="27" a="1"/>
  <c r="E25" i="27" s="1"/>
  <c r="E25" i="13" a="1"/>
  <c r="E25" i="13" s="1"/>
  <c r="E25" i="88" a="1"/>
  <c r="E25" i="88" s="1"/>
  <c r="E25" i="23" a="1"/>
  <c r="E25" i="23" s="1"/>
  <c r="E25" i="29" a="1"/>
  <c r="E25" i="29" s="1"/>
  <c r="E25" i="24" a="1"/>
  <c r="E25" i="24" s="1"/>
  <c r="E25" i="19" a="1"/>
  <c r="E25" i="19" s="1"/>
  <c r="E25" i="30" a="1"/>
  <c r="E25" i="30" s="1"/>
  <c r="E25" i="33" a="1"/>
  <c r="E25" i="33" s="1"/>
  <c r="E25" i="32" a="1"/>
  <c r="E25" i="32" s="1"/>
  <c r="E25" i="31" a="1"/>
  <c r="E25" i="31" s="1"/>
  <c r="E25" i="25" a="1"/>
  <c r="E25" i="25" s="1"/>
  <c r="E25" i="50" a="1"/>
  <c r="E25" i="50" s="1"/>
  <c r="E25" i="35" a="1"/>
  <c r="E25" i="35" s="1"/>
  <c r="E25" i="51" a="1"/>
  <c r="E25" i="51" s="1"/>
  <c r="E25" i="52" a="1"/>
  <c r="E25" i="52" s="1"/>
  <c r="E25" i="37" a="1"/>
  <c r="E25" i="37" s="1"/>
  <c r="E25" i="65" a="1"/>
  <c r="E25" i="65" s="1"/>
  <c r="E25" i="66" a="1"/>
  <c r="E25" i="66" s="1"/>
  <c r="E25" i="67" a="1"/>
  <c r="E25" i="67" s="1"/>
  <c r="E25" i="68" a="1"/>
  <c r="E25" i="68" s="1"/>
  <c r="E25" i="53" a="1"/>
  <c r="E25" i="53" s="1"/>
  <c r="E25" i="38" a="1"/>
  <c r="E25" i="38" s="1"/>
  <c r="E25" i="54" a="1"/>
  <c r="E25" i="54" s="1"/>
  <c r="E25" i="39" a="1"/>
  <c r="E25" i="39" s="1"/>
  <c r="E25" i="55" a="1"/>
  <c r="E25" i="55" s="1"/>
  <c r="E25" i="56" a="1"/>
  <c r="E25" i="56" s="1"/>
  <c r="E25" i="41" a="1"/>
  <c r="E25" i="41" s="1"/>
  <c r="E25" i="57" a="1"/>
  <c r="E25" i="57" s="1"/>
  <c r="E25" i="59" a="1"/>
  <c r="E25" i="59" s="1"/>
  <c r="E25" i="44" a="1"/>
  <c r="E25" i="44" s="1"/>
  <c r="E25" i="60" a="1"/>
  <c r="E25" i="60" s="1"/>
  <c r="E25" i="45" a="1"/>
  <c r="E25" i="45" s="1"/>
  <c r="E25" i="61" a="1"/>
  <c r="E25" i="61" s="1"/>
  <c r="E25" i="62" a="1"/>
  <c r="E25" i="62" s="1"/>
  <c r="E25" i="63" a="1"/>
  <c r="E25" i="63" s="1"/>
  <c r="E25" i="49" a="1"/>
  <c r="E25" i="49" s="1"/>
  <c r="E25" i="70" a="1"/>
  <c r="E25" i="70" s="1"/>
  <c r="E25" i="91" a="1"/>
  <c r="E25" i="91" s="1"/>
  <c r="E25" i="71" a="1"/>
  <c r="E25" i="71" s="1"/>
  <c r="E25" i="72" a="1"/>
  <c r="E25" i="72" s="1"/>
  <c r="E25" i="74" a="1"/>
  <c r="E25" i="74" s="1"/>
  <c r="E25" i="48" a="1"/>
  <c r="E25" i="48" s="1"/>
  <c r="E25" i="75" a="1"/>
  <c r="E25" i="75" s="1"/>
  <c r="E25" i="89" a="1"/>
  <c r="E25" i="89" s="1"/>
  <c r="E25" i="90" a="1"/>
  <c r="E25" i="90" s="1"/>
  <c r="E25" i="73" a="1"/>
  <c r="E25" i="73" s="1"/>
  <c r="B35" i="73"/>
  <c r="B34" i="73"/>
  <c r="B33" i="73"/>
  <c r="B32" i="73"/>
  <c r="B31" i="73"/>
  <c r="B30" i="73"/>
  <c r="B29" i="73"/>
  <c r="B28" i="73"/>
  <c r="B27" i="73"/>
  <c r="B26" i="73"/>
  <c r="B7" i="73" a="1"/>
  <c r="B7" i="73" s="1"/>
  <c r="B35" i="13"/>
  <c r="B34" i="13"/>
  <c r="B33" i="13"/>
  <c r="B32" i="13"/>
  <c r="B31" i="13"/>
  <c r="B30" i="13"/>
  <c r="B29" i="13"/>
  <c r="B28" i="13"/>
  <c r="B27" i="13"/>
  <c r="B26" i="13"/>
  <c r="B7" i="13" a="1"/>
  <c r="B7" i="13" s="1"/>
  <c r="B35" i="88"/>
  <c r="B34" i="88"/>
  <c r="B33" i="88"/>
  <c r="B32" i="88"/>
  <c r="B31" i="88"/>
  <c r="B30" i="88"/>
  <c r="B29" i="88"/>
  <c r="B28" i="88"/>
  <c r="B27" i="88"/>
  <c r="B26" i="88"/>
  <c r="B7" i="88" a="1"/>
  <c r="B7" i="88" s="1"/>
  <c r="B35" i="23"/>
  <c r="B34" i="23"/>
  <c r="B33" i="23"/>
  <c r="B32" i="23"/>
  <c r="B31" i="23"/>
  <c r="B30" i="23"/>
  <c r="B29" i="23"/>
  <c r="B28" i="23"/>
  <c r="B27" i="23"/>
  <c r="B26" i="23"/>
  <c r="B7" i="23" a="1"/>
  <c r="B7" i="23" s="1"/>
  <c r="B35" i="29"/>
  <c r="B34" i="29"/>
  <c r="B33" i="29"/>
  <c r="B32" i="29"/>
  <c r="B31" i="29"/>
  <c r="B30" i="29"/>
  <c r="B29" i="29"/>
  <c r="B28" i="29"/>
  <c r="B27" i="29"/>
  <c r="B26" i="29"/>
  <c r="B7" i="29" a="1"/>
  <c r="B7" i="29" s="1"/>
  <c r="B35" i="24"/>
  <c r="B34" i="24"/>
  <c r="B33" i="24"/>
  <c r="B32" i="24"/>
  <c r="B31" i="24"/>
  <c r="B30" i="24"/>
  <c r="B29" i="24"/>
  <c r="B28" i="24"/>
  <c r="B27" i="24"/>
  <c r="B26" i="24"/>
  <c r="B7" i="24" a="1"/>
  <c r="B7" i="24" s="1"/>
  <c r="B35" i="19"/>
  <c r="B34" i="19"/>
  <c r="B33" i="19"/>
  <c r="B32" i="19"/>
  <c r="B31" i="19"/>
  <c r="B30" i="19"/>
  <c r="B29" i="19"/>
  <c r="B28" i="19"/>
  <c r="B27" i="19"/>
  <c r="B26" i="19"/>
  <c r="B7" i="19" a="1"/>
  <c r="B7" i="19" s="1"/>
  <c r="B35" i="30"/>
  <c r="B34" i="30"/>
  <c r="B33" i="30"/>
  <c r="B32" i="30"/>
  <c r="B31" i="30"/>
  <c r="B30" i="30"/>
  <c r="B29" i="30"/>
  <c r="B28" i="30"/>
  <c r="B27" i="30"/>
  <c r="B26" i="30"/>
  <c r="B7" i="30" a="1"/>
  <c r="B7" i="30" s="1"/>
  <c r="B35" i="33"/>
  <c r="B34" i="33"/>
  <c r="B33" i="33"/>
  <c r="B32" i="33"/>
  <c r="B31" i="33"/>
  <c r="B30" i="33"/>
  <c r="B29" i="33"/>
  <c r="B28" i="33"/>
  <c r="B27" i="33"/>
  <c r="B26" i="33"/>
  <c r="B7" i="33" a="1"/>
  <c r="B7" i="33" s="1"/>
  <c r="B35" i="32"/>
  <c r="B34" i="32"/>
  <c r="B33" i="32"/>
  <c r="B32" i="32"/>
  <c r="B31" i="32"/>
  <c r="B30" i="32"/>
  <c r="B29" i="32"/>
  <c r="B28" i="32"/>
  <c r="B27" i="32"/>
  <c r="B26" i="32"/>
  <c r="B7" i="32" a="1"/>
  <c r="B7" i="32" s="1"/>
  <c r="B35" i="31"/>
  <c r="B34" i="31"/>
  <c r="B33" i="31"/>
  <c r="B32" i="31"/>
  <c r="B31" i="31"/>
  <c r="B30" i="31"/>
  <c r="B29" i="31"/>
  <c r="B28" i="31"/>
  <c r="B27" i="31"/>
  <c r="B26" i="31"/>
  <c r="B7" i="31" a="1"/>
  <c r="B7" i="31" s="1"/>
  <c r="B35" i="25"/>
  <c r="B34" i="25"/>
  <c r="B33" i="25"/>
  <c r="B32" i="25"/>
  <c r="B31" i="25"/>
  <c r="B30" i="25"/>
  <c r="B29" i="25"/>
  <c r="B28" i="25"/>
  <c r="B27" i="25"/>
  <c r="B26" i="25"/>
  <c r="B7" i="25" a="1"/>
  <c r="B7" i="25" s="1"/>
  <c r="B35" i="50"/>
  <c r="B34" i="50"/>
  <c r="B33" i="50"/>
  <c r="B32" i="50"/>
  <c r="B31" i="50"/>
  <c r="B30" i="50"/>
  <c r="B29" i="50"/>
  <c r="B28" i="50"/>
  <c r="B27" i="50"/>
  <c r="B26" i="50"/>
  <c r="B7" i="50" a="1"/>
  <c r="B7" i="50" s="1"/>
  <c r="B35" i="35"/>
  <c r="B34" i="35"/>
  <c r="B33" i="35"/>
  <c r="B32" i="35"/>
  <c r="B31" i="35"/>
  <c r="B30" i="35"/>
  <c r="B29" i="35"/>
  <c r="B28" i="35"/>
  <c r="B27" i="35"/>
  <c r="B26" i="35"/>
  <c r="B7" i="35" a="1"/>
  <c r="B7" i="35" s="1"/>
  <c r="B35" i="51"/>
  <c r="B34" i="51"/>
  <c r="B33" i="51"/>
  <c r="B32" i="51"/>
  <c r="B31" i="51"/>
  <c r="B30" i="51"/>
  <c r="B29" i="51"/>
  <c r="B28" i="51"/>
  <c r="B27" i="51"/>
  <c r="B26" i="51"/>
  <c r="B7" i="51" a="1"/>
  <c r="B7" i="51" s="1"/>
  <c r="B35" i="52"/>
  <c r="B34" i="52"/>
  <c r="B33" i="52"/>
  <c r="B32" i="52"/>
  <c r="B31" i="52"/>
  <c r="B30" i="52"/>
  <c r="B29" i="52"/>
  <c r="B28" i="52"/>
  <c r="B27" i="52"/>
  <c r="B26" i="52"/>
  <c r="B7" i="52" a="1"/>
  <c r="B7" i="52" s="1"/>
  <c r="B35" i="37"/>
  <c r="B34" i="37"/>
  <c r="B33" i="37"/>
  <c r="B32" i="37"/>
  <c r="B31" i="37"/>
  <c r="B30" i="37"/>
  <c r="B29" i="37"/>
  <c r="B28" i="37"/>
  <c r="B27" i="37"/>
  <c r="B26" i="37"/>
  <c r="B7" i="37" a="1"/>
  <c r="B7" i="37" s="1"/>
  <c r="B35" i="65"/>
  <c r="B34" i="65"/>
  <c r="B33" i="65"/>
  <c r="B32" i="65"/>
  <c r="B31" i="65"/>
  <c r="B30" i="65"/>
  <c r="B29" i="65"/>
  <c r="B28" i="65"/>
  <c r="B27" i="65"/>
  <c r="B26" i="65"/>
  <c r="B7" i="65" a="1"/>
  <c r="B7" i="65" s="1"/>
  <c r="B35" i="66"/>
  <c r="B34" i="66"/>
  <c r="B33" i="66"/>
  <c r="B32" i="66"/>
  <c r="B31" i="66"/>
  <c r="B30" i="66"/>
  <c r="B29" i="66"/>
  <c r="B28" i="66"/>
  <c r="B27" i="66"/>
  <c r="B26" i="66"/>
  <c r="B7" i="66" a="1"/>
  <c r="B7" i="66" s="1"/>
  <c r="B35" i="67"/>
  <c r="B34" i="67"/>
  <c r="B33" i="67"/>
  <c r="B32" i="67"/>
  <c r="B31" i="67"/>
  <c r="B30" i="67"/>
  <c r="B29" i="67"/>
  <c r="B28" i="67"/>
  <c r="B27" i="67"/>
  <c r="B26" i="67"/>
  <c r="B7" i="67" a="1"/>
  <c r="B7" i="67" s="1"/>
  <c r="B35" i="68"/>
  <c r="B34" i="68"/>
  <c r="B33" i="68"/>
  <c r="B32" i="68"/>
  <c r="B31" i="68"/>
  <c r="B30" i="68"/>
  <c r="B29" i="68"/>
  <c r="B28" i="68"/>
  <c r="B27" i="68"/>
  <c r="B26" i="68"/>
  <c r="B7" i="68" a="1"/>
  <c r="B7" i="68" s="1"/>
  <c r="B35" i="53"/>
  <c r="B34" i="53"/>
  <c r="B33" i="53"/>
  <c r="B32" i="53"/>
  <c r="B31" i="53"/>
  <c r="B30" i="53"/>
  <c r="B29" i="53"/>
  <c r="B28" i="53"/>
  <c r="B27" i="53"/>
  <c r="B26" i="53"/>
  <c r="B7" i="53" a="1"/>
  <c r="B7" i="53" s="1"/>
  <c r="B35" i="38"/>
  <c r="B34" i="38"/>
  <c r="B33" i="38"/>
  <c r="B32" i="38"/>
  <c r="B31" i="38"/>
  <c r="B30" i="38"/>
  <c r="B29" i="38"/>
  <c r="B28" i="38"/>
  <c r="B27" i="38"/>
  <c r="B26" i="38"/>
  <c r="B7" i="38" a="1"/>
  <c r="B7" i="38" s="1"/>
  <c r="B35" i="54"/>
  <c r="B34" i="54"/>
  <c r="B33" i="54"/>
  <c r="B32" i="54"/>
  <c r="B31" i="54"/>
  <c r="B30" i="54"/>
  <c r="B29" i="54"/>
  <c r="B28" i="54"/>
  <c r="B27" i="54"/>
  <c r="B26" i="54"/>
  <c r="B7" i="54" a="1"/>
  <c r="B7" i="54" s="1"/>
  <c r="B35" i="39"/>
  <c r="B34" i="39"/>
  <c r="B33" i="39"/>
  <c r="B32" i="39"/>
  <c r="B31" i="39"/>
  <c r="B30" i="39"/>
  <c r="B29" i="39"/>
  <c r="B28" i="39"/>
  <c r="B27" i="39"/>
  <c r="B26" i="39"/>
  <c r="B7" i="39" a="1"/>
  <c r="B7" i="39" s="1"/>
  <c r="B35" i="55"/>
  <c r="B34" i="55"/>
  <c r="B33" i="55"/>
  <c r="B32" i="55"/>
  <c r="B31" i="55"/>
  <c r="B30" i="55"/>
  <c r="B29" i="55"/>
  <c r="B28" i="55"/>
  <c r="B27" i="55"/>
  <c r="B26" i="55"/>
  <c r="B7" i="55" a="1"/>
  <c r="B7" i="55" s="1"/>
  <c r="B35" i="56"/>
  <c r="B34" i="56"/>
  <c r="B33" i="56"/>
  <c r="B32" i="56"/>
  <c r="B31" i="56"/>
  <c r="B30" i="56"/>
  <c r="B29" i="56"/>
  <c r="B28" i="56"/>
  <c r="B27" i="56"/>
  <c r="B26" i="56"/>
  <c r="B7" i="56" a="1"/>
  <c r="B7" i="56" s="1"/>
  <c r="B35" i="41"/>
  <c r="B34" i="41"/>
  <c r="B33" i="41"/>
  <c r="B32" i="41"/>
  <c r="B31" i="41"/>
  <c r="B30" i="41"/>
  <c r="B29" i="41"/>
  <c r="B28" i="41"/>
  <c r="B27" i="41"/>
  <c r="B26" i="41"/>
  <c r="B7" i="41" a="1"/>
  <c r="B7" i="41" s="1"/>
  <c r="B35" i="57"/>
  <c r="B34" i="57"/>
  <c r="B33" i="57"/>
  <c r="B32" i="57"/>
  <c r="B31" i="57"/>
  <c r="B30" i="57"/>
  <c r="B29" i="57"/>
  <c r="B28" i="57"/>
  <c r="B27" i="57"/>
  <c r="B26" i="57"/>
  <c r="B7" i="57" a="1"/>
  <c r="B7" i="57" s="1"/>
  <c r="B35" i="59"/>
  <c r="B34" i="59"/>
  <c r="B33" i="59"/>
  <c r="B32" i="59"/>
  <c r="B31" i="59"/>
  <c r="B30" i="59"/>
  <c r="B29" i="59"/>
  <c r="B28" i="59"/>
  <c r="B27" i="59"/>
  <c r="B26" i="59"/>
  <c r="B7" i="59" a="1"/>
  <c r="B7" i="59" s="1"/>
  <c r="B35" i="44"/>
  <c r="B34" i="44"/>
  <c r="B33" i="44"/>
  <c r="B32" i="44"/>
  <c r="B31" i="44"/>
  <c r="B30" i="44"/>
  <c r="B29" i="44"/>
  <c r="B28" i="44"/>
  <c r="B27" i="44"/>
  <c r="B26" i="44"/>
  <c r="B7" i="44" a="1"/>
  <c r="B7" i="44" s="1"/>
  <c r="B35" i="60"/>
  <c r="B34" i="60"/>
  <c r="B33" i="60"/>
  <c r="B32" i="60"/>
  <c r="B31" i="60"/>
  <c r="B30" i="60"/>
  <c r="B29" i="60"/>
  <c r="B28" i="60"/>
  <c r="B27" i="60"/>
  <c r="B26" i="60"/>
  <c r="B7" i="60" a="1"/>
  <c r="B7" i="60" s="1"/>
  <c r="B35" i="45"/>
  <c r="B34" i="45"/>
  <c r="B33" i="45"/>
  <c r="B32" i="45"/>
  <c r="B31" i="45"/>
  <c r="B30" i="45"/>
  <c r="B29" i="45"/>
  <c r="B28" i="45"/>
  <c r="B27" i="45"/>
  <c r="B26" i="45"/>
  <c r="B7" i="45" a="1"/>
  <c r="B7" i="45" s="1"/>
  <c r="B35" i="61"/>
  <c r="B34" i="61"/>
  <c r="B33" i="61"/>
  <c r="B32" i="61"/>
  <c r="B31" i="61"/>
  <c r="B30" i="61"/>
  <c r="B29" i="61"/>
  <c r="B28" i="61"/>
  <c r="B27" i="61"/>
  <c r="B26" i="61"/>
  <c r="B7" i="61" a="1"/>
  <c r="B7" i="61" s="1"/>
  <c r="B35" i="62"/>
  <c r="B34" i="62"/>
  <c r="B33" i="62"/>
  <c r="B32" i="62"/>
  <c r="B31" i="62"/>
  <c r="B30" i="62"/>
  <c r="B29" i="62"/>
  <c r="B28" i="62"/>
  <c r="B27" i="62"/>
  <c r="B26" i="62"/>
  <c r="B7" i="62" a="1"/>
  <c r="B7" i="62" s="1"/>
  <c r="B35" i="63"/>
  <c r="B34" i="63"/>
  <c r="B33" i="63"/>
  <c r="B32" i="63"/>
  <c r="B31" i="63"/>
  <c r="B30" i="63"/>
  <c r="B29" i="63"/>
  <c r="B28" i="63"/>
  <c r="B27" i="63"/>
  <c r="B26" i="63"/>
  <c r="B7" i="63" a="1"/>
  <c r="B7" i="63" s="1"/>
  <c r="B35" i="49"/>
  <c r="B34" i="49"/>
  <c r="B33" i="49"/>
  <c r="B32" i="49"/>
  <c r="B31" i="49"/>
  <c r="B30" i="49"/>
  <c r="B29" i="49"/>
  <c r="B28" i="49"/>
  <c r="B27" i="49"/>
  <c r="B26" i="49"/>
  <c r="B7" i="49" a="1"/>
  <c r="B7" i="49" s="1"/>
  <c r="B35" i="70"/>
  <c r="B34" i="70"/>
  <c r="B33" i="70"/>
  <c r="B32" i="70"/>
  <c r="B31" i="70"/>
  <c r="B30" i="70"/>
  <c r="B29" i="70"/>
  <c r="B28" i="70"/>
  <c r="B27" i="70"/>
  <c r="B26" i="70"/>
  <c r="B7" i="70" a="1"/>
  <c r="B7" i="70" s="1"/>
  <c r="B35" i="91"/>
  <c r="B34" i="91"/>
  <c r="B33" i="91"/>
  <c r="B32" i="91"/>
  <c r="B31" i="91"/>
  <c r="B30" i="91"/>
  <c r="B29" i="91"/>
  <c r="B28" i="91"/>
  <c r="B27" i="91"/>
  <c r="B26" i="91"/>
  <c r="B7" i="91" a="1"/>
  <c r="B7" i="91" s="1"/>
  <c r="B35" i="71"/>
  <c r="B34" i="71"/>
  <c r="B33" i="71"/>
  <c r="B32" i="71"/>
  <c r="B31" i="71"/>
  <c r="B30" i="71"/>
  <c r="B29" i="71"/>
  <c r="B28" i="71"/>
  <c r="B27" i="71"/>
  <c r="B26" i="71"/>
  <c r="B7" i="71" a="1"/>
  <c r="B7" i="71" s="1"/>
  <c r="B35" i="72"/>
  <c r="B34" i="72"/>
  <c r="B33" i="72"/>
  <c r="B32" i="72"/>
  <c r="B31" i="72"/>
  <c r="B30" i="72"/>
  <c r="B29" i="72"/>
  <c r="B28" i="72"/>
  <c r="B27" i="72"/>
  <c r="B26" i="72"/>
  <c r="B7" i="72" a="1"/>
  <c r="B7" i="72" s="1"/>
  <c r="B35" i="74"/>
  <c r="B34" i="74"/>
  <c r="B33" i="74"/>
  <c r="B32" i="74"/>
  <c r="B31" i="74"/>
  <c r="B30" i="74"/>
  <c r="B29" i="74"/>
  <c r="B28" i="74"/>
  <c r="B27" i="74"/>
  <c r="B26" i="74"/>
  <c r="B7" i="74" a="1"/>
  <c r="B7" i="74" s="1"/>
  <c r="B35" i="48"/>
  <c r="B34" i="48"/>
  <c r="B33" i="48"/>
  <c r="B32" i="48"/>
  <c r="B31" i="48"/>
  <c r="B30" i="48"/>
  <c r="B29" i="48"/>
  <c r="B28" i="48"/>
  <c r="B27" i="48"/>
  <c r="B26" i="48"/>
  <c r="B7" i="48" a="1"/>
  <c r="B7" i="48" s="1"/>
  <c r="B35" i="75"/>
  <c r="B34" i="75"/>
  <c r="B33" i="75"/>
  <c r="B32" i="75"/>
  <c r="B31" i="75"/>
  <c r="B30" i="75"/>
  <c r="B29" i="75"/>
  <c r="B28" i="75"/>
  <c r="B27" i="75"/>
  <c r="B26" i="75"/>
  <c r="B7" i="75" a="1"/>
  <c r="B7" i="75" s="1"/>
  <c r="B35" i="89"/>
  <c r="B34" i="89"/>
  <c r="B33" i="89"/>
  <c r="B32" i="89"/>
  <c r="B31" i="89"/>
  <c r="B30" i="89"/>
  <c r="B29" i="89"/>
  <c r="B28" i="89"/>
  <c r="B27" i="89"/>
  <c r="B26" i="89"/>
  <c r="B7" i="89" a="1"/>
  <c r="B7" i="89" s="1"/>
  <c r="B35" i="90"/>
  <c r="B34" i="90"/>
  <c r="B33" i="90"/>
  <c r="B32" i="90"/>
  <c r="B31" i="90"/>
  <c r="B30" i="90"/>
  <c r="B29" i="90"/>
  <c r="B28" i="90"/>
  <c r="B27" i="90"/>
  <c r="B26" i="90"/>
  <c r="B7" i="90" a="1"/>
  <c r="B7" i="90" s="1"/>
  <c r="B35" i="27"/>
  <c r="B34" i="27"/>
  <c r="B33" i="27"/>
  <c r="B32" i="27"/>
  <c r="B31" i="27"/>
  <c r="B30" i="27"/>
  <c r="B29" i="27"/>
  <c r="B28" i="27"/>
  <c r="B27" i="27"/>
  <c r="B26" i="27"/>
  <c r="B7" i="27" a="1"/>
  <c r="B7" i="27" s="1"/>
  <c r="D159" i="5" a="1"/>
  <c r="D159" i="5" s="1"/>
  <c r="B7" i="22" a="1"/>
  <c r="B7" i="22" s="1"/>
  <c r="B35" i="22"/>
  <c r="B34" i="22"/>
  <c r="B33" i="22"/>
  <c r="B32" i="22"/>
  <c r="B31" i="22"/>
  <c r="B30" i="22"/>
  <c r="B29" i="22"/>
  <c r="B28" i="22"/>
  <c r="B27" i="22"/>
  <c r="B26" i="22"/>
  <c r="B61" i="5"/>
  <c r="B60" i="5"/>
  <c r="B59" i="5"/>
  <c r="B58" i="5"/>
  <c r="B57" i="5"/>
  <c r="B56" i="5"/>
  <c r="B55" i="5"/>
  <c r="B54" i="5"/>
  <c r="B53" i="5"/>
  <c r="E25" i="78" a="1"/>
  <c r="E25" i="78" s="1"/>
  <c r="BK4" i="5" a="1"/>
  <c r="BK4" i="5"/>
  <c r="BI105" i="5" a="1"/>
  <c r="BI105" i="5"/>
  <c r="BK105" i="5"/>
  <c r="BL105" i="5"/>
  <c r="BK106" i="5"/>
  <c r="BL106" i="5"/>
  <c r="BK107" i="5"/>
  <c r="BL107" i="5" s="1"/>
  <c r="BK108" i="5"/>
  <c r="BL108" i="5"/>
  <c r="BK109" i="5"/>
  <c r="BL109" i="5"/>
  <c r="BK110" i="5"/>
  <c r="BL110" i="5"/>
  <c r="BK111" i="5"/>
  <c r="BL111" i="5" s="1"/>
  <c r="BK112" i="5"/>
  <c r="BL112" i="5"/>
  <c r="BK113" i="5"/>
  <c r="BL113" i="5"/>
  <c r="BK114" i="5"/>
  <c r="BL114" i="5" s="1"/>
  <c r="BK115" i="5"/>
  <c r="BL115" i="5"/>
  <c r="BK116" i="5"/>
  <c r="BL116" i="5"/>
  <c r="BK117" i="5"/>
  <c r="BL117" i="5"/>
  <c r="BK118" i="5"/>
  <c r="BL118" i="5"/>
  <c r="BK12" i="5"/>
  <c r="BL12" i="5"/>
  <c r="BK127" i="5"/>
  <c r="BL127" i="5" s="1"/>
  <c r="BK129" i="5"/>
  <c r="BL129" i="5" s="1"/>
  <c r="BK130" i="5"/>
  <c r="BL130" i="5"/>
  <c r="BK131" i="5"/>
  <c r="BL131" i="5"/>
  <c r="BK132" i="5"/>
  <c r="BL132" i="5"/>
  <c r="BK133" i="5"/>
  <c r="BL133" i="5" s="1"/>
  <c r="BK136" i="5"/>
  <c r="BL136" i="5" s="1"/>
  <c r="BK137" i="5"/>
  <c r="BL137" i="5"/>
  <c r="BK138" i="5"/>
  <c r="BL138" i="5" s="1"/>
  <c r="BK139" i="5"/>
  <c r="BL139" i="5" s="1"/>
  <c r="BK141" i="5"/>
  <c r="BL141" i="5" s="1"/>
  <c r="BK145" i="5"/>
  <c r="BL145" i="5" s="1"/>
  <c r="BK147" i="5"/>
  <c r="BL147" i="5" s="1"/>
  <c r="BK150" i="5"/>
  <c r="BL150" i="5" s="1"/>
  <c r="BK151" i="5"/>
  <c r="BL151" i="5"/>
  <c r="BK152" i="5"/>
  <c r="BL152" i="5" s="1"/>
  <c r="BK153" i="5"/>
  <c r="BL153" i="5" s="1"/>
  <c r="BK154" i="5"/>
  <c r="BL154" i="5" s="1"/>
  <c r="BK155" i="5"/>
  <c r="BL155" i="5" s="1"/>
  <c r="BK156" i="5"/>
  <c r="BL156" i="5" s="1"/>
  <c r="BK157" i="5"/>
  <c r="BL157" i="5"/>
  <c r="BK161" i="5"/>
  <c r="BL161" i="5"/>
  <c r="BK162" i="5"/>
  <c r="BL162" i="5"/>
  <c r="BK163" i="5"/>
  <c r="BL163" i="5" s="1"/>
  <c r="BK164" i="5"/>
  <c r="BL164" i="5"/>
  <c r="BK186" i="5"/>
  <c r="BL186" i="5" s="1"/>
  <c r="BK187" i="5"/>
  <c r="BL187" i="5" s="1"/>
  <c r="BK188" i="5"/>
  <c r="BL188" i="5" s="1"/>
  <c r="BK190" i="5"/>
  <c r="BL190" i="5" s="1"/>
  <c r="BK191" i="5"/>
  <c r="BL191" i="5" s="1"/>
  <c r="BK192" i="5"/>
  <c r="BL192" i="5" s="1"/>
  <c r="BK193" i="5"/>
  <c r="BL193" i="5"/>
  <c r="BK194" i="5"/>
  <c r="BL194" i="5"/>
  <c r="BK196" i="5"/>
  <c r="BL196" i="5"/>
  <c r="BK197" i="5"/>
  <c r="BL197" i="5" s="1"/>
  <c r="BK198" i="5"/>
  <c r="BL198" i="5"/>
  <c r="BK200" i="5"/>
  <c r="BL200" i="5" s="1"/>
  <c r="BK201" i="5"/>
  <c r="BL201" i="5"/>
  <c r="BK203" i="5"/>
  <c r="BL203" i="5"/>
  <c r="BK204" i="5"/>
  <c r="BL204" i="5"/>
  <c r="BK205" i="5"/>
  <c r="BL205" i="5"/>
  <c r="BK206" i="5"/>
  <c r="BL206" i="5"/>
  <c r="BK207" i="5"/>
  <c r="BL207" i="5"/>
  <c r="BK208" i="5"/>
  <c r="BL208" i="5"/>
  <c r="BK209" i="5"/>
  <c r="BL209" i="5"/>
  <c r="BK210" i="5"/>
  <c r="BL210" i="5"/>
  <c r="BK211" i="5"/>
  <c r="BL211" i="5"/>
  <c r="BK213" i="5"/>
  <c r="BL213" i="5"/>
  <c r="BK214" i="5"/>
  <c r="BL214" i="5"/>
  <c r="BK215" i="5"/>
  <c r="BL215" i="5"/>
  <c r="BK217" i="5"/>
  <c r="BL217" i="5"/>
  <c r="BK218" i="5"/>
  <c r="BL218" i="5"/>
  <c r="BK219" i="5"/>
  <c r="BL219" i="5"/>
  <c r="BK220" i="5"/>
  <c r="BL220" i="5"/>
  <c r="BK221" i="5"/>
  <c r="BL221" i="5"/>
  <c r="BK222" i="5"/>
  <c r="BL222" i="5"/>
  <c r="BK223" i="5"/>
  <c r="BL223" i="5"/>
  <c r="BK225" i="5"/>
  <c r="BL225" i="5"/>
  <c r="BK226" i="5"/>
  <c r="BL226" i="5"/>
  <c r="BK227" i="5"/>
  <c r="BL227" i="5"/>
  <c r="BK228" i="5"/>
  <c r="BL228" i="5"/>
  <c r="BK229" i="5"/>
  <c r="BL229" i="5"/>
  <c r="BK231" i="5"/>
  <c r="BL231" i="5"/>
  <c r="BK232" i="5"/>
  <c r="BL232" i="5"/>
  <c r="BK233" i="5"/>
  <c r="BL233" i="5"/>
  <c r="BK234" i="5"/>
  <c r="BL234" i="5"/>
  <c r="BK235" i="5"/>
  <c r="BL235" i="5"/>
  <c r="BK236" i="5"/>
  <c r="BL236" i="5"/>
  <c r="BK237" i="5"/>
  <c r="BL237" i="5"/>
  <c r="BK238" i="5"/>
  <c r="BL238" i="5"/>
  <c r="BK239" i="5"/>
  <c r="BL239" i="5"/>
  <c r="BK240" i="5"/>
  <c r="BL240" i="5"/>
  <c r="BK241" i="5"/>
  <c r="BL241" i="5"/>
  <c r="BK243" i="5"/>
  <c r="BL243" i="5"/>
  <c r="BK244" i="5"/>
  <c r="BL244" i="5"/>
  <c r="BK246" i="5"/>
  <c r="BL246" i="5"/>
  <c r="BK247" i="5"/>
  <c r="BL247" i="5"/>
  <c r="BK248" i="5"/>
  <c r="BL248" i="5"/>
  <c r="BK250" i="5"/>
  <c r="BL250" i="5"/>
  <c r="BK251" i="5"/>
  <c r="BL251" i="5"/>
  <c r="BK252" i="5"/>
  <c r="BL252" i="5"/>
  <c r="BK253" i="5"/>
  <c r="BL253" i="5"/>
  <c r="BK254" i="5"/>
  <c r="BL254" i="5"/>
  <c r="BK257" i="5"/>
  <c r="BL257" i="5"/>
  <c r="BK258" i="5"/>
  <c r="BL258" i="5"/>
  <c r="BK259" i="5"/>
  <c r="BL259" i="5"/>
  <c r="BK260" i="5"/>
  <c r="BL260" i="5"/>
  <c r="BK261" i="5"/>
  <c r="BL261" i="5"/>
  <c r="BK262" i="5"/>
  <c r="BL262" i="5"/>
  <c r="BK263" i="5"/>
  <c r="BL263" i="5"/>
  <c r="BK264" i="5"/>
  <c r="BL264" i="5"/>
  <c r="BK265" i="5"/>
  <c r="BL265" i="5"/>
  <c r="BK266" i="5"/>
  <c r="BL266" i="5" s="1"/>
  <c r="BK267" i="5"/>
  <c r="BL267" i="5"/>
  <c r="BK268" i="5"/>
  <c r="BL268" i="5"/>
  <c r="BK269" i="5"/>
  <c r="BL269" i="5"/>
  <c r="BK270" i="5"/>
  <c r="BL270" i="5" s="1"/>
  <c r="BK271" i="5"/>
  <c r="BL271" i="5"/>
  <c r="D103" i="5"/>
  <c r="A92" i="5"/>
  <c r="A91" i="5"/>
  <c r="EY3" i="96" a="1"/>
  <c r="EY3" i="96" s="1"/>
  <c r="EY2" i="96" a="1"/>
  <c r="EY2" i="96" s="1"/>
  <c r="H120" i="5"/>
  <c r="G120" i="5"/>
  <c r="F120" i="5"/>
  <c r="E120" i="5"/>
  <c r="H119" i="5"/>
  <c r="G119" i="5"/>
  <c r="F119" i="5"/>
  <c r="E119" i="5"/>
  <c r="H108" i="5"/>
  <c r="G108" i="5"/>
  <c r="F108" i="5"/>
  <c r="E108" i="5"/>
  <c r="D258" i="5"/>
  <c r="BF5" i="98" l="1"/>
  <c r="BE5" i="98"/>
  <c r="BD5" i="98"/>
  <c r="BC5" i="98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AZ85" i="5"/>
  <c r="AY85" i="5"/>
  <c r="BD85" i="5"/>
  <c r="L85" i="5"/>
  <c r="K85" i="5"/>
  <c r="J85" i="5"/>
  <c r="I85" i="5"/>
  <c r="BC85" i="5"/>
  <c r="BB85" i="5"/>
  <c r="BA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H85" i="5"/>
  <c r="G85" i="5"/>
  <c r="F85" i="5"/>
  <c r="E85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E2" i="96" a="1"/>
  <c r="E2" i="96" s="1"/>
  <c r="C69" i="100"/>
  <c r="C67" i="100"/>
  <c r="E65" i="100"/>
  <c r="C69" i="99"/>
  <c r="C67" i="99"/>
  <c r="E65" i="99"/>
  <c r="I96" i="5"/>
  <c r="AC1" i="98"/>
  <c r="AK1" i="98"/>
  <c r="AS1" i="98"/>
  <c r="BV2" i="96" a="1"/>
  <c r="BV2" i="96" s="1"/>
  <c r="DG2" i="96" a="1"/>
  <c r="DG2" i="96" s="1"/>
  <c r="O2" i="96" a="1"/>
  <c r="O2" i="96" s="1"/>
  <c r="J2" i="96" a="1"/>
  <c r="BM2" i="96" a="1"/>
  <c r="BM2" i="96" s="1"/>
  <c r="BH2" i="96" a="1"/>
  <c r="BH2" i="96" s="1"/>
  <c r="BC2" i="96" a="1"/>
  <c r="BC2" i="96" s="1"/>
  <c r="AX2" i="96" a="1"/>
  <c r="AX2" i="96" s="1"/>
  <c r="AS2" i="96" a="1"/>
  <c r="AS2" i="96" s="1"/>
  <c r="AN2" i="96" a="1"/>
  <c r="AN2" i="96" s="1"/>
  <c r="AI2" i="96" a="1"/>
  <c r="AI2" i="96" s="1"/>
  <c r="AD2" i="96" a="1"/>
  <c r="AD2" i="96" s="1"/>
  <c r="Y2" i="96" a="1"/>
  <c r="Y2" i="96" s="1"/>
  <c r="T2" i="96" a="1"/>
  <c r="T2" i="96" s="1"/>
  <c r="C4" i="96" a="1"/>
  <c r="E3" i="96" a="1"/>
  <c r="E3" i="96" s="1"/>
  <c r="FH4" i="69" a="1"/>
  <c r="FH4" i="69" s="1"/>
  <c r="FG5" i="69" a="1"/>
  <c r="BD61" i="5"/>
  <c r="BC61" i="5"/>
  <c r="BB61" i="5"/>
  <c r="BA61" i="5"/>
  <c r="AZ61" i="5"/>
  <c r="AY61" i="5"/>
  <c r="AX61" i="5"/>
  <c r="AW61" i="5"/>
  <c r="AV61" i="5"/>
  <c r="AU61" i="5"/>
  <c r="AT61" i="5"/>
  <c r="AS61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BC58" i="5"/>
  <c r="BB58" i="5"/>
  <c r="BA58" i="5"/>
  <c r="AZ58" i="5"/>
  <c r="AY58" i="5"/>
  <c r="AX58" i="5"/>
  <c r="AW58" i="5"/>
  <c r="AV58" i="5"/>
  <c r="AU58" i="5"/>
  <c r="AT58" i="5"/>
  <c r="AS58" i="5"/>
  <c r="BD56" i="5"/>
  <c r="BC56" i="5"/>
  <c r="BB56" i="5"/>
  <c r="BA56" i="5"/>
  <c r="AU56" i="5"/>
  <c r="AT56" i="5"/>
  <c r="AS56" i="5"/>
  <c r="BD55" i="5"/>
  <c r="BC55" i="5"/>
  <c r="BB55" i="5"/>
  <c r="BA55" i="5"/>
  <c r="AU55" i="5"/>
  <c r="AT55" i="5"/>
  <c r="AS55" i="5"/>
  <c r="BC54" i="5"/>
  <c r="BB54" i="5"/>
  <c r="BA54" i="5"/>
  <c r="AS54" i="5"/>
  <c r="BD53" i="5"/>
  <c r="BC53" i="5"/>
  <c r="BB53" i="5"/>
  <c r="BA53" i="5"/>
  <c r="AU53" i="5"/>
  <c r="AT53" i="5"/>
  <c r="AS53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AR57" i="5"/>
  <c r="BD146" i="5"/>
  <c r="Q20" i="34" a="1"/>
  <c r="V20" i="84" a="1"/>
  <c r="R20" i="84" a="1"/>
  <c r="AP20" i="85" a="1"/>
  <c r="AL20" i="85" a="1"/>
  <c r="AH20" i="85" a="1"/>
  <c r="AD20" i="85" a="1"/>
  <c r="Z20" i="85" a="1"/>
  <c r="V20" i="85" a="1"/>
  <c r="F20" i="85" a="1"/>
  <c r="C270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AR53" i="5"/>
  <c r="AR55" i="5"/>
  <c r="AR56" i="5"/>
  <c r="I53" i="5"/>
  <c r="J53" i="5"/>
  <c r="I55" i="5"/>
  <c r="J55" i="5"/>
  <c r="I56" i="5"/>
  <c r="J56" i="5"/>
  <c r="L53" i="5"/>
  <c r="L55" i="5"/>
  <c r="L56" i="5"/>
  <c r="K53" i="5"/>
  <c r="K55" i="5"/>
  <c r="K56" i="5"/>
  <c r="E58" i="5"/>
  <c r="F58" i="5"/>
  <c r="G58" i="5"/>
  <c r="H58" i="5"/>
  <c r="I58" i="5"/>
  <c r="J58" i="5"/>
  <c r="K58" i="5"/>
  <c r="L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E59" i="5"/>
  <c r="F59" i="5"/>
  <c r="G59" i="5"/>
  <c r="H59" i="5"/>
  <c r="I59" i="5"/>
  <c r="J59" i="5"/>
  <c r="K59" i="5"/>
  <c r="L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E61" i="5"/>
  <c r="F61" i="5"/>
  <c r="G61" i="5"/>
  <c r="H61" i="5"/>
  <c r="I61" i="5"/>
  <c r="J61" i="5"/>
  <c r="K61" i="5"/>
  <c r="L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M58" i="5"/>
  <c r="M59" i="5"/>
  <c r="M61" i="5"/>
  <c r="AR48" i="5"/>
  <c r="AR58" i="5" s="1"/>
  <c r="E77" i="5"/>
  <c r="F77" i="5"/>
  <c r="G77" i="5"/>
  <c r="H77" i="5"/>
  <c r="E78" i="5"/>
  <c r="F78" i="5"/>
  <c r="G78" i="5"/>
  <c r="H78" i="5"/>
  <c r="AS28" i="18"/>
  <c r="AS12" i="18"/>
  <c r="AS13" i="18"/>
  <c r="AS14" i="18"/>
  <c r="AS128" i="5"/>
  <c r="AS135" i="5"/>
  <c r="AS140" i="5"/>
  <c r="AS162" i="5"/>
  <c r="AS160" i="5" s="1"/>
  <c r="AS166" i="5"/>
  <c r="AS168" i="5"/>
  <c r="AS170" i="5"/>
  <c r="AS174" i="5"/>
  <c r="AS109" i="5"/>
  <c r="AS110" i="5"/>
  <c r="AS117" i="5"/>
  <c r="AS113" i="5"/>
  <c r="AS118" i="5"/>
  <c r="AS119" i="5"/>
  <c r="AS120" i="5"/>
  <c r="AS121" i="5"/>
  <c r="AS96" i="5"/>
  <c r="AS97" i="5"/>
  <c r="AS98" i="5"/>
  <c r="AS77" i="5"/>
  <c r="AS78" i="5"/>
  <c r="AS64" i="5"/>
  <c r="AS44" i="5"/>
  <c r="AS4" i="5"/>
  <c r="F9" i="9" a="1"/>
  <c r="F9" i="9" s="1"/>
  <c r="E9" i="9" a="1"/>
  <c r="E9" i="9" s="1"/>
  <c r="D9" i="9" a="1"/>
  <c r="D9" i="9" s="1"/>
  <c r="I9" i="9" s="1"/>
  <c r="C9" i="9" a="1"/>
  <c r="C9" i="9" s="1"/>
  <c r="H9" i="9" s="1"/>
  <c r="S6" i="34"/>
  <c r="R6" i="34"/>
  <c r="Q6" i="34"/>
  <c r="O6" i="34"/>
  <c r="N6" i="34"/>
  <c r="M6" i="34"/>
  <c r="I55" i="34" a="1"/>
  <c r="I55" i="34" s="1"/>
  <c r="I54" i="34" a="1"/>
  <c r="I54" i="34" s="1"/>
  <c r="I30" i="34" a="1"/>
  <c r="I29" i="34" a="1"/>
  <c r="I28" i="34" a="1"/>
  <c r="I27" i="34" a="1"/>
  <c r="I26" i="34" a="1"/>
  <c r="I25" i="34" a="1"/>
  <c r="I24" i="34" a="1"/>
  <c r="I23" i="34" a="1"/>
  <c r="I22" i="34" a="1"/>
  <c r="I21" i="34" a="1"/>
  <c r="I20" i="34" a="1"/>
  <c r="S55" i="34"/>
  <c r="O55" i="34" s="1"/>
  <c r="R55" i="34"/>
  <c r="N55" i="34" s="1"/>
  <c r="Q55" i="34"/>
  <c r="M55" i="34" s="1"/>
  <c r="S54" i="34"/>
  <c r="O54" i="34" s="1"/>
  <c r="R54" i="34"/>
  <c r="N54" i="34" s="1"/>
  <c r="Q54" i="34"/>
  <c r="M54" i="34" s="1"/>
  <c r="M20" i="34" a="1"/>
  <c r="M20" i="34" s="1"/>
  <c r="J20" i="84" a="1"/>
  <c r="N20" i="84" a="1"/>
  <c r="BC28" i="18"/>
  <c r="BB28" i="18"/>
  <c r="BC13" i="18"/>
  <c r="BB13" i="18"/>
  <c r="BC12" i="18"/>
  <c r="BB12" i="18"/>
  <c r="BC174" i="5"/>
  <c r="BC170" i="5"/>
  <c r="BC168" i="5"/>
  <c r="BC166" i="5"/>
  <c r="BC162" i="5"/>
  <c r="BC160" i="5"/>
  <c r="BC140" i="5"/>
  <c r="BC135" i="5"/>
  <c r="BC128" i="5"/>
  <c r="BC121" i="5"/>
  <c r="BC120" i="5"/>
  <c r="BC119" i="5"/>
  <c r="BC118" i="5"/>
  <c r="BC113" i="5"/>
  <c r="BC117" i="5"/>
  <c r="BC110" i="5"/>
  <c r="BC109" i="5"/>
  <c r="BC98" i="5"/>
  <c r="BC97" i="5"/>
  <c r="BC96" i="5"/>
  <c r="BC78" i="5"/>
  <c r="BC77" i="5"/>
  <c r="BC67" i="5"/>
  <c r="BC66" i="5"/>
  <c r="BC65" i="5"/>
  <c r="BC64" i="5"/>
  <c r="BC63" i="5"/>
  <c r="BC48" i="5"/>
  <c r="BC44" i="5"/>
  <c r="BC4" i="5"/>
  <c r="BB174" i="5"/>
  <c r="BB170" i="5"/>
  <c r="BB168" i="5"/>
  <c r="BB166" i="5"/>
  <c r="BB162" i="5"/>
  <c r="BB160" i="5" s="1"/>
  <c r="BB140" i="5"/>
  <c r="BB135" i="5"/>
  <c r="BB128" i="5"/>
  <c r="BB121" i="5"/>
  <c r="BB120" i="5"/>
  <c r="BB119" i="5"/>
  <c r="BB118" i="5"/>
  <c r="BB113" i="5"/>
  <c r="BB117" i="5"/>
  <c r="BB110" i="5"/>
  <c r="BB109" i="5"/>
  <c r="BB98" i="5"/>
  <c r="BB97" i="5"/>
  <c r="BB96" i="5"/>
  <c r="BB78" i="5"/>
  <c r="BB77" i="5"/>
  <c r="BB67" i="5"/>
  <c r="BB66" i="5"/>
  <c r="BB65" i="5"/>
  <c r="BB64" i="5"/>
  <c r="BB63" i="5"/>
  <c r="BB48" i="5"/>
  <c r="BB44" i="5"/>
  <c r="BB4" i="5"/>
  <c r="BA97" i="5"/>
  <c r="BA96" i="5"/>
  <c r="AY97" i="5"/>
  <c r="AX97" i="5"/>
  <c r="AW97" i="5"/>
  <c r="AV97" i="5"/>
  <c r="AU97" i="5"/>
  <c r="AT97" i="5"/>
  <c r="AR97" i="5"/>
  <c r="AY96" i="5"/>
  <c r="AX96" i="5"/>
  <c r="AW96" i="5"/>
  <c r="AV96" i="5"/>
  <c r="AU96" i="5"/>
  <c r="AT96" i="5"/>
  <c r="AR96" i="5"/>
  <c r="AP97" i="5"/>
  <c r="AO97" i="5"/>
  <c r="AN97" i="5"/>
  <c r="AP96" i="5"/>
  <c r="AO96" i="5"/>
  <c r="AN96" i="5"/>
  <c r="AL97" i="5"/>
  <c r="AL96" i="5"/>
  <c r="AJ97" i="5"/>
  <c r="AI97" i="5"/>
  <c r="AJ96" i="5"/>
  <c r="AI96" i="5"/>
  <c r="AG97" i="5"/>
  <c r="AF97" i="5"/>
  <c r="AG96" i="5"/>
  <c r="AF96" i="5"/>
  <c r="AD97" i="5"/>
  <c r="AD96" i="5"/>
  <c r="AB97" i="5"/>
  <c r="AB96" i="5"/>
  <c r="Z97" i="5"/>
  <c r="Z96" i="5"/>
  <c r="X97" i="5"/>
  <c r="X96" i="5"/>
  <c r="V97" i="5"/>
  <c r="U97" i="5"/>
  <c r="V96" i="5"/>
  <c r="U96" i="5"/>
  <c r="S97" i="5"/>
  <c r="S96" i="5"/>
  <c r="Q97" i="5"/>
  <c r="Q96" i="5"/>
  <c r="O97" i="5"/>
  <c r="O96" i="5"/>
  <c r="N97" i="5"/>
  <c r="M97" i="5"/>
  <c r="N96" i="5"/>
  <c r="M96" i="5"/>
  <c r="K97" i="5"/>
  <c r="K96" i="5"/>
  <c r="I97" i="5"/>
  <c r="G97" i="5"/>
  <c r="F97" i="5"/>
  <c r="H96" i="5"/>
  <c r="G96" i="5"/>
  <c r="F96" i="5"/>
  <c r="E97" i="5"/>
  <c r="E96" i="5"/>
  <c r="C240" i="5"/>
  <c r="L28" i="18"/>
  <c r="L13" i="18"/>
  <c r="L12" i="18"/>
  <c r="L174" i="5"/>
  <c r="L170" i="5"/>
  <c r="L168" i="5"/>
  <c r="L166" i="5"/>
  <c r="L162" i="5"/>
  <c r="L160" i="5"/>
  <c r="L140" i="5"/>
  <c r="L135" i="5"/>
  <c r="L128" i="5"/>
  <c r="L121" i="5"/>
  <c r="L120" i="5"/>
  <c r="L119" i="5"/>
  <c r="L118" i="5"/>
  <c r="L113" i="5"/>
  <c r="L117" i="5"/>
  <c r="L110" i="5"/>
  <c r="L109" i="5"/>
  <c r="L98" i="5"/>
  <c r="L97" i="5"/>
  <c r="L96" i="5"/>
  <c r="L78" i="5"/>
  <c r="L77" i="5"/>
  <c r="L64" i="5"/>
  <c r="L44" i="5"/>
  <c r="L54" i="5" s="1"/>
  <c r="L4" i="5"/>
  <c r="K13" i="18"/>
  <c r="K12" i="18"/>
  <c r="K14" i="18" s="1"/>
  <c r="AU117" i="5"/>
  <c r="AT117" i="5"/>
  <c r="AR117" i="5"/>
  <c r="K117" i="5"/>
  <c r="J117" i="5"/>
  <c r="I117" i="5"/>
  <c r="AU110" i="5"/>
  <c r="AT110" i="5"/>
  <c r="AR110" i="5"/>
  <c r="K110" i="5"/>
  <c r="J110" i="5"/>
  <c r="I110" i="5"/>
  <c r="I109" i="5"/>
  <c r="AP54" i="5"/>
  <c r="AP44" i="5"/>
  <c r="AQ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AQ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H98" i="5"/>
  <c r="G98" i="5"/>
  <c r="F98" i="5"/>
  <c r="E98" i="5"/>
  <c r="H97" i="5"/>
  <c r="M54" i="5"/>
  <c r="H54" i="5"/>
  <c r="G54" i="5"/>
  <c r="F54" i="5"/>
  <c r="E54" i="5"/>
  <c r="H44" i="5"/>
  <c r="G44" i="5"/>
  <c r="F44" i="5"/>
  <c r="E44" i="5"/>
  <c r="C269" i="5"/>
  <c r="C210" i="5"/>
  <c r="C209" i="5"/>
  <c r="C198" i="5"/>
  <c r="C197" i="5"/>
  <c r="C69" i="78"/>
  <c r="C67" i="78"/>
  <c r="E65" i="78"/>
  <c r="C67" i="26"/>
  <c r="E65" i="26" s="1"/>
  <c r="C69" i="26"/>
  <c r="J2" i="69" a="1"/>
  <c r="J3" i="69" a="1"/>
  <c r="F20" i="84" a="1"/>
  <c r="C248" i="5"/>
  <c r="C201" i="5"/>
  <c r="C268" i="5"/>
  <c r="B19" i="9"/>
  <c r="BA64" i="5"/>
  <c r="BA47" i="5"/>
  <c r="BA46" i="5"/>
  <c r="BA45" i="5"/>
  <c r="BA44" i="5"/>
  <c r="BA43" i="5"/>
  <c r="C208" i="5"/>
  <c r="C196" i="5"/>
  <c r="C190" i="5"/>
  <c r="C191" i="5"/>
  <c r="C203" i="5"/>
  <c r="E142" i="5"/>
  <c r="BD98" i="5"/>
  <c r="BA98" i="5"/>
  <c r="AZ98" i="5"/>
  <c r="AY98" i="5"/>
  <c r="AX98" i="5"/>
  <c r="AW98" i="5"/>
  <c r="AV98" i="5"/>
  <c r="AU98" i="5"/>
  <c r="AT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K98" i="5"/>
  <c r="J98" i="5"/>
  <c r="I98" i="5"/>
  <c r="BD97" i="5"/>
  <c r="AZ97" i="5"/>
  <c r="AQ97" i="5"/>
  <c r="AM97" i="5"/>
  <c r="AK97" i="5"/>
  <c r="AH97" i="5"/>
  <c r="AE97" i="5"/>
  <c r="AC97" i="5"/>
  <c r="AA97" i="5"/>
  <c r="Y97" i="5"/>
  <c r="W97" i="5"/>
  <c r="T97" i="5"/>
  <c r="R97" i="5"/>
  <c r="P97" i="5"/>
  <c r="J97" i="5"/>
  <c r="BD96" i="5"/>
  <c r="AZ96" i="5"/>
  <c r="AQ96" i="5"/>
  <c r="AM96" i="5"/>
  <c r="AK96" i="5"/>
  <c r="AH96" i="5"/>
  <c r="AE96" i="5"/>
  <c r="AC96" i="5"/>
  <c r="AA96" i="5"/>
  <c r="Y96" i="5"/>
  <c r="W96" i="5"/>
  <c r="T96" i="5"/>
  <c r="R96" i="5"/>
  <c r="P96" i="5"/>
  <c r="J96" i="5"/>
  <c r="D97" i="5"/>
  <c r="D96" i="5"/>
  <c r="D98" i="5"/>
  <c r="C205" i="5"/>
  <c r="C194" i="5"/>
  <c r="H4" i="69" a="1"/>
  <c r="BA109" i="5"/>
  <c r="BD109" i="5"/>
  <c r="AZ109" i="5"/>
  <c r="AV109" i="5"/>
  <c r="AW109" i="5"/>
  <c r="AX109" i="5"/>
  <c r="AY109" i="5"/>
  <c r="AR109" i="5"/>
  <c r="AT109" i="5"/>
  <c r="AU109" i="5"/>
  <c r="K109" i="5"/>
  <c r="J109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V110" i="5"/>
  <c r="AW110" i="5"/>
  <c r="AX110" i="5"/>
  <c r="AY110" i="5"/>
  <c r="AZ110" i="5"/>
  <c r="BA110" i="5"/>
  <c r="BD110" i="5"/>
  <c r="C263" i="5"/>
  <c r="C262" i="5"/>
  <c r="I118" i="5"/>
  <c r="J118" i="5"/>
  <c r="K118" i="5"/>
  <c r="AR118" i="5"/>
  <c r="AT118" i="5"/>
  <c r="AU118" i="5"/>
  <c r="AV118" i="5"/>
  <c r="AW118" i="5"/>
  <c r="AX118" i="5"/>
  <c r="AY118" i="5"/>
  <c r="AZ118" i="5"/>
  <c r="BA118" i="5"/>
  <c r="BD118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V117" i="5"/>
  <c r="AW117" i="5"/>
  <c r="AX117" i="5"/>
  <c r="AY117" i="5"/>
  <c r="AZ117" i="5"/>
  <c r="BA117" i="5"/>
  <c r="BD117" i="5"/>
  <c r="I121" i="5"/>
  <c r="J121" i="5"/>
  <c r="K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T121" i="5"/>
  <c r="AU121" i="5"/>
  <c r="AV121" i="5"/>
  <c r="AW121" i="5"/>
  <c r="AX121" i="5"/>
  <c r="AY121" i="5"/>
  <c r="AZ121" i="5"/>
  <c r="BA121" i="5"/>
  <c r="BD121" i="5"/>
  <c r="BA113" i="5"/>
  <c r="BD113" i="5"/>
  <c r="AV113" i="5"/>
  <c r="AW113" i="5"/>
  <c r="AX113" i="5"/>
  <c r="AY113" i="5"/>
  <c r="AZ113" i="5"/>
  <c r="AR113" i="5"/>
  <c r="AT113" i="5"/>
  <c r="AU113" i="5"/>
  <c r="I113" i="5"/>
  <c r="J113" i="5"/>
  <c r="K113" i="5"/>
  <c r="I78" i="5"/>
  <c r="J78" i="5"/>
  <c r="K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T78" i="5"/>
  <c r="AU78" i="5"/>
  <c r="AV78" i="5"/>
  <c r="AW78" i="5"/>
  <c r="AX78" i="5"/>
  <c r="AY78" i="5"/>
  <c r="AZ78" i="5"/>
  <c r="BA78" i="5"/>
  <c r="BD78" i="5"/>
  <c r="BG5" i="98" l="1"/>
  <c r="J2" i="96"/>
  <c r="ET2" i="96" s="1" a="1"/>
  <c r="ET2" i="96" s="1"/>
  <c r="EO2" i="96" a="1"/>
  <c r="EO2" i="96" s="1"/>
  <c r="EJ2" i="96" a="1"/>
  <c r="EJ2" i="96" s="1"/>
  <c r="EE2" i="96" a="1"/>
  <c r="EE2" i="96" s="1"/>
  <c r="AA66" i="96"/>
  <c r="AB66" i="96"/>
  <c r="Z66" i="96"/>
  <c r="AB64" i="96"/>
  <c r="Z64" i="96"/>
  <c r="AA64" i="96"/>
  <c r="FG5" i="69"/>
  <c r="C4" i="96"/>
  <c r="Y3" i="96" a="1"/>
  <c r="Y3" i="96" s="1"/>
  <c r="BC3" i="96" a="1"/>
  <c r="BC3" i="96" s="1"/>
  <c r="BM3" i="96" a="1"/>
  <c r="BM3" i="96" s="1"/>
  <c r="BV3" i="96" a="1"/>
  <c r="BV3" i="96" s="1"/>
  <c r="CU3" i="96" a="1"/>
  <c r="CU3" i="96" s="1"/>
  <c r="DC3" i="96" a="1"/>
  <c r="DC3" i="96" s="1"/>
  <c r="DZ3" i="96" a="1"/>
  <c r="DZ3" i="96" s="1"/>
  <c r="AI3" i="96" a="1"/>
  <c r="AI3" i="96" s="1"/>
  <c r="AX3" i="96" a="1"/>
  <c r="AX3" i="96" s="1"/>
  <c r="BR3" i="96" a="1"/>
  <c r="BR3" i="96" s="1"/>
  <c r="CE3" i="96" a="1"/>
  <c r="CE3" i="96" s="1"/>
  <c r="CQ3" i="96" a="1"/>
  <c r="CQ3" i="96" s="1"/>
  <c r="CY3" i="96" a="1"/>
  <c r="CY3" i="96" s="1"/>
  <c r="DG3" i="96" a="1"/>
  <c r="DG3" i="96" s="1"/>
  <c r="DU3" i="96" a="1"/>
  <c r="DU3" i="96" s="1"/>
  <c r="T3" i="96" a="1"/>
  <c r="T3" i="96" s="1"/>
  <c r="AD3" i="96" a="1"/>
  <c r="AD3" i="96" s="1"/>
  <c r="AS3" i="96" a="1"/>
  <c r="AS3" i="96" s="1"/>
  <c r="CI3" i="96" a="1"/>
  <c r="CI3" i="96" s="1"/>
  <c r="DP3" i="96" a="1"/>
  <c r="DP3" i="96" s="1"/>
  <c r="O3" i="96" a="1"/>
  <c r="O3" i="96" s="1"/>
  <c r="AN3" i="96" a="1"/>
  <c r="AN3" i="96" s="1"/>
  <c r="BH3" i="96" a="1"/>
  <c r="BH3" i="96" s="1"/>
  <c r="CA3" i="96" a="1"/>
  <c r="CA3" i="96" s="1"/>
  <c r="CM3" i="96" a="1"/>
  <c r="CM3" i="96" s="1"/>
  <c r="DL3" i="96" a="1"/>
  <c r="DL3" i="96" s="1"/>
  <c r="J3" i="96" a="1"/>
  <c r="CA2" i="96" a="1"/>
  <c r="CI2" i="96" a="1"/>
  <c r="CU2" i="96" a="1"/>
  <c r="DC2" i="96" a="1"/>
  <c r="DL2" i="96" a="1"/>
  <c r="BR2" i="96" a="1"/>
  <c r="CE2" i="96" a="1"/>
  <c r="CM2" i="96" a="1"/>
  <c r="CQ2" i="96" a="1"/>
  <c r="CY2" i="96" a="1"/>
  <c r="DP2" i="96" a="1"/>
  <c r="DU2" i="96" a="1"/>
  <c r="DZ2" i="96" a="1"/>
  <c r="J3" i="69"/>
  <c r="EX3" i="69" a="1"/>
  <c r="EX3" i="69" s="1"/>
  <c r="ET3" i="69" a="1"/>
  <c r="ET3" i="69" s="1"/>
  <c r="J2" i="69"/>
  <c r="EX2" i="69" s="1" a="1"/>
  <c r="EX2" i="69" s="1"/>
  <c r="ET2" i="69" a="1"/>
  <c r="ET2" i="69" s="1"/>
  <c r="Q20" i="34"/>
  <c r="V20" i="84"/>
  <c r="R20" i="84"/>
  <c r="AP20" i="85"/>
  <c r="AL20" i="85"/>
  <c r="AH20" i="85"/>
  <c r="AD20" i="85"/>
  <c r="Z20" i="85"/>
  <c r="V20" i="85"/>
  <c r="F20" i="85"/>
  <c r="AS27" i="18"/>
  <c r="BC14" i="18"/>
  <c r="BC27" i="18"/>
  <c r="BB14" i="18"/>
  <c r="BB27" i="18"/>
  <c r="I20" i="34"/>
  <c r="I30" i="34"/>
  <c r="I28" i="34"/>
  <c r="I22" i="34"/>
  <c r="I29" i="34"/>
  <c r="I27" i="34"/>
  <c r="I26" i="34"/>
  <c r="I25" i="34"/>
  <c r="I24" i="34"/>
  <c r="I23" i="34"/>
  <c r="I21" i="34"/>
  <c r="J20" i="84"/>
  <c r="N20" i="84"/>
  <c r="L27" i="18"/>
  <c r="L14" i="18"/>
  <c r="Z2" i="69" a="1"/>
  <c r="Z2" i="69" s="1"/>
  <c r="AD3" i="69" a="1"/>
  <c r="AD3" i="69" s="1"/>
  <c r="Z3" i="69" a="1"/>
  <c r="Z3" i="69" s="1"/>
  <c r="N2" i="69" a="1"/>
  <c r="N2" i="69" s="1"/>
  <c r="DV2" i="69" a="1"/>
  <c r="DV2" i="69" s="1"/>
  <c r="CX2" i="69" a="1"/>
  <c r="CX2" i="69" s="1"/>
  <c r="CP2" i="69" a="1"/>
  <c r="CP2" i="69" s="1"/>
  <c r="CH2" i="69" a="1"/>
  <c r="CH2" i="69" s="1"/>
  <c r="BR2" i="69" a="1"/>
  <c r="BR2" i="69" s="1"/>
  <c r="CD2" i="69" a="1"/>
  <c r="CD2" i="69" s="1"/>
  <c r="BB2" i="69" a="1"/>
  <c r="BB2" i="69" s="1"/>
  <c r="AP2" i="69" a="1"/>
  <c r="AL2" i="69" a="1"/>
  <c r="AL2" i="69" s="1"/>
  <c r="EL2" i="69" a="1"/>
  <c r="EL2" i="69" s="1"/>
  <c r="ED2" i="69" a="1"/>
  <c r="ED2" i="69" s="1"/>
  <c r="DZ2" i="69" a="1"/>
  <c r="DZ2" i="69" s="1"/>
  <c r="DR2" i="69" a="1"/>
  <c r="DR2" i="69" s="1"/>
  <c r="DJ2" i="69" a="1"/>
  <c r="DJ2" i="69" s="1"/>
  <c r="DB2" i="69" a="1"/>
  <c r="DB2" i="69" s="1"/>
  <c r="CT2" i="69" a="1"/>
  <c r="CT2" i="69" s="1"/>
  <c r="CL2" i="69" a="1"/>
  <c r="CL2" i="69" s="1"/>
  <c r="N3" i="69" a="1"/>
  <c r="N3" i="69" s="1"/>
  <c r="BB3" i="69" a="1"/>
  <c r="BB3" i="69" s="1"/>
  <c r="BN3" i="69" a="1"/>
  <c r="BN3" i="69" s="1"/>
  <c r="BJ3" i="69" a="1"/>
  <c r="BJ3" i="69" s="1"/>
  <c r="BF3" i="69" a="1"/>
  <c r="BF3" i="69" s="1"/>
  <c r="AX3" i="69" a="1"/>
  <c r="AX3" i="69" s="1"/>
  <c r="AT3" i="69" a="1"/>
  <c r="AT3" i="69" s="1"/>
  <c r="AP3" i="69" a="1"/>
  <c r="AP3" i="69" s="1"/>
  <c r="AL3" i="69" a="1"/>
  <c r="AL3" i="69" s="1"/>
  <c r="AH3" i="69" a="1"/>
  <c r="AH3" i="69" s="1"/>
  <c r="V3" i="69" a="1"/>
  <c r="V3" i="69" s="1"/>
  <c r="R3" i="69" a="1"/>
  <c r="R3" i="69" s="1"/>
  <c r="EL3" i="69" a="1"/>
  <c r="EL3" i="69" s="1"/>
  <c r="EH3" i="69" a="1"/>
  <c r="EH3" i="69" s="1"/>
  <c r="ED3" i="69" a="1"/>
  <c r="ED3" i="69" s="1"/>
  <c r="DZ3" i="69" a="1"/>
  <c r="DZ3" i="69" s="1"/>
  <c r="DV3" i="69" a="1"/>
  <c r="DV3" i="69" s="1"/>
  <c r="DR3" i="69" a="1"/>
  <c r="DR3" i="69" s="1"/>
  <c r="DN3" i="69" a="1"/>
  <c r="DN3" i="69" s="1"/>
  <c r="DJ3" i="69" a="1"/>
  <c r="DJ3" i="69" s="1"/>
  <c r="DF3" i="69" a="1"/>
  <c r="DF3" i="69" s="1"/>
  <c r="DB3" i="69" a="1"/>
  <c r="DB3" i="69" s="1"/>
  <c r="BR3" i="69" a="1"/>
  <c r="BR3" i="69" s="1"/>
  <c r="CX3" i="69" a="1"/>
  <c r="CX3" i="69" s="1"/>
  <c r="CT3" i="69" a="1"/>
  <c r="CT3" i="69" s="1"/>
  <c r="CP3" i="69" a="1"/>
  <c r="CP3" i="69" s="1"/>
  <c r="CL3" i="69" a="1"/>
  <c r="CL3" i="69" s="1"/>
  <c r="CH3" i="69" a="1"/>
  <c r="CH3" i="69" s="1"/>
  <c r="CD3" i="69" a="1"/>
  <c r="CD3" i="69" s="1"/>
  <c r="BZ3" i="69" a="1"/>
  <c r="BZ3" i="69" s="1"/>
  <c r="BV3" i="69" a="1"/>
  <c r="BV3" i="69" s="1"/>
  <c r="F20" i="84"/>
  <c r="H4" i="69"/>
  <c r="BD168" i="5"/>
  <c r="BA168" i="5"/>
  <c r="AZ168" i="5"/>
  <c r="AY168" i="5"/>
  <c r="AX168" i="5"/>
  <c r="AW168" i="5"/>
  <c r="AV168" i="5"/>
  <c r="AU168" i="5"/>
  <c r="AT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K168" i="5"/>
  <c r="J168" i="5"/>
  <c r="I168" i="5"/>
  <c r="H168" i="5"/>
  <c r="G168" i="5"/>
  <c r="F168" i="5"/>
  <c r="E168" i="5"/>
  <c r="D168" i="5"/>
  <c r="D161" i="5"/>
  <c r="BD162" i="5"/>
  <c r="BD160" i="5" s="1"/>
  <c r="BA162" i="5"/>
  <c r="BA160" i="5" s="1"/>
  <c r="AZ162" i="5"/>
  <c r="AZ160" i="5" s="1"/>
  <c r="AY162" i="5"/>
  <c r="AY160" i="5" s="1"/>
  <c r="AX162" i="5"/>
  <c r="AX160" i="5" s="1"/>
  <c r="AW162" i="5"/>
  <c r="AW160" i="5" s="1"/>
  <c r="AV162" i="5"/>
  <c r="AV160" i="5" s="1"/>
  <c r="AU162" i="5"/>
  <c r="AU160" i="5" s="1"/>
  <c r="AT162" i="5"/>
  <c r="AT160" i="5" s="1"/>
  <c r="AR162" i="5"/>
  <c r="AR160" i="5" s="1"/>
  <c r="AQ162" i="5"/>
  <c r="AQ160" i="5" s="1"/>
  <c r="AP162" i="5"/>
  <c r="AP160" i="5" s="1"/>
  <c r="AO162" i="5"/>
  <c r="AO160" i="5" s="1"/>
  <c r="AN162" i="5"/>
  <c r="AN160" i="5" s="1"/>
  <c r="AM162" i="5"/>
  <c r="AM160" i="5" s="1"/>
  <c r="AL162" i="5"/>
  <c r="AL160" i="5" s="1"/>
  <c r="AK162" i="5"/>
  <c r="AK160" i="5" s="1"/>
  <c r="AJ162" i="5"/>
  <c r="AJ160" i="5" s="1"/>
  <c r="AI162" i="5"/>
  <c r="AI160" i="5" s="1"/>
  <c r="AH162" i="5"/>
  <c r="AH160" i="5" s="1"/>
  <c r="AG162" i="5"/>
  <c r="AG160" i="5" s="1"/>
  <c r="AF162" i="5"/>
  <c r="AF160" i="5" s="1"/>
  <c r="AE162" i="5"/>
  <c r="AE160" i="5" s="1"/>
  <c r="AD162" i="5"/>
  <c r="AD160" i="5" s="1"/>
  <c r="AC162" i="5"/>
  <c r="AC160" i="5" s="1"/>
  <c r="AB162" i="5"/>
  <c r="AB160" i="5" s="1"/>
  <c r="AA162" i="5"/>
  <c r="AA160" i="5" s="1"/>
  <c r="Z162" i="5"/>
  <c r="Z160" i="5" s="1"/>
  <c r="Y162" i="5"/>
  <c r="Y160" i="5" s="1"/>
  <c r="X162" i="5"/>
  <c r="X160" i="5" s="1"/>
  <c r="W162" i="5"/>
  <c r="W160" i="5" s="1"/>
  <c r="V162" i="5"/>
  <c r="V160" i="5" s="1"/>
  <c r="U162" i="5"/>
  <c r="U160" i="5" s="1"/>
  <c r="T162" i="5"/>
  <c r="T160" i="5" s="1"/>
  <c r="S162" i="5"/>
  <c r="S160" i="5" s="1"/>
  <c r="R162" i="5"/>
  <c r="R160" i="5" s="1"/>
  <c r="Q162" i="5"/>
  <c r="Q160" i="5" s="1"/>
  <c r="P162" i="5"/>
  <c r="P160" i="5" s="1"/>
  <c r="O162" i="5"/>
  <c r="O160" i="5" s="1"/>
  <c r="N162" i="5"/>
  <c r="N160" i="5" s="1"/>
  <c r="M162" i="5"/>
  <c r="M160" i="5" s="1"/>
  <c r="K162" i="5"/>
  <c r="K160" i="5" s="1"/>
  <c r="J162" i="5"/>
  <c r="J160" i="5" s="1"/>
  <c r="I162" i="5"/>
  <c r="I160" i="5" s="1"/>
  <c r="H162" i="5"/>
  <c r="H160" i="5" s="1"/>
  <c r="G162" i="5"/>
  <c r="G160" i="5" s="1"/>
  <c r="F162" i="5"/>
  <c r="F160" i="5" s="1"/>
  <c r="E162" i="5"/>
  <c r="E160" i="5" s="1"/>
  <c r="D162" i="5"/>
  <c r="D160" i="5" s="1"/>
  <c r="AG4" i="5"/>
  <c r="AG64" i="5"/>
  <c r="AG77" i="5"/>
  <c r="AG119" i="5"/>
  <c r="AG120" i="5"/>
  <c r="AG128" i="5"/>
  <c r="AG135" i="5"/>
  <c r="AG140" i="5"/>
  <c r="AG166" i="5"/>
  <c r="AG170" i="5"/>
  <c r="AG174" i="5"/>
  <c r="AG12" i="18"/>
  <c r="AG13" i="18"/>
  <c r="AG14" i="18"/>
  <c r="AG27" i="18"/>
  <c r="AG28" i="18"/>
  <c r="H128" i="5"/>
  <c r="G128" i="5"/>
  <c r="F128" i="5"/>
  <c r="E128" i="5"/>
  <c r="AQ128" i="5"/>
  <c r="AP128" i="5"/>
  <c r="AO128" i="5"/>
  <c r="AN128" i="5"/>
  <c r="AM128" i="5"/>
  <c r="AL128" i="5"/>
  <c r="AK128" i="5"/>
  <c r="AJ128" i="5"/>
  <c r="AI128" i="5"/>
  <c r="AH128" i="5"/>
  <c r="AF128" i="5"/>
  <c r="AE128" i="5"/>
  <c r="AD128" i="5"/>
  <c r="AC128" i="5"/>
  <c r="AB128" i="5"/>
  <c r="AA128" i="5"/>
  <c r="Z128" i="5"/>
  <c r="X128" i="5"/>
  <c r="V128" i="5"/>
  <c r="U128" i="5"/>
  <c r="S128" i="5"/>
  <c r="BD120" i="5"/>
  <c r="BA120" i="5"/>
  <c r="AZ120" i="5"/>
  <c r="AY120" i="5"/>
  <c r="AX120" i="5"/>
  <c r="AW120" i="5"/>
  <c r="AV120" i="5"/>
  <c r="AU120" i="5"/>
  <c r="AT120" i="5"/>
  <c r="AR120" i="5"/>
  <c r="AQ120" i="5"/>
  <c r="AP120" i="5"/>
  <c r="AO120" i="5"/>
  <c r="AN120" i="5"/>
  <c r="AM120" i="5"/>
  <c r="AL120" i="5"/>
  <c r="AK120" i="5"/>
  <c r="AJ120" i="5"/>
  <c r="AI120" i="5"/>
  <c r="AH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K120" i="5"/>
  <c r="J120" i="5"/>
  <c r="BD119" i="5"/>
  <c r="BA119" i="5"/>
  <c r="AZ119" i="5"/>
  <c r="AY119" i="5"/>
  <c r="AX119" i="5"/>
  <c r="AW119" i="5"/>
  <c r="AV119" i="5"/>
  <c r="AU119" i="5"/>
  <c r="AT119" i="5"/>
  <c r="AR119" i="5"/>
  <c r="AQ119" i="5"/>
  <c r="AP119" i="5"/>
  <c r="AO119" i="5"/>
  <c r="AN119" i="5"/>
  <c r="AM119" i="5"/>
  <c r="AL119" i="5"/>
  <c r="AK119" i="5"/>
  <c r="AJ119" i="5"/>
  <c r="AI119" i="5"/>
  <c r="AH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K119" i="5"/>
  <c r="J119" i="5"/>
  <c r="I120" i="5"/>
  <c r="I119" i="5"/>
  <c r="M44" i="5"/>
  <c r="D147" i="5"/>
  <c r="D146" i="5" s="1"/>
  <c r="BD64" i="5"/>
  <c r="AZ64" i="5"/>
  <c r="AY64" i="5"/>
  <c r="AX64" i="5"/>
  <c r="AW64" i="5"/>
  <c r="AV64" i="5"/>
  <c r="AU64" i="5"/>
  <c r="AT64" i="5"/>
  <c r="AR64" i="5"/>
  <c r="AQ64" i="5"/>
  <c r="AP64" i="5"/>
  <c r="AO64" i="5"/>
  <c r="AN64" i="5"/>
  <c r="AM64" i="5"/>
  <c r="AL64" i="5"/>
  <c r="AK64" i="5"/>
  <c r="AJ64" i="5"/>
  <c r="AI64" i="5"/>
  <c r="AH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K64" i="5"/>
  <c r="J64" i="5"/>
  <c r="I64" i="5"/>
  <c r="H64" i="5"/>
  <c r="G64" i="5"/>
  <c r="F64" i="5"/>
  <c r="E64" i="5"/>
  <c r="BD44" i="5"/>
  <c r="BD54" i="5" s="1"/>
  <c r="AZ44" i="5"/>
  <c r="AZ54" i="5" s="1"/>
  <c r="AY44" i="5"/>
  <c r="AY54" i="5" s="1"/>
  <c r="AX44" i="5"/>
  <c r="AX54" i="5" s="1"/>
  <c r="AW44" i="5"/>
  <c r="AW54" i="5" s="1"/>
  <c r="AV44" i="5"/>
  <c r="AV54" i="5" s="1"/>
  <c r="AU44" i="5"/>
  <c r="AU54" i="5" s="1"/>
  <c r="AT44" i="5"/>
  <c r="AT54" i="5" s="1"/>
  <c r="AR44" i="5"/>
  <c r="AR54" i="5" s="1"/>
  <c r="K44" i="5"/>
  <c r="K54" i="5" s="1"/>
  <c r="J44" i="5"/>
  <c r="J54" i="5" s="1"/>
  <c r="I44" i="5"/>
  <c r="I54" i="5" s="1"/>
  <c r="BA28" i="18"/>
  <c r="BA13" i="18"/>
  <c r="BA12" i="18"/>
  <c r="BA174" i="5"/>
  <c r="BA170" i="5"/>
  <c r="BA166" i="5"/>
  <c r="BA140" i="5"/>
  <c r="BA135" i="5"/>
  <c r="BA128" i="5"/>
  <c r="BA77" i="5"/>
  <c r="BA4" i="5"/>
  <c r="BD48" i="5"/>
  <c r="BD58" i="5" s="1"/>
  <c r="D174" i="5"/>
  <c r="E135" i="5"/>
  <c r="F135" i="5"/>
  <c r="G135" i="5"/>
  <c r="H135" i="5"/>
  <c r="F140" i="5"/>
  <c r="G140" i="5"/>
  <c r="H140" i="5"/>
  <c r="I140" i="5"/>
  <c r="J140" i="5"/>
  <c r="K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H140" i="5"/>
  <c r="AI140" i="5"/>
  <c r="AJ140" i="5"/>
  <c r="AK140" i="5"/>
  <c r="AL140" i="5"/>
  <c r="AM140" i="5"/>
  <c r="AN140" i="5"/>
  <c r="AO140" i="5"/>
  <c r="AP140" i="5"/>
  <c r="AQ140" i="5"/>
  <c r="AR140" i="5"/>
  <c r="AT140" i="5"/>
  <c r="AU140" i="5"/>
  <c r="AV140" i="5"/>
  <c r="AW140" i="5"/>
  <c r="AX140" i="5"/>
  <c r="AY140" i="5"/>
  <c r="AZ140" i="5"/>
  <c r="BD140" i="5"/>
  <c r="D140" i="5"/>
  <c r="E140" i="5"/>
  <c r="BD77" i="5"/>
  <c r="AZ77" i="5"/>
  <c r="AY77" i="5"/>
  <c r="AX77" i="5"/>
  <c r="AW77" i="5"/>
  <c r="AV77" i="5"/>
  <c r="AU77" i="5"/>
  <c r="AT77" i="5"/>
  <c r="AR77" i="5"/>
  <c r="AQ77" i="5"/>
  <c r="AP77" i="5"/>
  <c r="AO77" i="5"/>
  <c r="AN77" i="5"/>
  <c r="AM77" i="5"/>
  <c r="AL77" i="5"/>
  <c r="AK77" i="5"/>
  <c r="AJ77" i="5"/>
  <c r="AI77" i="5"/>
  <c r="AH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K77" i="5"/>
  <c r="J77" i="5"/>
  <c r="I77" i="5"/>
  <c r="C192" i="5"/>
  <c r="BD174" i="5"/>
  <c r="AZ174" i="5"/>
  <c r="AY174" i="5"/>
  <c r="AX174" i="5"/>
  <c r="AW174" i="5"/>
  <c r="AV174" i="5"/>
  <c r="AU174" i="5"/>
  <c r="AT174" i="5"/>
  <c r="AR174" i="5"/>
  <c r="AQ174" i="5"/>
  <c r="AP174" i="5"/>
  <c r="AO174" i="5"/>
  <c r="AN174" i="5"/>
  <c r="AM174" i="5"/>
  <c r="AL174" i="5"/>
  <c r="AK174" i="5"/>
  <c r="AJ174" i="5"/>
  <c r="AI174" i="5"/>
  <c r="AH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K174" i="5"/>
  <c r="J174" i="5"/>
  <c r="I174" i="5"/>
  <c r="H174" i="5"/>
  <c r="G174" i="5"/>
  <c r="F174" i="5"/>
  <c r="E174" i="5"/>
  <c r="BD166" i="5"/>
  <c r="AZ166" i="5"/>
  <c r="AY166" i="5"/>
  <c r="AX166" i="5"/>
  <c r="AW166" i="5"/>
  <c r="AV166" i="5"/>
  <c r="AU166" i="5"/>
  <c r="AT166" i="5"/>
  <c r="AR166" i="5"/>
  <c r="AQ166" i="5"/>
  <c r="AP166" i="5"/>
  <c r="AO166" i="5"/>
  <c r="AN166" i="5"/>
  <c r="AM166" i="5"/>
  <c r="AL166" i="5"/>
  <c r="AK166" i="5"/>
  <c r="AJ166" i="5"/>
  <c r="AI166" i="5"/>
  <c r="AH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K166" i="5"/>
  <c r="J166" i="5"/>
  <c r="I166" i="5"/>
  <c r="H166" i="5"/>
  <c r="G166" i="5"/>
  <c r="F166" i="5"/>
  <c r="E166" i="5"/>
  <c r="D166" i="5"/>
  <c r="AY47" i="5"/>
  <c r="AX47" i="5"/>
  <c r="AW47" i="5"/>
  <c r="AV47" i="5"/>
  <c r="AY46" i="5"/>
  <c r="AY56" i="5" s="1"/>
  <c r="AX46" i="5"/>
  <c r="AX56" i="5" s="1"/>
  <c r="AW46" i="5"/>
  <c r="AW56" i="5" s="1"/>
  <c r="AV46" i="5"/>
  <c r="AV56" i="5" s="1"/>
  <c r="AY45" i="5"/>
  <c r="AY55" i="5" s="1"/>
  <c r="AX45" i="5"/>
  <c r="AX55" i="5" s="1"/>
  <c r="AW45" i="5"/>
  <c r="AW55" i="5" s="1"/>
  <c r="AV45" i="5"/>
  <c r="AV55" i="5" s="1"/>
  <c r="AY43" i="5"/>
  <c r="AY53" i="5" s="1"/>
  <c r="AX43" i="5"/>
  <c r="AX53" i="5" s="1"/>
  <c r="AW43" i="5"/>
  <c r="AW53" i="5" s="1"/>
  <c r="AV43" i="5"/>
  <c r="AV53" i="5" s="1"/>
  <c r="AZ46" i="5"/>
  <c r="AZ56" i="5" s="1"/>
  <c r="AZ45" i="5"/>
  <c r="AZ55" i="5" s="1"/>
  <c r="AZ47" i="5"/>
  <c r="AZ43" i="5"/>
  <c r="AZ53" i="5" s="1"/>
  <c r="H28" i="18"/>
  <c r="G28" i="18"/>
  <c r="F28" i="18"/>
  <c r="H13" i="18"/>
  <c r="G13" i="18"/>
  <c r="F13" i="18"/>
  <c r="H12" i="18"/>
  <c r="G12" i="18"/>
  <c r="F12" i="18"/>
  <c r="H170" i="5"/>
  <c r="G170" i="5"/>
  <c r="H4" i="5"/>
  <c r="G4" i="5"/>
  <c r="F170" i="5"/>
  <c r="F4" i="5"/>
  <c r="BD170" i="5"/>
  <c r="AZ170" i="5"/>
  <c r="AY170" i="5"/>
  <c r="AX170" i="5"/>
  <c r="AW170" i="5"/>
  <c r="AV170" i="5"/>
  <c r="AU170" i="5"/>
  <c r="AT170" i="5"/>
  <c r="AR170" i="5"/>
  <c r="AQ170" i="5"/>
  <c r="AP170" i="5"/>
  <c r="AO170" i="5"/>
  <c r="AN170" i="5"/>
  <c r="AM170" i="5"/>
  <c r="AL170" i="5"/>
  <c r="AK170" i="5"/>
  <c r="AJ170" i="5"/>
  <c r="AI170" i="5"/>
  <c r="AH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K170" i="5"/>
  <c r="J170" i="5"/>
  <c r="I170" i="5"/>
  <c r="E170" i="5"/>
  <c r="D170" i="5"/>
  <c r="D176" i="5"/>
  <c r="D178" i="5"/>
  <c r="E28" i="18"/>
  <c r="E13" i="18"/>
  <c r="E12" i="18"/>
  <c r="E4" i="5"/>
  <c r="AU28" i="18"/>
  <c r="AT28" i="18"/>
  <c r="AR28" i="18"/>
  <c r="AU13" i="18"/>
  <c r="AT13" i="18"/>
  <c r="AR13" i="18"/>
  <c r="AU12" i="18"/>
  <c r="AT12" i="18"/>
  <c r="AR12" i="18"/>
  <c r="AX28" i="18"/>
  <c r="AW28" i="18"/>
  <c r="AV28" i="18"/>
  <c r="AX13" i="18"/>
  <c r="AW13" i="18"/>
  <c r="AV13" i="18"/>
  <c r="AX12" i="18"/>
  <c r="AW12" i="18"/>
  <c r="AV12" i="18"/>
  <c r="AU135" i="5"/>
  <c r="AT135" i="5"/>
  <c r="AR135" i="5"/>
  <c r="AU128" i="5"/>
  <c r="AT128" i="5"/>
  <c r="AR128" i="5"/>
  <c r="AX135" i="5"/>
  <c r="AW135" i="5"/>
  <c r="AV135" i="5"/>
  <c r="AX128" i="5"/>
  <c r="AW128" i="5"/>
  <c r="AV128" i="5"/>
  <c r="AU4" i="5"/>
  <c r="AT4" i="5"/>
  <c r="AR4" i="5"/>
  <c r="AW4" i="5"/>
  <c r="AV4" i="5"/>
  <c r="AQ28" i="18"/>
  <c r="AP28" i="18"/>
  <c r="AO28" i="18"/>
  <c r="AN28" i="18"/>
  <c r="AM28" i="18"/>
  <c r="AL28" i="18"/>
  <c r="AK28" i="18"/>
  <c r="AJ28" i="18"/>
  <c r="AI28" i="18"/>
  <c r="AH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BD13" i="18"/>
  <c r="AZ13" i="18"/>
  <c r="AY13" i="18"/>
  <c r="AQ13" i="18"/>
  <c r="AP13" i="18"/>
  <c r="AO13" i="18"/>
  <c r="AN13" i="18"/>
  <c r="AM13" i="18"/>
  <c r="AL13" i="18"/>
  <c r="AK13" i="18"/>
  <c r="AJ13" i="18"/>
  <c r="AI13" i="18"/>
  <c r="AH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J13" i="18"/>
  <c r="D13" i="18"/>
  <c r="BD12" i="18"/>
  <c r="AZ12" i="18"/>
  <c r="AY12" i="18"/>
  <c r="AQ12" i="18"/>
  <c r="AP12" i="18"/>
  <c r="AO12" i="18"/>
  <c r="AN12" i="18"/>
  <c r="AM12" i="18"/>
  <c r="AL12" i="18"/>
  <c r="AK12" i="18"/>
  <c r="AJ12" i="18"/>
  <c r="AI12" i="18"/>
  <c r="AH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J12" i="18"/>
  <c r="D12" i="18"/>
  <c r="I13" i="18"/>
  <c r="I12" i="18"/>
  <c r="AA135" i="5"/>
  <c r="Z135" i="5"/>
  <c r="AA4" i="5"/>
  <c r="Z4" i="5"/>
  <c r="Y135" i="5"/>
  <c r="X135" i="5"/>
  <c r="Y128" i="5"/>
  <c r="Y4" i="5"/>
  <c r="X4" i="5"/>
  <c r="AQ135" i="5"/>
  <c r="AP135" i="5"/>
  <c r="AO135" i="5"/>
  <c r="AN135" i="5"/>
  <c r="AM135" i="5"/>
  <c r="AL135" i="5"/>
  <c r="AK135" i="5"/>
  <c r="AJ135" i="5"/>
  <c r="AQ4" i="5"/>
  <c r="AP4" i="5"/>
  <c r="AO4" i="5"/>
  <c r="AN4" i="5"/>
  <c r="AM4" i="5"/>
  <c r="AL4" i="5"/>
  <c r="AK4" i="5"/>
  <c r="AJ4" i="5"/>
  <c r="AE135" i="5"/>
  <c r="AD135" i="5"/>
  <c r="AC135" i="5"/>
  <c r="AB135" i="5"/>
  <c r="AE4" i="5"/>
  <c r="AD4" i="5"/>
  <c r="AC4" i="5"/>
  <c r="AB4" i="5"/>
  <c r="AI135" i="5"/>
  <c r="AH135" i="5"/>
  <c r="AF135" i="5"/>
  <c r="AI4" i="5"/>
  <c r="AH4" i="5"/>
  <c r="AF4" i="5"/>
  <c r="U135" i="5"/>
  <c r="U4" i="5"/>
  <c r="W135" i="5"/>
  <c r="V135" i="5"/>
  <c r="W128" i="5"/>
  <c r="W4" i="5"/>
  <c r="V4" i="5"/>
  <c r="T135" i="5"/>
  <c r="S135" i="5"/>
  <c r="T128" i="5"/>
  <c r="T4" i="5"/>
  <c r="S4" i="5"/>
  <c r="BD28" i="18"/>
  <c r="AZ28" i="18"/>
  <c r="AY28" i="18"/>
  <c r="R28" i="18"/>
  <c r="Q28" i="18"/>
  <c r="P28" i="18"/>
  <c r="O28" i="18"/>
  <c r="N28" i="18"/>
  <c r="M28" i="18"/>
  <c r="K28" i="18"/>
  <c r="J28" i="18"/>
  <c r="I28" i="18"/>
  <c r="D28" i="18"/>
  <c r="D4" i="5"/>
  <c r="BD128" i="5"/>
  <c r="AZ128" i="5"/>
  <c r="AY128" i="5"/>
  <c r="R128" i="5"/>
  <c r="Q128" i="5"/>
  <c r="P128" i="5"/>
  <c r="O128" i="5"/>
  <c r="N128" i="5"/>
  <c r="M128" i="5"/>
  <c r="K128" i="5"/>
  <c r="J128" i="5"/>
  <c r="I128" i="5"/>
  <c r="D128" i="5"/>
  <c r="BD135" i="5"/>
  <c r="AZ135" i="5"/>
  <c r="AY135" i="5"/>
  <c r="R135" i="5"/>
  <c r="Q135" i="5"/>
  <c r="P135" i="5"/>
  <c r="O135" i="5"/>
  <c r="N135" i="5"/>
  <c r="M135" i="5"/>
  <c r="K135" i="5"/>
  <c r="J135" i="5"/>
  <c r="I135" i="5"/>
  <c r="D135" i="5"/>
  <c r="P4" i="5"/>
  <c r="O4" i="5"/>
  <c r="D120" i="5"/>
  <c r="D119" i="5"/>
  <c r="D108" i="5"/>
  <c r="BD67" i="5"/>
  <c r="BD63" i="5"/>
  <c r="BD66" i="5"/>
  <c r="BD65" i="5"/>
  <c r="BD4" i="5"/>
  <c r="AZ4" i="5"/>
  <c r="AY4" i="5"/>
  <c r="R4" i="5"/>
  <c r="Q4" i="5"/>
  <c r="N4" i="5"/>
  <c r="M4" i="5"/>
  <c r="K4" i="5"/>
  <c r="J4" i="5"/>
  <c r="I4" i="5"/>
  <c r="C41" i="91" l="1"/>
  <c r="C41" i="71"/>
  <c r="C35" i="73"/>
  <c r="C41" i="70"/>
  <c r="C41" i="48"/>
  <c r="C41" i="79"/>
  <c r="C41" i="73"/>
  <c r="C41" i="13"/>
  <c r="C41" i="88"/>
  <c r="C41" i="23"/>
  <c r="C41" i="29"/>
  <c r="C41" i="24"/>
  <c r="C41" i="19"/>
  <c r="C41" i="30"/>
  <c r="C41" i="33"/>
  <c r="C41" i="32"/>
  <c r="C41" i="31"/>
  <c r="C41" i="25"/>
  <c r="C41" i="50"/>
  <c r="C41" i="35"/>
  <c r="C41" i="51"/>
  <c r="C41" i="52"/>
  <c r="C41" i="37"/>
  <c r="C41" i="65"/>
  <c r="C41" i="66"/>
  <c r="C41" i="67"/>
  <c r="C41" i="68"/>
  <c r="C41" i="53"/>
  <c r="C41" i="38"/>
  <c r="C41" i="54"/>
  <c r="C41" i="39"/>
  <c r="C41" i="55"/>
  <c r="C41" i="56"/>
  <c r="C41" i="41"/>
  <c r="C41" i="57"/>
  <c r="C41" i="59"/>
  <c r="C41" i="44"/>
  <c r="C41" i="60"/>
  <c r="C41" i="45"/>
  <c r="C41" i="61"/>
  <c r="C41" i="62"/>
  <c r="C41" i="63"/>
  <c r="C41" i="49"/>
  <c r="C41" i="72"/>
  <c r="C41" i="89"/>
  <c r="C41" i="80"/>
  <c r="C41" i="81"/>
  <c r="E40" i="80" a="1"/>
  <c r="E40" i="80" s="1"/>
  <c r="E40" i="81" a="1"/>
  <c r="E40" i="81" s="1"/>
  <c r="C35" i="19"/>
  <c r="C35" i="30"/>
  <c r="C35" i="33"/>
  <c r="C35" i="32"/>
  <c r="C35" i="31"/>
  <c r="C35" i="25"/>
  <c r="C35" i="50"/>
  <c r="C35" i="35"/>
  <c r="C35" i="51"/>
  <c r="C35" i="52"/>
  <c r="C35" i="37"/>
  <c r="C35" i="65"/>
  <c r="C35" i="66"/>
  <c r="C35" i="67"/>
  <c r="C35" i="68"/>
  <c r="C35" i="53"/>
  <c r="C35" i="38"/>
  <c r="C35" i="54"/>
  <c r="C35" i="39"/>
  <c r="C35" i="55"/>
  <c r="C35" i="56"/>
  <c r="C35" i="41"/>
  <c r="C35" i="57"/>
  <c r="C35" i="59"/>
  <c r="C35" i="44"/>
  <c r="C35" i="60"/>
  <c r="C35" i="45"/>
  <c r="C35" i="61"/>
  <c r="C35" i="62"/>
  <c r="C35" i="63"/>
  <c r="C35" i="49"/>
  <c r="C35" i="70"/>
  <c r="C35" i="91"/>
  <c r="C35" i="71"/>
  <c r="C35" i="72"/>
  <c r="C35" i="74"/>
  <c r="C35" i="48"/>
  <c r="C35" i="75"/>
  <c r="C35" i="89"/>
  <c r="C35" i="90"/>
  <c r="C35" i="27"/>
  <c r="C35" i="22"/>
  <c r="C35" i="81"/>
  <c r="C35" i="80"/>
  <c r="C35" i="79"/>
  <c r="C35" i="77"/>
  <c r="B2" i="33"/>
  <c r="B2" i="24"/>
  <c r="B2" i="23"/>
  <c r="B2" i="13"/>
  <c r="B2" i="22"/>
  <c r="B2" i="80"/>
  <c r="B2" i="77"/>
  <c r="C41" i="75"/>
  <c r="C41" i="27"/>
  <c r="C41" i="77"/>
  <c r="J26" i="9" s="1"/>
  <c r="C35" i="13"/>
  <c r="C35" i="88"/>
  <c r="C35" i="23"/>
  <c r="C35" i="29"/>
  <c r="C35" i="24"/>
  <c r="C41" i="74"/>
  <c r="E40" i="77" a="1"/>
  <c r="E40" i="77" s="1"/>
  <c r="B2" i="73"/>
  <c r="B2" i="90"/>
  <c r="B2" i="89"/>
  <c r="B2" i="75"/>
  <c r="B2" i="48"/>
  <c r="B2" i="74"/>
  <c r="B2" i="72"/>
  <c r="B2" i="71"/>
  <c r="B2" i="91"/>
  <c r="B2" i="70"/>
  <c r="B2" i="49"/>
  <c r="B2" i="63"/>
  <c r="B2" i="62"/>
  <c r="B2" i="61"/>
  <c r="B2" i="45"/>
  <c r="B2" i="60"/>
  <c r="B2" i="44"/>
  <c r="B2" i="59"/>
  <c r="B2" i="57"/>
  <c r="B2" i="41"/>
  <c r="B2" i="56"/>
  <c r="B2" i="55"/>
  <c r="B2" i="39"/>
  <c r="B2" i="54"/>
  <c r="B2" i="38"/>
  <c r="B2" i="53"/>
  <c r="B2" i="68"/>
  <c r="B2" i="67"/>
  <c r="B2" i="66"/>
  <c r="B2" i="65"/>
  <c r="B2" i="37"/>
  <c r="B2" i="52"/>
  <c r="B2" i="51"/>
  <c r="B2" i="35"/>
  <c r="B2" i="50"/>
  <c r="B2" i="25"/>
  <c r="B2" i="31"/>
  <c r="B2" i="32"/>
  <c r="B2" i="30"/>
  <c r="B2" i="19"/>
  <c r="B2" i="29"/>
  <c r="B2" i="88"/>
  <c r="B2" i="27"/>
  <c r="B2" i="81"/>
  <c r="B2" i="79"/>
  <c r="C41" i="90"/>
  <c r="C41" i="22"/>
  <c r="E40" i="79" a="1"/>
  <c r="E40" i="79" s="1"/>
  <c r="E3" i="57" a="1"/>
  <c r="E3" i="57" s="1"/>
  <c r="E1" i="38" a="1"/>
  <c r="E1" i="38" s="1"/>
  <c r="E3" i="65" a="1"/>
  <c r="E3" i="65" s="1"/>
  <c r="E1" i="52" a="1"/>
  <c r="E1" i="52" s="1"/>
  <c r="E45" i="52" s="1" a="1"/>
  <c r="E3" i="25" a="1"/>
  <c r="E3" i="25" s="1"/>
  <c r="E3" i="19" a="1"/>
  <c r="E3" i="19" s="1"/>
  <c r="E3" i="29" a="1"/>
  <c r="E3" i="29" s="1"/>
  <c r="E3" i="88" a="1"/>
  <c r="E3" i="88" s="1"/>
  <c r="E3" i="22" a="1"/>
  <c r="E3" i="22" s="1"/>
  <c r="E1" i="77" a="1"/>
  <c r="E1" i="77" s="1"/>
  <c r="E3" i="32" a="1"/>
  <c r="E3" i="32" s="1"/>
  <c r="E1" i="13" a="1"/>
  <c r="E1" i="13" s="1"/>
  <c r="E1" i="56" a="1"/>
  <c r="E1" i="56" s="1"/>
  <c r="E3" i="68" a="1"/>
  <c r="E3" i="68" s="1"/>
  <c r="E3" i="66" a="1"/>
  <c r="E3" i="66" s="1"/>
  <c r="E1" i="37" a="1"/>
  <c r="E1" i="37" s="1"/>
  <c r="E1" i="51" a="1"/>
  <c r="E1" i="51" s="1"/>
  <c r="E1" i="50" a="1"/>
  <c r="E1" i="50" s="1"/>
  <c r="E2" i="50" s="1" a="1"/>
  <c r="E1" i="32" a="1"/>
  <c r="E1" i="32" s="1"/>
  <c r="E2" i="32" s="1" a="1"/>
  <c r="E3" i="33" a="1"/>
  <c r="E3" i="33" s="1"/>
  <c r="E3" i="24" a="1"/>
  <c r="E3" i="24" s="1"/>
  <c r="E1" i="23" a="1"/>
  <c r="E1" i="23" s="1"/>
  <c r="E1" i="79" a="1"/>
  <c r="E1" i="79" s="1"/>
  <c r="E1" i="54" a="1"/>
  <c r="E1" i="54" s="1"/>
  <c r="E3" i="50" a="1"/>
  <c r="E3" i="50" s="1"/>
  <c r="E1" i="33" a="1"/>
  <c r="E1" i="33" s="1"/>
  <c r="E1" i="29" a="1"/>
  <c r="E1" i="29" s="1"/>
  <c r="E3" i="13" a="1"/>
  <c r="E3" i="13" s="1"/>
  <c r="E1" i="39" a="1"/>
  <c r="E1" i="39" s="1"/>
  <c r="E3" i="67" a="1"/>
  <c r="E3" i="67" s="1"/>
  <c r="E45" i="17" a="1"/>
  <c r="E45" i="17" s="1"/>
  <c r="E42" i="17" a="1"/>
  <c r="E42" i="17" s="1"/>
  <c r="E1" i="73" a="1"/>
  <c r="E1" i="73" s="1"/>
  <c r="E1" i="90" a="1"/>
  <c r="E1" i="90" s="1"/>
  <c r="E1" i="89" a="1"/>
  <c r="E1" i="89" s="1"/>
  <c r="E1" i="48" a="1"/>
  <c r="E1" i="48" s="1"/>
  <c r="E1" i="74" a="1"/>
  <c r="E1" i="74" s="1"/>
  <c r="E47" i="74" s="1" a="1"/>
  <c r="E1" i="72" a="1"/>
  <c r="E1" i="72" s="1"/>
  <c r="E1" i="71" a="1"/>
  <c r="E1" i="71" s="1"/>
  <c r="E3" i="91" a="1"/>
  <c r="E3" i="91" s="1"/>
  <c r="E1" i="70" a="1"/>
  <c r="E1" i="70" s="1"/>
  <c r="E1" i="49" a="1"/>
  <c r="E1" i="49" s="1"/>
  <c r="E3" i="63" a="1"/>
  <c r="E3" i="63" s="1"/>
  <c r="E1" i="61" a="1"/>
  <c r="E1" i="61" s="1"/>
  <c r="E1" i="45" a="1"/>
  <c r="E1" i="45" s="1"/>
  <c r="E1" i="44" a="1"/>
  <c r="E1" i="44" s="1"/>
  <c r="E3" i="59" a="1"/>
  <c r="E3" i="59" s="1"/>
  <c r="E3" i="56" a="1"/>
  <c r="E3" i="56" s="1"/>
  <c r="E2" i="56" s="1" a="1"/>
  <c r="E3" i="39" a="1"/>
  <c r="E3" i="39" s="1"/>
  <c r="E2" i="39" s="1" a="1"/>
  <c r="E3" i="38" a="1"/>
  <c r="E3" i="38" s="1"/>
  <c r="E1" i="66" a="1"/>
  <c r="E1" i="66" s="1"/>
  <c r="E3" i="37" a="1"/>
  <c r="E3" i="37" s="1"/>
  <c r="E3" i="52" a="1"/>
  <c r="E3" i="52" s="1"/>
  <c r="E3" i="35" a="1"/>
  <c r="E3" i="35" s="1"/>
  <c r="E1" i="31" a="1"/>
  <c r="E1" i="31" s="1"/>
  <c r="E1" i="19" a="1"/>
  <c r="E1" i="19" s="1"/>
  <c r="E1" i="88" a="1"/>
  <c r="E1" i="88" s="1"/>
  <c r="E3" i="27" a="1"/>
  <c r="E3" i="27" s="1"/>
  <c r="E1" i="81" a="1"/>
  <c r="E1" i="81" s="1"/>
  <c r="E47" i="17" a="1"/>
  <c r="E47" i="17" s="1"/>
  <c r="E43" i="17" a="1"/>
  <c r="E43" i="17" s="1"/>
  <c r="E3" i="73" a="1"/>
  <c r="E3" i="73" s="1"/>
  <c r="E3" i="90" a="1"/>
  <c r="E3" i="90" s="1"/>
  <c r="E3" i="89" a="1"/>
  <c r="E3" i="89" s="1"/>
  <c r="E3" i="75" a="1"/>
  <c r="E3" i="75" s="1"/>
  <c r="E3" i="48" a="1"/>
  <c r="E3" i="48" s="1"/>
  <c r="E3" i="74" a="1"/>
  <c r="E3" i="74" s="1"/>
  <c r="E3" i="72" a="1"/>
  <c r="E3" i="72" s="1"/>
  <c r="E3" i="71" a="1"/>
  <c r="E3" i="71" s="1"/>
  <c r="E1" i="91" a="1"/>
  <c r="E1" i="91" s="1"/>
  <c r="E3" i="70" a="1"/>
  <c r="E3" i="70" s="1"/>
  <c r="E1" i="63" a="1"/>
  <c r="E1" i="63" s="1"/>
  <c r="E3" i="62" a="1"/>
  <c r="E3" i="62" s="1"/>
  <c r="E3" i="45" a="1"/>
  <c r="E3" i="45" s="1"/>
  <c r="E3" i="60" a="1"/>
  <c r="E3" i="60" s="1"/>
  <c r="E1" i="59" a="1"/>
  <c r="E1" i="59" s="1"/>
  <c r="E1" i="41" a="1"/>
  <c r="E1" i="41" s="1"/>
  <c r="E3" i="55" a="1"/>
  <c r="E3" i="55" s="1"/>
  <c r="E3" i="54" a="1"/>
  <c r="E3" i="54" s="1"/>
  <c r="E3" i="53" a="1"/>
  <c r="E3" i="53" s="1"/>
  <c r="E1" i="67" a="1"/>
  <c r="E1" i="67" s="1"/>
  <c r="E1" i="65" a="1"/>
  <c r="E1" i="65" s="1"/>
  <c r="E1" i="35" a="1"/>
  <c r="E1" i="35" s="1"/>
  <c r="E1" i="25" a="1"/>
  <c r="E1" i="25" s="1"/>
  <c r="E1" i="30" a="1"/>
  <c r="E1" i="30" s="1"/>
  <c r="E1" i="24" a="1"/>
  <c r="E1" i="24" s="1"/>
  <c r="E1" i="22" a="1"/>
  <c r="E1" i="22" s="1"/>
  <c r="E1" i="75" a="1"/>
  <c r="E1" i="75" s="1"/>
  <c r="E3" i="49" a="1"/>
  <c r="E3" i="49" s="1"/>
  <c r="E1" i="62" a="1"/>
  <c r="E1" i="62" s="1"/>
  <c r="E3" i="61" a="1"/>
  <c r="E3" i="61" s="1"/>
  <c r="E1" i="60" a="1"/>
  <c r="E1" i="60" s="1"/>
  <c r="E3" i="44" a="1"/>
  <c r="E3" i="44" s="1"/>
  <c r="E1" i="57" a="1"/>
  <c r="E1" i="57" s="1"/>
  <c r="E43" i="57" s="1" a="1"/>
  <c r="E3" i="41" a="1"/>
  <c r="E3" i="41" s="1"/>
  <c r="E1" i="55" a="1"/>
  <c r="E1" i="55" s="1"/>
  <c r="E1" i="53" a="1"/>
  <c r="E1" i="53" s="1"/>
  <c r="E1" i="68" a="1"/>
  <c r="E1" i="68" s="1"/>
  <c r="E3" i="51" a="1"/>
  <c r="E3" i="51" s="1"/>
  <c r="E3" i="31" a="1"/>
  <c r="E3" i="31" s="1"/>
  <c r="E3" i="30" a="1"/>
  <c r="E3" i="30" s="1"/>
  <c r="E3" i="23" a="1"/>
  <c r="E3" i="23" s="1"/>
  <c r="E1" i="27" a="1"/>
  <c r="E1" i="27" s="1"/>
  <c r="E1" i="80" a="1"/>
  <c r="E1" i="80" s="1"/>
  <c r="E23" i="80" s="1" a="1"/>
  <c r="E23" i="80" s="1"/>
  <c r="E5" i="80" a="1"/>
  <c r="Q6" i="9" a="1"/>
  <c r="V6" i="9" a="1"/>
  <c r="B4" i="69" a="1"/>
  <c r="B40" i="69" a="1"/>
  <c r="DN2" i="69" a="1"/>
  <c r="DN2" i="69" s="1"/>
  <c r="BZ2" i="69" a="1"/>
  <c r="BZ2" i="69" s="1"/>
  <c r="AD2" i="69" a="1"/>
  <c r="AD2" i="69" s="1"/>
  <c r="FB2" i="69" a="1"/>
  <c r="FB2" i="69" s="1"/>
  <c r="EH2" i="69" a="1"/>
  <c r="EH2" i="69" s="1"/>
  <c r="DF2" i="69" a="1"/>
  <c r="DF2" i="69" s="1"/>
  <c r="EP3" i="69" a="1"/>
  <c r="EP3" i="69" s="1"/>
  <c r="FB3" i="69" a="1"/>
  <c r="FB3" i="69" s="1"/>
  <c r="R2" i="69" a="1"/>
  <c r="R2" i="69" s="1"/>
  <c r="BJ2" i="69" a="1"/>
  <c r="BJ2" i="69" s="1"/>
  <c r="J3" i="96"/>
  <c r="ET3" i="96" s="1" a="1"/>
  <c r="ET3" i="96" s="1"/>
  <c r="EO3" i="96" a="1"/>
  <c r="EO3" i="96" s="1"/>
  <c r="EJ3" i="96" a="1"/>
  <c r="EJ3" i="96" s="1"/>
  <c r="EE3" i="96" a="1"/>
  <c r="EE3" i="96" s="1"/>
  <c r="CI2" i="96"/>
  <c r="CE2" i="96"/>
  <c r="CY2" i="96"/>
  <c r="CU2" i="96"/>
  <c r="CM2" i="96"/>
  <c r="DP2" i="96"/>
  <c r="DC2" i="96"/>
  <c r="DU2" i="96"/>
  <c r="DL2" i="96"/>
  <c r="CA2" i="96"/>
  <c r="BR2" i="96"/>
  <c r="CQ2" i="96"/>
  <c r="DZ2" i="96"/>
  <c r="EP2" i="69" a="1"/>
  <c r="EP2" i="69" s="1"/>
  <c r="BV2" i="69" a="1"/>
  <c r="BV2" i="69" s="1"/>
  <c r="BN2" i="69" a="1"/>
  <c r="BN2" i="69" s="1"/>
  <c r="BF2" i="69" a="1"/>
  <c r="BF2" i="69" s="1"/>
  <c r="AX2" i="69" a="1"/>
  <c r="AX2" i="69" s="1"/>
  <c r="AT2" i="69" a="1"/>
  <c r="AT2" i="69" s="1"/>
  <c r="AH2" i="69" a="1"/>
  <c r="AH2" i="69" s="1"/>
  <c r="V2" i="69" a="1"/>
  <c r="V2" i="69" s="1"/>
  <c r="E42" i="79" a="1"/>
  <c r="R20" i="85" a="1"/>
  <c r="R20" i="85" s="1"/>
  <c r="N20" i="85" a="1"/>
  <c r="J20" i="85" a="1"/>
  <c r="J20" i="85" s="1"/>
  <c r="AP2" i="69"/>
  <c r="F14" i="18"/>
  <c r="F27" i="18"/>
  <c r="H14" i="18"/>
  <c r="H27" i="18"/>
  <c r="BA14" i="18"/>
  <c r="BA27" i="18"/>
  <c r="G14" i="18"/>
  <c r="G27" i="18"/>
  <c r="E14" i="18"/>
  <c r="E27" i="18"/>
  <c r="I14" i="18"/>
  <c r="I27" i="18"/>
  <c r="AU14" i="18"/>
  <c r="AU27" i="18"/>
  <c r="AT14" i="18"/>
  <c r="AT27" i="18"/>
  <c r="AX14" i="18"/>
  <c r="AX27" i="18"/>
  <c r="AW14" i="18"/>
  <c r="AW27" i="18"/>
  <c r="AV14" i="18"/>
  <c r="AV27" i="18"/>
  <c r="AR14" i="18"/>
  <c r="AR27" i="18"/>
  <c r="X27" i="18"/>
  <c r="W27" i="18"/>
  <c r="V27" i="18"/>
  <c r="U27" i="18"/>
  <c r="T27" i="18"/>
  <c r="S27" i="18"/>
  <c r="X14" i="18"/>
  <c r="W14" i="18"/>
  <c r="V14" i="18"/>
  <c r="U14" i="18"/>
  <c r="T14" i="18"/>
  <c r="S14" i="18"/>
  <c r="R27" i="18"/>
  <c r="R14" i="18"/>
  <c r="Q14" i="18"/>
  <c r="Q27" i="18"/>
  <c r="P14" i="18"/>
  <c r="P27" i="18"/>
  <c r="O14" i="18"/>
  <c r="O27" i="18"/>
  <c r="N14" i="18"/>
  <c r="N27" i="18"/>
  <c r="M14" i="18"/>
  <c r="M27" i="18"/>
  <c r="K27" i="18"/>
  <c r="J14" i="18"/>
  <c r="J27" i="18"/>
  <c r="D27" i="18"/>
  <c r="D14" i="18"/>
  <c r="BD27" i="18"/>
  <c r="BD14" i="18"/>
  <c r="AZ14" i="18"/>
  <c r="AZ27" i="18"/>
  <c r="AY27" i="18"/>
  <c r="AY14" i="18"/>
  <c r="AQ14" i="18"/>
  <c r="AQ27" i="18"/>
  <c r="AP14" i="18"/>
  <c r="AP27" i="18"/>
  <c r="AO14" i="18"/>
  <c r="AO27" i="18"/>
  <c r="AN14" i="18"/>
  <c r="AN27" i="18"/>
  <c r="AM14" i="18"/>
  <c r="AM27" i="18"/>
  <c r="AL14" i="18"/>
  <c r="AL27" i="18"/>
  <c r="AK14" i="18"/>
  <c r="AK27" i="18"/>
  <c r="AJ14" i="18"/>
  <c r="AJ27" i="18"/>
  <c r="AI14" i="18"/>
  <c r="AI27" i="18"/>
  <c r="AH14" i="18"/>
  <c r="AH27" i="18"/>
  <c r="AF14" i="18"/>
  <c r="AF27" i="18"/>
  <c r="AE14" i="18"/>
  <c r="AE27" i="18"/>
  <c r="AD14" i="18"/>
  <c r="AD27" i="18"/>
  <c r="AC14" i="18"/>
  <c r="AC27" i="18"/>
  <c r="AB14" i="18"/>
  <c r="AB27" i="18"/>
  <c r="AA14" i="18"/>
  <c r="AA27" i="18"/>
  <c r="Z14" i="18"/>
  <c r="Z27" i="18"/>
  <c r="Y14" i="18"/>
  <c r="Y27" i="18"/>
  <c r="D3" i="18" a="1"/>
  <c r="D31" i="5" a="1"/>
  <c r="A1" i="33" l="1" a="1"/>
  <c r="A1" i="33" s="1"/>
  <c r="A1" i="51" a="1"/>
  <c r="A1" i="51" s="1"/>
  <c r="A1" i="30" a="1"/>
  <c r="A1" i="30" s="1"/>
  <c r="A1" i="31" a="1"/>
  <c r="A1" i="31" s="1"/>
  <c r="A1" i="50" a="1"/>
  <c r="A1" i="50" s="1"/>
  <c r="A1" i="52" a="1"/>
  <c r="A1" i="52" s="1"/>
  <c r="A1" i="19" a="1"/>
  <c r="A1" i="19" s="1"/>
  <c r="A1" i="22" a="1"/>
  <c r="A1" i="22" s="1"/>
  <c r="A1" i="13" a="1"/>
  <c r="A1" i="13" s="1"/>
  <c r="A1" i="23" a="1"/>
  <c r="A1" i="23" s="1"/>
  <c r="A1" i="55" a="1"/>
  <c r="A1" i="55" s="1"/>
  <c r="A1" i="59" a="1"/>
  <c r="A1" i="59" s="1"/>
  <c r="A1" i="61" a="1"/>
  <c r="A1" i="61" s="1"/>
  <c r="A1" i="70" a="1"/>
  <c r="A1" i="70" s="1"/>
  <c r="A1" i="72" a="1"/>
  <c r="A1" i="72" s="1"/>
  <c r="A1" i="67" a="1"/>
  <c r="A1" i="67" s="1"/>
  <c r="A1" i="54" a="1"/>
  <c r="A1" i="54" s="1"/>
  <c r="A1" i="56" a="1"/>
  <c r="A1" i="56" s="1"/>
  <c r="A1" i="62" a="1"/>
  <c r="A1" i="62" s="1"/>
  <c r="A1" i="75" a="1"/>
  <c r="A1" i="75" s="1"/>
  <c r="A1" i="53" a="1"/>
  <c r="A1" i="53" s="1"/>
  <c r="A1" i="74" a="1"/>
  <c r="A1" i="74" s="1"/>
  <c r="A1" i="73" a="1"/>
  <c r="A1" i="73" s="1"/>
  <c r="A1" i="65" a="1"/>
  <c r="A1" i="65" s="1"/>
  <c r="A1" i="57" a="1"/>
  <c r="A1" i="57" s="1"/>
  <c r="A1" i="60" a="1"/>
  <c r="A1" i="60" s="1"/>
  <c r="A1" i="63" a="1"/>
  <c r="A1" i="63" s="1"/>
  <c r="A1" i="71" a="1"/>
  <c r="A1" i="71" s="1"/>
  <c r="A1" i="48" a="1"/>
  <c r="A1" i="48" s="1"/>
  <c r="E47" i="38" a="1"/>
  <c r="E43" i="38" a="1"/>
  <c r="E42" i="38" a="1"/>
  <c r="E45" i="38" a="1"/>
  <c r="E23" i="38" a="1"/>
  <c r="E47" i="51" a="1"/>
  <c r="E47" i="51" s="1"/>
  <c r="E45" i="51" a="1"/>
  <c r="E45" i="51" s="1"/>
  <c r="E42" i="56" a="1"/>
  <c r="E45" i="56" a="1"/>
  <c r="E43" i="56" a="1"/>
  <c r="E47" i="56" a="1"/>
  <c r="E23" i="56" a="1"/>
  <c r="E2" i="33" a="1"/>
  <c r="E2" i="13" a="1"/>
  <c r="E2" i="13" s="1"/>
  <c r="E7" i="13" s="1" a="1"/>
  <c r="E45" i="66" a="1"/>
  <c r="E43" i="66" a="1"/>
  <c r="E47" i="66" a="1"/>
  <c r="E2" i="63" a="1"/>
  <c r="E47" i="37" a="1"/>
  <c r="E47" i="37" s="1"/>
  <c r="E43" i="37" a="1"/>
  <c r="E43" i="37" s="1"/>
  <c r="E45" i="37" a="1"/>
  <c r="E45" i="37" s="1"/>
  <c r="E43" i="29" a="1"/>
  <c r="E43" i="29" s="1"/>
  <c r="E42" i="29" a="1"/>
  <c r="E42" i="29" s="1"/>
  <c r="E45" i="29" a="1"/>
  <c r="E45" i="29" s="1"/>
  <c r="E45" i="39" a="1"/>
  <c r="E45" i="39" s="1"/>
  <c r="E23" i="39" a="1"/>
  <c r="E23" i="39" s="1"/>
  <c r="E41" i="39" s="1" a="1"/>
  <c r="E47" i="39" a="1"/>
  <c r="E47" i="39" s="1"/>
  <c r="E42" i="39" a="1"/>
  <c r="E42" i="39" s="1"/>
  <c r="E43" i="39" a="1"/>
  <c r="E43" i="39" s="1"/>
  <c r="E2" i="66" a="1"/>
  <c r="E2" i="66" s="1"/>
  <c r="E7" i="66" s="1" a="1"/>
  <c r="E42" i="66" a="1"/>
  <c r="E42" i="66" s="1"/>
  <c r="E23" i="66" a="1"/>
  <c r="E23" i="66" s="1"/>
  <c r="E41" i="66" s="1" a="1"/>
  <c r="E45" i="19" a="1"/>
  <c r="E45" i="19" s="1"/>
  <c r="E42" i="19" a="1"/>
  <c r="E42" i="19" s="1"/>
  <c r="E47" i="19" a="1"/>
  <c r="E47" i="19" s="1"/>
  <c r="E23" i="19" a="1"/>
  <c r="E23" i="19" s="1"/>
  <c r="E43" i="19" a="1"/>
  <c r="E43" i="19" s="1"/>
  <c r="E43" i="62" a="1"/>
  <c r="E43" i="62" s="1"/>
  <c r="E47" i="62" a="1"/>
  <c r="E47" i="62" s="1"/>
  <c r="E45" i="62" a="1"/>
  <c r="E45" i="62" s="1"/>
  <c r="E23" i="62" a="1"/>
  <c r="E23" i="62" s="1"/>
  <c r="E41" i="62" s="1" a="1"/>
  <c r="E42" i="62" a="1"/>
  <c r="E42" i="62" s="1"/>
  <c r="E23" i="68" a="1"/>
  <c r="E23" i="68" s="1"/>
  <c r="E45" i="68" a="1"/>
  <c r="E45" i="68" s="1"/>
  <c r="E42" i="68" a="1"/>
  <c r="E42" i="68" s="1"/>
  <c r="E43" i="68" a="1"/>
  <c r="E43" i="68" s="1"/>
  <c r="E47" i="68" a="1"/>
  <c r="E47" i="68" s="1"/>
  <c r="E2" i="38" a="1"/>
  <c r="E2" i="38" s="1"/>
  <c r="E7" i="38" s="1" a="1"/>
  <c r="E2" i="49" a="1"/>
  <c r="E2" i="49" s="1"/>
  <c r="E7" i="49" s="1" a="1"/>
  <c r="E2" i="44" a="1"/>
  <c r="E2" i="44" s="1"/>
  <c r="E7" i="44" s="1" a="1"/>
  <c r="E23" i="13" a="1"/>
  <c r="E23" i="13" s="1"/>
  <c r="E41" i="13" s="1" a="1"/>
  <c r="E45" i="13" a="1"/>
  <c r="E45" i="13" s="1"/>
  <c r="E47" i="13" a="1"/>
  <c r="E47" i="13" s="1"/>
  <c r="E42" i="13" a="1"/>
  <c r="E42" i="13" s="1"/>
  <c r="E43" i="13" a="1"/>
  <c r="E43" i="13" s="1"/>
  <c r="E43" i="23" a="1"/>
  <c r="E43" i="23" s="1"/>
  <c r="E23" i="23" a="1"/>
  <c r="E23" i="23" s="1"/>
  <c r="E41" i="23" s="1" a="1"/>
  <c r="E42" i="23" a="1"/>
  <c r="E42" i="23" s="1"/>
  <c r="E45" i="23" a="1"/>
  <c r="E45" i="23" s="1"/>
  <c r="E47" i="23" a="1"/>
  <c r="E47" i="23" s="1"/>
  <c r="E2" i="29" a="1"/>
  <c r="E2" i="29" s="1"/>
  <c r="E7" i="29" s="1" a="1"/>
  <c r="E23" i="29" a="1"/>
  <c r="E23" i="29" s="1"/>
  <c r="E47" i="29" a="1"/>
  <c r="E47" i="29" s="1"/>
  <c r="E42" i="49" a="1"/>
  <c r="E42" i="49" s="1"/>
  <c r="E45" i="49" a="1"/>
  <c r="E45" i="49" s="1"/>
  <c r="E47" i="49" a="1"/>
  <c r="E47" i="49" s="1"/>
  <c r="E23" i="49" a="1"/>
  <c r="E23" i="49" s="1"/>
  <c r="E41" i="49" s="1" a="1"/>
  <c r="E43" i="49" a="1"/>
  <c r="E43" i="49" s="1"/>
  <c r="E45" i="61" a="1"/>
  <c r="E45" i="61" s="1"/>
  <c r="E47" i="61" a="1"/>
  <c r="E47" i="61" s="1"/>
  <c r="E42" i="61" a="1"/>
  <c r="E42" i="61" s="1"/>
  <c r="E23" i="61" a="1"/>
  <c r="E23" i="61" s="1"/>
  <c r="E41" i="61" s="1" a="1"/>
  <c r="E43" i="61" a="1"/>
  <c r="E43" i="61" s="1"/>
  <c r="E47" i="45" a="1"/>
  <c r="E47" i="45" s="1"/>
  <c r="E23" i="45" a="1"/>
  <c r="E23" i="45" s="1"/>
  <c r="E41" i="45" s="1" a="1"/>
  <c r="E43" i="45" a="1"/>
  <c r="E43" i="45" s="1"/>
  <c r="E42" i="45" a="1"/>
  <c r="E42" i="45" s="1"/>
  <c r="E45" i="45" a="1"/>
  <c r="E45" i="45" s="1"/>
  <c r="E23" i="88" a="1"/>
  <c r="E23" i="88" s="1"/>
  <c r="E41" i="88" s="1" a="1"/>
  <c r="E42" i="88" a="1"/>
  <c r="E42" i="88" s="1"/>
  <c r="E47" i="88" a="1"/>
  <c r="E47" i="88" s="1"/>
  <c r="E45" i="88" a="1"/>
  <c r="E45" i="88" s="1"/>
  <c r="E43" i="88" a="1"/>
  <c r="E43" i="88" s="1"/>
  <c r="E2" i="57" a="1"/>
  <c r="E2" i="57" s="1"/>
  <c r="E7" i="57" s="1" a="1"/>
  <c r="E45" i="57" a="1"/>
  <c r="E45" i="57" s="1"/>
  <c r="E42" i="57" a="1"/>
  <c r="E42" i="57" s="1"/>
  <c r="E23" i="57" a="1"/>
  <c r="E23" i="57" s="1"/>
  <c r="E41" i="57" s="1" a="1"/>
  <c r="E47" i="57" a="1"/>
  <c r="E47" i="57" s="1"/>
  <c r="E43" i="27" a="1"/>
  <c r="E43" i="27" s="1"/>
  <c r="E45" i="27" a="1"/>
  <c r="E45" i="27" s="1"/>
  <c r="E2" i="23" a="1"/>
  <c r="E2" i="23" s="1"/>
  <c r="E7" i="23" s="1" a="1"/>
  <c r="E2" i="68" a="1"/>
  <c r="E2" i="68" s="1"/>
  <c r="E7" i="68" s="1" a="1"/>
  <c r="E2" i="51" a="1"/>
  <c r="E2" i="51" s="1"/>
  <c r="E7" i="51" s="1" a="1"/>
  <c r="E2" i="61" a="1"/>
  <c r="E2" i="61" s="1"/>
  <c r="E7" i="61" s="1" a="1"/>
  <c r="E2" i="62" a="1"/>
  <c r="E2" i="62" s="1"/>
  <c r="E7" i="62" s="1" a="1"/>
  <c r="E2" i="53" a="1"/>
  <c r="E2" i="53" s="1"/>
  <c r="E7" i="53" s="1" a="1"/>
  <c r="E2" i="72" a="1"/>
  <c r="E2" i="72" s="1"/>
  <c r="E7" i="72" s="1" a="1"/>
  <c r="E42" i="54" a="1"/>
  <c r="E42" i="54" s="1"/>
  <c r="E45" i="54" a="1"/>
  <c r="E45" i="54" s="1"/>
  <c r="E23" i="54" a="1"/>
  <c r="E23" i="54" s="1"/>
  <c r="E41" i="54" s="1" a="1"/>
  <c r="E43" i="54" a="1"/>
  <c r="E43" i="54" s="1"/>
  <c r="E47" i="54" a="1"/>
  <c r="E47" i="54" s="1"/>
  <c r="E23" i="90" a="1"/>
  <c r="E23" i="90" s="1"/>
  <c r="E41" i="90" s="1" a="1"/>
  <c r="E45" i="90" a="1"/>
  <c r="E45" i="90" s="1"/>
  <c r="E43" i="90" a="1"/>
  <c r="E43" i="90" s="1"/>
  <c r="E42" i="90" a="1"/>
  <c r="E42" i="90" s="1"/>
  <c r="E47" i="90" a="1"/>
  <c r="E47" i="90" s="1"/>
  <c r="E45" i="89" a="1"/>
  <c r="E45" i="89" s="1"/>
  <c r="E47" i="89" a="1"/>
  <c r="E47" i="89" s="1"/>
  <c r="E47" i="72" a="1"/>
  <c r="E47" i="72" s="1"/>
  <c r="E43" i="72" a="1"/>
  <c r="E43" i="72" s="1"/>
  <c r="E42" i="72" a="1"/>
  <c r="E42" i="72" s="1"/>
  <c r="E45" i="72" a="1"/>
  <c r="E45" i="72" s="1"/>
  <c r="E23" i="72" a="1"/>
  <c r="E23" i="72" s="1"/>
  <c r="E41" i="72" s="1" a="1"/>
  <c r="E45" i="71" a="1"/>
  <c r="E45" i="71" s="1"/>
  <c r="E47" i="71" a="1"/>
  <c r="E47" i="71" s="1"/>
  <c r="E42" i="71" a="1"/>
  <c r="E42" i="71" s="1"/>
  <c r="E43" i="71" a="1"/>
  <c r="E43" i="71" s="1"/>
  <c r="E23" i="71" a="1"/>
  <c r="E23" i="71" s="1"/>
  <c r="E41" i="71" s="1" a="1"/>
  <c r="E43" i="67" a="1"/>
  <c r="E43" i="67" s="1"/>
  <c r="E42" i="67" a="1"/>
  <c r="E42" i="67" s="1"/>
  <c r="E45" i="67" a="1"/>
  <c r="E45" i="67" s="1"/>
  <c r="E47" i="67" a="1"/>
  <c r="E47" i="67" s="1"/>
  <c r="E23" i="67" a="1"/>
  <c r="E23" i="67" s="1"/>
  <c r="E41" i="67" s="1" a="1"/>
  <c r="E47" i="53" a="1"/>
  <c r="E47" i="53" s="1"/>
  <c r="E23" i="53" a="1"/>
  <c r="E23" i="53" s="1"/>
  <c r="E41" i="53" s="1" a="1"/>
  <c r="E43" i="53" a="1"/>
  <c r="E43" i="53" s="1"/>
  <c r="E42" i="53" a="1"/>
  <c r="E42" i="53" s="1"/>
  <c r="E45" i="53" a="1"/>
  <c r="E45" i="53" s="1"/>
  <c r="E42" i="27" a="1"/>
  <c r="E42" i="27" s="1"/>
  <c r="E23" i="27" a="1"/>
  <c r="E23" i="27" s="1"/>
  <c r="E41" i="27" s="1" a="1"/>
  <c r="E47" i="27" a="1"/>
  <c r="E47" i="27" s="1"/>
  <c r="E2" i="37" a="1"/>
  <c r="E2" i="37" s="1"/>
  <c r="E7" i="37" s="1" a="1"/>
  <c r="E2" i="54" a="1"/>
  <c r="E2" i="54" s="1"/>
  <c r="E7" i="54" s="1" a="1"/>
  <c r="E2" i="52" a="1"/>
  <c r="E2" i="52" s="1"/>
  <c r="E7" i="52" s="1" a="1"/>
  <c r="E2" i="27" a="1"/>
  <c r="E2" i="27" s="1"/>
  <c r="E7" i="27" s="1" a="1"/>
  <c r="E2" i="90" a="1"/>
  <c r="E2" i="90" s="1"/>
  <c r="E7" i="90" s="1" a="1"/>
  <c r="E2" i="89" a="1"/>
  <c r="E2" i="89" s="1"/>
  <c r="E7" i="89" s="1" a="1"/>
  <c r="E2" i="48" a="1"/>
  <c r="E2" i="48" s="1"/>
  <c r="E7" i="48" s="1" a="1"/>
  <c r="E2" i="74" a="1"/>
  <c r="E2" i="74" s="1"/>
  <c r="E7" i="74" s="1" a="1"/>
  <c r="E2" i="71" a="1"/>
  <c r="E2" i="71" s="1"/>
  <c r="E7" i="71" s="1" a="1"/>
  <c r="E2" i="70" a="1"/>
  <c r="E2" i="70" s="1"/>
  <c r="E7" i="70" s="1" a="1"/>
  <c r="E7" i="70" s="1"/>
  <c r="E44" i="70" s="1" a="1"/>
  <c r="E2" i="45" a="1"/>
  <c r="E2" i="45" s="1"/>
  <c r="E7" i="45" s="1" a="1"/>
  <c r="E7" i="45" s="1"/>
  <c r="E2" i="35" a="1"/>
  <c r="E2" i="35" s="1"/>
  <c r="E7" i="35" s="1" a="1"/>
  <c r="E43" i="52" a="1"/>
  <c r="E43" i="52" s="1"/>
  <c r="E23" i="52" a="1"/>
  <c r="E23" i="52" s="1"/>
  <c r="E41" i="52" s="1" a="1"/>
  <c r="E42" i="52" a="1"/>
  <c r="E42" i="52" s="1"/>
  <c r="E47" i="52" a="1"/>
  <c r="E47" i="52" s="1"/>
  <c r="E23" i="77" a="1"/>
  <c r="E23" i="77" s="1"/>
  <c r="E5" i="77" a="1"/>
  <c r="E5" i="77" s="1"/>
  <c r="E23" i="37" a="1"/>
  <c r="E23" i="37" s="1"/>
  <c r="E42" i="37" a="1"/>
  <c r="E42" i="37" s="1"/>
  <c r="E23" i="73" a="1"/>
  <c r="E23" i="73" s="1"/>
  <c r="E42" i="73" a="1"/>
  <c r="E42" i="73" s="1"/>
  <c r="E47" i="73" a="1"/>
  <c r="E47" i="73" s="1"/>
  <c r="E43" i="73" a="1"/>
  <c r="E43" i="73" s="1"/>
  <c r="E45" i="73" a="1"/>
  <c r="E45" i="73" s="1"/>
  <c r="E2" i="73" a="1"/>
  <c r="E2" i="73" s="1"/>
  <c r="E7" i="73" s="1" a="1"/>
  <c r="E42" i="89" a="1"/>
  <c r="E42" i="89" s="1"/>
  <c r="E43" i="89" a="1"/>
  <c r="E43" i="89" s="1"/>
  <c r="E23" i="89" a="1"/>
  <c r="E23" i="89" s="1"/>
  <c r="E41" i="89" s="1" a="1"/>
  <c r="E47" i="44" a="1"/>
  <c r="E47" i="44" s="1"/>
  <c r="E45" i="44" a="1"/>
  <c r="E45" i="44" s="1"/>
  <c r="E42" i="44" a="1"/>
  <c r="E42" i="44" s="1"/>
  <c r="E43" i="44" a="1"/>
  <c r="E43" i="44" s="1"/>
  <c r="E23" i="44" a="1"/>
  <c r="E23" i="44" s="1"/>
  <c r="E41" i="44" s="1" a="1"/>
  <c r="E2" i="31" a="1"/>
  <c r="E2" i="31" s="1"/>
  <c r="E7" i="31" s="1" a="1"/>
  <c r="E43" i="31" a="1"/>
  <c r="E43" i="31" s="1"/>
  <c r="E47" i="31" a="1"/>
  <c r="E47" i="31" s="1"/>
  <c r="E42" i="31" a="1"/>
  <c r="E42" i="31" s="1"/>
  <c r="E23" i="31" a="1"/>
  <c r="E23" i="31" s="1"/>
  <c r="E45" i="31" a="1"/>
  <c r="E45" i="31" s="1"/>
  <c r="E2" i="65" a="1"/>
  <c r="E2" i="65" s="1"/>
  <c r="E7" i="65" s="1" a="1"/>
  <c r="E43" i="65" a="1"/>
  <c r="E43" i="65" s="1"/>
  <c r="E23" i="65" a="1"/>
  <c r="E23" i="65" s="1"/>
  <c r="E41" i="65" s="1" a="1"/>
  <c r="E42" i="65" a="1"/>
  <c r="E42" i="65" s="1"/>
  <c r="E45" i="65" a="1"/>
  <c r="E45" i="65" s="1"/>
  <c r="E47" i="65" a="1"/>
  <c r="E47" i="65" s="1"/>
  <c r="E47" i="35" a="1"/>
  <c r="E47" i="35" s="1"/>
  <c r="E43" i="35" a="1"/>
  <c r="E43" i="35" s="1"/>
  <c r="E23" i="35" a="1"/>
  <c r="E23" i="35" s="1"/>
  <c r="E41" i="35" s="1" a="1"/>
  <c r="E42" i="35" a="1"/>
  <c r="E42" i="35" s="1"/>
  <c r="E45" i="35" a="1"/>
  <c r="E45" i="35" s="1"/>
  <c r="E42" i="25" a="1"/>
  <c r="E42" i="25" s="1"/>
  <c r="E47" i="25" a="1"/>
  <c r="E47" i="25" s="1"/>
  <c r="E43" i="25" a="1"/>
  <c r="E43" i="25" s="1"/>
  <c r="E45" i="25" a="1"/>
  <c r="E45" i="25" s="1"/>
  <c r="E23" i="25" a="1"/>
  <c r="E23" i="25" s="1"/>
  <c r="E41" i="25" s="1" a="1"/>
  <c r="E2" i="30" a="1"/>
  <c r="E2" i="30" s="1"/>
  <c r="E7" i="30" s="1" a="1"/>
  <c r="E23" i="30" a="1"/>
  <c r="E23" i="30" s="1"/>
  <c r="E41" i="30" s="1" a="1"/>
  <c r="E47" i="30" a="1"/>
  <c r="E47" i="30" s="1"/>
  <c r="E42" i="30" a="1"/>
  <c r="E42" i="30" s="1"/>
  <c r="E43" i="30" a="1"/>
  <c r="E43" i="30" s="1"/>
  <c r="E45" i="30" a="1"/>
  <c r="E45" i="30" s="1"/>
  <c r="E2" i="24" a="1"/>
  <c r="E2" i="24" s="1"/>
  <c r="E7" i="24" s="1" a="1"/>
  <c r="E47" i="24" a="1"/>
  <c r="E47" i="24" s="1"/>
  <c r="E23" i="24" a="1"/>
  <c r="E23" i="24" s="1"/>
  <c r="E41" i="24" s="1" a="1"/>
  <c r="E42" i="24" a="1"/>
  <c r="E42" i="24" s="1"/>
  <c r="E43" i="24" a="1"/>
  <c r="E43" i="24" s="1"/>
  <c r="E45" i="24" a="1"/>
  <c r="E45" i="24" s="1"/>
  <c r="E45" i="55" a="1"/>
  <c r="E45" i="55" s="1"/>
  <c r="E23" i="55" a="1"/>
  <c r="E23" i="55" s="1"/>
  <c r="E41" i="55" s="1" a="1"/>
  <c r="E43" i="55" a="1"/>
  <c r="E43" i="55" s="1"/>
  <c r="E47" i="55" a="1"/>
  <c r="E47" i="55" s="1"/>
  <c r="E42" i="55" a="1"/>
  <c r="E42" i="55" s="1"/>
  <c r="E2" i="55" a="1"/>
  <c r="E2" i="55" s="1"/>
  <c r="E7" i="55" s="1" a="1"/>
  <c r="E63" i="38" a="1"/>
  <c r="E63" i="38" s="1"/>
  <c r="E64" i="38" a="1"/>
  <c r="E64" i="38" s="1"/>
  <c r="E26" i="38" a="1"/>
  <c r="E26" i="38" s="1"/>
  <c r="E27" i="38" a="1"/>
  <c r="E27" i="38" s="1"/>
  <c r="E28" i="38" a="1"/>
  <c r="E28" i="38" s="1"/>
  <c r="E29" i="38" a="1"/>
  <c r="E29" i="38" s="1"/>
  <c r="E30" i="38" a="1"/>
  <c r="E30" i="38" s="1"/>
  <c r="E31" i="38" a="1"/>
  <c r="E31" i="38" s="1"/>
  <c r="E32" i="38" a="1"/>
  <c r="E32" i="38" s="1"/>
  <c r="E34" i="38" a="1"/>
  <c r="E34" i="38" s="1"/>
  <c r="E65" i="38" a="1"/>
  <c r="E65" i="38" s="1"/>
  <c r="E27" i="52" a="1"/>
  <c r="E27" i="52" s="1"/>
  <c r="E32" i="52" a="1"/>
  <c r="E32" i="52" s="1"/>
  <c r="E63" i="52" a="1"/>
  <c r="E63" i="52" s="1"/>
  <c r="E26" i="52" a="1"/>
  <c r="E26" i="52" s="1"/>
  <c r="E31" i="52" a="1"/>
  <c r="E31" i="52" s="1"/>
  <c r="E28" i="52" a="1"/>
  <c r="E28" i="52" s="1"/>
  <c r="E34" i="52" a="1"/>
  <c r="E34" i="52" s="1"/>
  <c r="E29" i="52" a="1"/>
  <c r="E29" i="52" s="1"/>
  <c r="E30" i="52" a="1"/>
  <c r="E30" i="52" s="1"/>
  <c r="E64" i="52" a="1"/>
  <c r="E64" i="52" s="1"/>
  <c r="E65" i="52" a="1"/>
  <c r="E65" i="52" s="1"/>
  <c r="E27" i="77" a="1"/>
  <c r="E27" i="77" s="1"/>
  <c r="E28" i="77" a="1"/>
  <c r="E28" i="77" s="1"/>
  <c r="E30" i="77" a="1"/>
  <c r="E30" i="77" s="1"/>
  <c r="E29" i="77" a="1"/>
  <c r="E29" i="77" s="1"/>
  <c r="E26" i="77" a="1"/>
  <c r="E26" i="77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4" i="13" a="1"/>
  <c r="E34" i="13" s="1"/>
  <c r="E63" i="13" a="1"/>
  <c r="E63" i="13" s="1"/>
  <c r="E64" i="13" a="1"/>
  <c r="E64" i="13" s="1"/>
  <c r="E65" i="13" a="1"/>
  <c r="E65" i="13" s="1"/>
  <c r="E64" i="56" a="1"/>
  <c r="E64" i="56" s="1"/>
  <c r="E63" i="56" a="1"/>
  <c r="E63" i="56" s="1"/>
  <c r="E26" i="56" a="1"/>
  <c r="E26" i="56" s="1"/>
  <c r="E27" i="56" a="1"/>
  <c r="E27" i="56" s="1"/>
  <c r="E28" i="56" a="1"/>
  <c r="E28" i="56" s="1"/>
  <c r="E29" i="56" a="1"/>
  <c r="E29" i="56" s="1"/>
  <c r="E30" i="56" a="1"/>
  <c r="E30" i="56" s="1"/>
  <c r="E31" i="56" a="1"/>
  <c r="E31" i="56" s="1"/>
  <c r="E32" i="56" a="1"/>
  <c r="E32" i="56" s="1"/>
  <c r="E34" i="56" a="1"/>
  <c r="E34" i="56" s="1"/>
  <c r="E65" i="56" a="1"/>
  <c r="E65" i="56" s="1"/>
  <c r="E28" i="37" a="1"/>
  <c r="E28" i="37" s="1"/>
  <c r="E63" i="37" a="1"/>
  <c r="E63" i="37" s="1"/>
  <c r="E30" i="37" a="1"/>
  <c r="E30" i="37" s="1"/>
  <c r="E27" i="37" a="1"/>
  <c r="E27" i="37" s="1"/>
  <c r="E32" i="37" a="1"/>
  <c r="E32" i="37" s="1"/>
  <c r="E65" i="37" a="1"/>
  <c r="E65" i="37" s="1"/>
  <c r="E26" i="37" a="1"/>
  <c r="E26" i="37" s="1"/>
  <c r="E31" i="37" a="1"/>
  <c r="E31" i="37" s="1"/>
  <c r="E29" i="37" a="1"/>
  <c r="E29" i="37" s="1"/>
  <c r="E34" i="37" a="1"/>
  <c r="E34" i="37" s="1"/>
  <c r="E64" i="37" a="1"/>
  <c r="E64" i="37" s="1"/>
  <c r="E29" i="51" a="1"/>
  <c r="E29" i="51" s="1"/>
  <c r="E34" i="51" a="1"/>
  <c r="E34" i="51" s="1"/>
  <c r="E64" i="51" a="1"/>
  <c r="E64" i="51" s="1"/>
  <c r="E28" i="51" a="1"/>
  <c r="E28" i="51" s="1"/>
  <c r="E32" i="51" a="1"/>
  <c r="E32" i="51" s="1"/>
  <c r="E30" i="51" a="1"/>
  <c r="E30" i="51" s="1"/>
  <c r="E63" i="51" a="1"/>
  <c r="E63" i="51" s="1"/>
  <c r="E26" i="51" a="1"/>
  <c r="E26" i="51" s="1"/>
  <c r="E27" i="51" a="1"/>
  <c r="E27" i="51" s="1"/>
  <c r="E31" i="51" a="1"/>
  <c r="E31" i="51" s="1"/>
  <c r="E65" i="51" a="1"/>
  <c r="E65" i="51" s="1"/>
  <c r="E29" i="50" a="1"/>
  <c r="E29" i="50" s="1"/>
  <c r="E26" i="50" a="1"/>
  <c r="E26" i="50" s="1"/>
  <c r="E31" i="50" a="1"/>
  <c r="E31" i="50" s="1"/>
  <c r="E28" i="50" a="1"/>
  <c r="E28" i="50" s="1"/>
  <c r="E34" i="50" a="1"/>
  <c r="E34" i="50" s="1"/>
  <c r="E27" i="50" a="1"/>
  <c r="E27" i="50" s="1"/>
  <c r="E32" i="50" a="1"/>
  <c r="E32" i="50" s="1"/>
  <c r="E30" i="50" a="1"/>
  <c r="E30" i="50" s="1"/>
  <c r="E63" i="50" a="1"/>
  <c r="E63" i="50" s="1"/>
  <c r="E64" i="50" a="1"/>
  <c r="E64" i="50" s="1"/>
  <c r="E65" i="50" a="1"/>
  <c r="E65" i="50" s="1"/>
  <c r="E26" i="32" a="1"/>
  <c r="E26" i="32" s="1"/>
  <c r="E27" i="32" a="1"/>
  <c r="E27" i="32" s="1"/>
  <c r="E28" i="32" a="1"/>
  <c r="E28" i="32" s="1"/>
  <c r="E29" i="32" a="1"/>
  <c r="E29" i="32" s="1"/>
  <c r="E30" i="32" a="1"/>
  <c r="E30" i="32" s="1"/>
  <c r="E31" i="32" a="1"/>
  <c r="E31" i="32" s="1"/>
  <c r="E32" i="32" a="1"/>
  <c r="E32" i="32" s="1"/>
  <c r="E34" i="32" a="1"/>
  <c r="E34" i="32" s="1"/>
  <c r="E63" i="32" a="1"/>
  <c r="E63" i="32" s="1"/>
  <c r="E64" i="32" a="1"/>
  <c r="E64" i="32" s="1"/>
  <c r="E65" i="32" a="1"/>
  <c r="E65" i="32" s="1"/>
  <c r="E26" i="23" a="1"/>
  <c r="E26" i="23" s="1"/>
  <c r="E27" i="23" a="1"/>
  <c r="E27" i="23" s="1"/>
  <c r="E28" i="23" a="1"/>
  <c r="E28" i="23" s="1"/>
  <c r="E29" i="23" a="1"/>
  <c r="E29" i="23" s="1"/>
  <c r="E30" i="23" a="1"/>
  <c r="E30" i="23" s="1"/>
  <c r="E31" i="23" a="1"/>
  <c r="E31" i="23" s="1"/>
  <c r="E32" i="23" a="1"/>
  <c r="E32" i="23" s="1"/>
  <c r="E34" i="23" a="1"/>
  <c r="E34" i="23" s="1"/>
  <c r="E63" i="23" a="1"/>
  <c r="E63" i="23" s="1"/>
  <c r="E64" i="23" a="1"/>
  <c r="E64" i="23" s="1"/>
  <c r="E65" i="23" a="1"/>
  <c r="E65" i="23" s="1"/>
  <c r="E27" i="79" a="1"/>
  <c r="E27" i="79" s="1"/>
  <c r="E28" i="79" a="1"/>
  <c r="E28" i="79" s="1"/>
  <c r="E30" i="79" a="1"/>
  <c r="E30" i="79" s="1"/>
  <c r="E26" i="79" a="1"/>
  <c r="E26" i="79" s="1"/>
  <c r="E29" i="79" a="1"/>
  <c r="E29" i="79" s="1"/>
  <c r="E63" i="54" a="1"/>
  <c r="E63" i="54" s="1"/>
  <c r="E64" i="54" a="1"/>
  <c r="E64" i="54" s="1"/>
  <c r="E26" i="54" a="1"/>
  <c r="E26" i="54" s="1"/>
  <c r="E27" i="54" a="1"/>
  <c r="E27" i="54" s="1"/>
  <c r="E28" i="54" a="1"/>
  <c r="E28" i="54" s="1"/>
  <c r="E29" i="54" a="1"/>
  <c r="E29" i="54" s="1"/>
  <c r="E30" i="54" a="1"/>
  <c r="E30" i="54" s="1"/>
  <c r="E31" i="54" a="1"/>
  <c r="E31" i="54" s="1"/>
  <c r="E32" i="54" a="1"/>
  <c r="E32" i="54" s="1"/>
  <c r="E34" i="54" a="1"/>
  <c r="E34" i="54" s="1"/>
  <c r="E65" i="54" a="1"/>
  <c r="E65" i="54" s="1"/>
  <c r="E26" i="33" a="1"/>
  <c r="E26" i="33" s="1"/>
  <c r="E27" i="33" a="1"/>
  <c r="E27" i="33" s="1"/>
  <c r="E28" i="33" a="1"/>
  <c r="E28" i="33" s="1"/>
  <c r="E29" i="33" a="1"/>
  <c r="E29" i="33" s="1"/>
  <c r="E30" i="33" a="1"/>
  <c r="E30" i="33" s="1"/>
  <c r="E31" i="33" a="1"/>
  <c r="E31" i="33" s="1"/>
  <c r="E32" i="33" a="1"/>
  <c r="E32" i="33" s="1"/>
  <c r="E34" i="33" a="1"/>
  <c r="E34" i="33" s="1"/>
  <c r="E63" i="33" a="1"/>
  <c r="E63" i="33" s="1"/>
  <c r="E64" i="33" a="1"/>
  <c r="E64" i="33" s="1"/>
  <c r="E65" i="33" a="1"/>
  <c r="E65" i="33" s="1"/>
  <c r="E26" i="29" a="1"/>
  <c r="E26" i="29" s="1"/>
  <c r="E27" i="29" a="1"/>
  <c r="E27" i="29" s="1"/>
  <c r="E28" i="29" a="1"/>
  <c r="E28" i="29" s="1"/>
  <c r="E29" i="29" a="1"/>
  <c r="E29" i="29" s="1"/>
  <c r="E30" i="29" a="1"/>
  <c r="E30" i="29" s="1"/>
  <c r="E31" i="29" a="1"/>
  <c r="E31" i="29" s="1"/>
  <c r="E32" i="29" a="1"/>
  <c r="E32" i="29" s="1"/>
  <c r="E34" i="29" a="1"/>
  <c r="E34" i="29" s="1"/>
  <c r="E63" i="29" a="1"/>
  <c r="E63" i="29" s="1"/>
  <c r="E64" i="29" a="1"/>
  <c r="E64" i="29" s="1"/>
  <c r="E65" i="29" a="1"/>
  <c r="E65" i="29" s="1"/>
  <c r="E63" i="39" a="1"/>
  <c r="E63" i="39" s="1"/>
  <c r="E64" i="39" a="1"/>
  <c r="E64" i="39" s="1"/>
  <c r="E26" i="39" a="1"/>
  <c r="E26" i="39" s="1"/>
  <c r="E27" i="39" a="1"/>
  <c r="E27" i="39" s="1"/>
  <c r="E28" i="39" a="1"/>
  <c r="E28" i="39" s="1"/>
  <c r="E29" i="39" a="1"/>
  <c r="E29" i="39" s="1"/>
  <c r="E30" i="39" a="1"/>
  <c r="E30" i="39" s="1"/>
  <c r="E31" i="39" a="1"/>
  <c r="E31" i="39" s="1"/>
  <c r="E32" i="39" a="1"/>
  <c r="E32" i="39" s="1"/>
  <c r="E34" i="39" a="1"/>
  <c r="E34" i="39" s="1"/>
  <c r="E65" i="39" a="1"/>
  <c r="E65" i="39" s="1"/>
  <c r="E34" i="73" a="1"/>
  <c r="E34" i="73" s="1"/>
  <c r="E26" i="73" a="1"/>
  <c r="E26" i="73" s="1"/>
  <c r="E27" i="73" a="1"/>
  <c r="E27" i="73" s="1"/>
  <c r="E28" i="73" a="1"/>
  <c r="E28" i="73" s="1"/>
  <c r="E29" i="73" a="1"/>
  <c r="E29" i="73" s="1"/>
  <c r="E30" i="73" a="1"/>
  <c r="E30" i="73" s="1"/>
  <c r="E31" i="73" a="1"/>
  <c r="E31" i="73" s="1"/>
  <c r="E32" i="73" a="1"/>
  <c r="E32" i="73" s="1"/>
  <c r="E63" i="73" a="1"/>
  <c r="E63" i="73" s="1"/>
  <c r="E64" i="73" a="1"/>
  <c r="E64" i="73" s="1"/>
  <c r="E65" i="73" a="1"/>
  <c r="E65" i="73" s="1"/>
  <c r="E64" i="90" a="1"/>
  <c r="E64" i="90" s="1"/>
  <c r="E63" i="90" a="1"/>
  <c r="E63" i="90" s="1"/>
  <c r="E65" i="90" a="1"/>
  <c r="E65" i="90" s="1"/>
  <c r="E26" i="90" a="1"/>
  <c r="E26" i="90" s="1"/>
  <c r="E27" i="90" a="1"/>
  <c r="E27" i="90" s="1"/>
  <c r="E28" i="90" a="1"/>
  <c r="E28" i="90" s="1"/>
  <c r="E29" i="90" a="1"/>
  <c r="E29" i="90" s="1"/>
  <c r="E30" i="90" a="1"/>
  <c r="E30" i="90" s="1"/>
  <c r="E31" i="90" a="1"/>
  <c r="E31" i="90" s="1"/>
  <c r="E32" i="90" a="1"/>
  <c r="E32" i="90" s="1"/>
  <c r="E34" i="90" a="1"/>
  <c r="E34" i="90" s="1"/>
  <c r="E65" i="89" a="1"/>
  <c r="E65" i="89" s="1"/>
  <c r="E64" i="89" a="1"/>
  <c r="E64" i="89" s="1"/>
  <c r="E26" i="89" a="1"/>
  <c r="E26" i="89" s="1"/>
  <c r="E27" i="89" a="1"/>
  <c r="E27" i="89" s="1"/>
  <c r="E28" i="89" a="1"/>
  <c r="E28" i="89" s="1"/>
  <c r="E29" i="89" a="1"/>
  <c r="E29" i="89" s="1"/>
  <c r="E30" i="89" a="1"/>
  <c r="E30" i="89" s="1"/>
  <c r="E31" i="89" a="1"/>
  <c r="E31" i="89" s="1"/>
  <c r="E32" i="89" a="1"/>
  <c r="E32" i="89" s="1"/>
  <c r="E34" i="89" a="1"/>
  <c r="E34" i="89" s="1"/>
  <c r="E63" i="89" a="1"/>
  <c r="E63" i="89" s="1"/>
  <c r="E63" i="48" a="1"/>
  <c r="E63" i="48" s="1"/>
  <c r="E64" i="48" a="1"/>
  <c r="E64" i="48" s="1"/>
  <c r="E26" i="48" a="1"/>
  <c r="E26" i="48" s="1"/>
  <c r="E27" i="48" a="1"/>
  <c r="E27" i="48" s="1"/>
  <c r="E28" i="48" a="1"/>
  <c r="E28" i="48" s="1"/>
  <c r="E29" i="48" a="1"/>
  <c r="E29" i="48" s="1"/>
  <c r="E30" i="48" a="1"/>
  <c r="E30" i="48" s="1"/>
  <c r="E31" i="48" a="1"/>
  <c r="E31" i="48" s="1"/>
  <c r="E32" i="48" a="1"/>
  <c r="E32" i="48" s="1"/>
  <c r="E34" i="48" a="1"/>
  <c r="E34" i="48" s="1"/>
  <c r="E65" i="48" a="1"/>
  <c r="E65" i="48" s="1"/>
  <c r="E63" i="74" a="1"/>
  <c r="E63" i="74" s="1"/>
  <c r="E64" i="74" a="1"/>
  <c r="E64" i="74" s="1"/>
  <c r="E65" i="74" a="1"/>
  <c r="E65" i="74" s="1"/>
  <c r="E26" i="74" a="1"/>
  <c r="E26" i="74" s="1"/>
  <c r="E27" i="74" a="1"/>
  <c r="E27" i="74" s="1"/>
  <c r="E28" i="74" a="1"/>
  <c r="E28" i="74" s="1"/>
  <c r="E29" i="74" a="1"/>
  <c r="E29" i="74" s="1"/>
  <c r="E30" i="74" a="1"/>
  <c r="E30" i="74" s="1"/>
  <c r="E31" i="74" a="1"/>
  <c r="E31" i="74" s="1"/>
  <c r="E32" i="74" a="1"/>
  <c r="E32" i="74" s="1"/>
  <c r="E34" i="74" a="1"/>
  <c r="E34" i="74" s="1"/>
  <c r="E64" i="72" a="1"/>
  <c r="E64" i="72" s="1"/>
  <c r="E65" i="72" a="1"/>
  <c r="E65" i="72" s="1"/>
  <c r="E26" i="72" a="1"/>
  <c r="E26" i="72" s="1"/>
  <c r="E27" i="72" a="1"/>
  <c r="E27" i="72" s="1"/>
  <c r="E28" i="72" a="1"/>
  <c r="E28" i="72" s="1"/>
  <c r="E29" i="72" a="1"/>
  <c r="E29" i="72" s="1"/>
  <c r="E30" i="72" a="1"/>
  <c r="E30" i="72" s="1"/>
  <c r="E31" i="72" a="1"/>
  <c r="E31" i="72" s="1"/>
  <c r="E32" i="72" a="1"/>
  <c r="E32" i="72" s="1"/>
  <c r="E34" i="72" a="1"/>
  <c r="E34" i="72" s="1"/>
  <c r="E63" i="72" a="1"/>
  <c r="E63" i="72" s="1"/>
  <c r="E65" i="71" a="1"/>
  <c r="E65" i="71" s="1"/>
  <c r="E63" i="71" a="1"/>
  <c r="E63" i="71" s="1"/>
  <c r="E26" i="71" a="1"/>
  <c r="E26" i="71" s="1"/>
  <c r="E27" i="71" a="1"/>
  <c r="E27" i="71" s="1"/>
  <c r="E28" i="71" a="1"/>
  <c r="E28" i="71" s="1"/>
  <c r="E29" i="71" a="1"/>
  <c r="E29" i="71" s="1"/>
  <c r="E30" i="71" a="1"/>
  <c r="E30" i="71" s="1"/>
  <c r="E31" i="71" a="1"/>
  <c r="E31" i="71" s="1"/>
  <c r="E32" i="71" a="1"/>
  <c r="E32" i="71" s="1"/>
  <c r="E34" i="71" a="1"/>
  <c r="E34" i="71" s="1"/>
  <c r="E64" i="71" a="1"/>
  <c r="E64" i="71" s="1"/>
  <c r="E63" i="70" a="1"/>
  <c r="E63" i="70" s="1"/>
  <c r="E64" i="70" a="1"/>
  <c r="E64" i="70" s="1"/>
  <c r="E65" i="70" a="1"/>
  <c r="E65" i="70" s="1"/>
  <c r="E26" i="70" a="1"/>
  <c r="E26" i="70" s="1"/>
  <c r="E27" i="70" a="1"/>
  <c r="E27" i="70" s="1"/>
  <c r="E28" i="70" a="1"/>
  <c r="E28" i="70" s="1"/>
  <c r="E29" i="70" a="1"/>
  <c r="E29" i="70" s="1"/>
  <c r="E30" i="70" a="1"/>
  <c r="E30" i="70" s="1"/>
  <c r="E31" i="70" a="1"/>
  <c r="E31" i="70" s="1"/>
  <c r="E32" i="70" a="1"/>
  <c r="E32" i="70" s="1"/>
  <c r="E34" i="70" a="1"/>
  <c r="E34" i="70" s="1"/>
  <c r="E64" i="49" a="1"/>
  <c r="E64" i="49" s="1"/>
  <c r="E34" i="49" a="1"/>
  <c r="E34" i="49" s="1"/>
  <c r="E65" i="49" a="1"/>
  <c r="E65" i="49" s="1"/>
  <c r="E32" i="49" a="1"/>
  <c r="E32" i="49" s="1"/>
  <c r="E26" i="49" a="1"/>
  <c r="E26" i="49" s="1"/>
  <c r="E27" i="49" a="1"/>
  <c r="E27" i="49" s="1"/>
  <c r="E28" i="49" a="1"/>
  <c r="E28" i="49" s="1"/>
  <c r="E29" i="49" a="1"/>
  <c r="E29" i="49" s="1"/>
  <c r="E30" i="49" a="1"/>
  <c r="E30" i="49" s="1"/>
  <c r="E31" i="49" a="1"/>
  <c r="E31" i="49" s="1"/>
  <c r="E63" i="49" a="1"/>
  <c r="E63" i="49" s="1"/>
  <c r="E26" i="61" a="1"/>
  <c r="E26" i="61" s="1"/>
  <c r="E32" i="61" a="1"/>
  <c r="E32" i="61" s="1"/>
  <c r="E63" i="61" a="1"/>
  <c r="E63" i="61" s="1"/>
  <c r="E27" i="61" a="1"/>
  <c r="E27" i="61" s="1"/>
  <c r="E34" i="61" a="1"/>
  <c r="E34" i="61" s="1"/>
  <c r="E64" i="61" a="1"/>
  <c r="E64" i="61" s="1"/>
  <c r="E31" i="61" a="1"/>
  <c r="E31" i="61" s="1"/>
  <c r="E65" i="61" a="1"/>
  <c r="E65" i="61" s="1"/>
  <c r="E30" i="61" a="1"/>
  <c r="E30" i="61" s="1"/>
  <c r="E28" i="61" a="1"/>
  <c r="E28" i="61" s="1"/>
  <c r="E29" i="61" a="1"/>
  <c r="E29" i="61" s="1"/>
  <c r="E30" i="45" a="1"/>
  <c r="E30" i="45" s="1"/>
  <c r="E64" i="45" a="1"/>
  <c r="E64" i="45" s="1"/>
  <c r="E31" i="45" a="1"/>
  <c r="E31" i="45" s="1"/>
  <c r="E29" i="45" a="1"/>
  <c r="E29" i="45" s="1"/>
  <c r="E65" i="45" a="1"/>
  <c r="E65" i="45" s="1"/>
  <c r="E28" i="45" a="1"/>
  <c r="E28" i="45" s="1"/>
  <c r="E26" i="45" a="1"/>
  <c r="E26" i="45" s="1"/>
  <c r="E32" i="45" a="1"/>
  <c r="E32" i="45" s="1"/>
  <c r="E27" i="45" a="1"/>
  <c r="E27" i="45" s="1"/>
  <c r="E34" i="45" a="1"/>
  <c r="E34" i="45" s="1"/>
  <c r="E63" i="45" a="1"/>
  <c r="E63" i="45" s="1"/>
  <c r="E26" i="44" a="1"/>
  <c r="E26" i="44" s="1"/>
  <c r="E32" i="44" a="1"/>
  <c r="E32" i="44" s="1"/>
  <c r="E65" i="44" a="1"/>
  <c r="E65" i="44" s="1"/>
  <c r="E27" i="44" a="1"/>
  <c r="E27" i="44" s="1"/>
  <c r="E34" i="44" a="1"/>
  <c r="E34" i="44" s="1"/>
  <c r="E31" i="44" a="1"/>
  <c r="E31" i="44" s="1"/>
  <c r="E63" i="44" a="1"/>
  <c r="E63" i="44" s="1"/>
  <c r="E30" i="44" a="1"/>
  <c r="E30" i="44" s="1"/>
  <c r="E28" i="44" a="1"/>
  <c r="E28" i="44" s="1"/>
  <c r="E29" i="44" a="1"/>
  <c r="E29" i="44" s="1"/>
  <c r="E64" i="44" a="1"/>
  <c r="E64" i="44" s="1"/>
  <c r="E63" i="66" a="1"/>
  <c r="E63" i="66" s="1"/>
  <c r="E31" i="66" a="1"/>
  <c r="E31" i="66" s="1"/>
  <c r="E65" i="66" a="1"/>
  <c r="E65" i="66" s="1"/>
  <c r="E26" i="66" a="1"/>
  <c r="E26" i="66" s="1"/>
  <c r="E27" i="66" a="1"/>
  <c r="E27" i="66" s="1"/>
  <c r="E28" i="66" a="1"/>
  <c r="E28" i="66" s="1"/>
  <c r="E29" i="66" a="1"/>
  <c r="E29" i="66" s="1"/>
  <c r="E30" i="66" a="1"/>
  <c r="E30" i="66" s="1"/>
  <c r="E34" i="66" a="1"/>
  <c r="E34" i="66" s="1"/>
  <c r="E32" i="66" a="1"/>
  <c r="E32" i="66" s="1"/>
  <c r="E64" i="66" a="1"/>
  <c r="E64" i="66" s="1"/>
  <c r="E29" i="31" a="1"/>
  <c r="E29" i="31" s="1"/>
  <c r="E28" i="31" a="1"/>
  <c r="E28" i="31" s="1"/>
  <c r="E34" i="31" a="1"/>
  <c r="E34" i="31" s="1"/>
  <c r="E26" i="31" a="1"/>
  <c r="E26" i="31" s="1"/>
  <c r="E31" i="31" a="1"/>
  <c r="E31" i="31" s="1"/>
  <c r="E30" i="31" a="1"/>
  <c r="E30" i="31" s="1"/>
  <c r="E27" i="31" a="1"/>
  <c r="E27" i="31" s="1"/>
  <c r="E32" i="31" a="1"/>
  <c r="E32" i="31" s="1"/>
  <c r="E63" i="31" a="1"/>
  <c r="E63" i="31" s="1"/>
  <c r="E64" i="31" a="1"/>
  <c r="E64" i="31" s="1"/>
  <c r="E65" i="31" a="1"/>
  <c r="E65" i="31" s="1"/>
  <c r="E26" i="19" a="1"/>
  <c r="E26" i="19" s="1"/>
  <c r="E27" i="19" a="1"/>
  <c r="E27" i="19" s="1"/>
  <c r="E28" i="19" a="1"/>
  <c r="E28" i="19" s="1"/>
  <c r="E29" i="19" a="1"/>
  <c r="E29" i="19" s="1"/>
  <c r="E30" i="19" a="1"/>
  <c r="E30" i="19" s="1"/>
  <c r="E31" i="19" a="1"/>
  <c r="E31" i="19" s="1"/>
  <c r="E32" i="19" a="1"/>
  <c r="E32" i="19" s="1"/>
  <c r="E34" i="19" a="1"/>
  <c r="E34" i="19" s="1"/>
  <c r="E63" i="19" a="1"/>
  <c r="E63" i="19" s="1"/>
  <c r="E64" i="19" a="1"/>
  <c r="E64" i="19" s="1"/>
  <c r="E65" i="19" a="1"/>
  <c r="E65" i="19" s="1"/>
  <c r="E26" i="88" a="1"/>
  <c r="E26" i="88" s="1"/>
  <c r="E27" i="88" a="1"/>
  <c r="E27" i="88" s="1"/>
  <c r="E28" i="88" a="1"/>
  <c r="E28" i="88" s="1"/>
  <c r="E29" i="88" a="1"/>
  <c r="E29" i="88" s="1"/>
  <c r="E30" i="88" a="1"/>
  <c r="E30" i="88" s="1"/>
  <c r="E31" i="88" a="1"/>
  <c r="E31" i="88" s="1"/>
  <c r="E32" i="88" a="1"/>
  <c r="E32" i="88" s="1"/>
  <c r="E34" i="88" a="1"/>
  <c r="E34" i="88" s="1"/>
  <c r="E63" i="88" a="1"/>
  <c r="E63" i="88" s="1"/>
  <c r="E64" i="88" a="1"/>
  <c r="E64" i="88" s="1"/>
  <c r="E65" i="88" a="1"/>
  <c r="E65" i="88" s="1"/>
  <c r="E29" i="81" a="1"/>
  <c r="E29" i="81" s="1"/>
  <c r="E26" i="81" a="1"/>
  <c r="E26" i="81" s="1"/>
  <c r="E27" i="81" a="1"/>
  <c r="E27" i="81" s="1"/>
  <c r="E28" i="81" a="1"/>
  <c r="E28" i="81" s="1"/>
  <c r="E30" i="81" a="1"/>
  <c r="E30" i="81" s="1"/>
  <c r="E63" i="91" a="1"/>
  <c r="E63" i="91" s="1"/>
  <c r="E64" i="91" a="1"/>
  <c r="E64" i="91" s="1"/>
  <c r="E26" i="91" a="1"/>
  <c r="E26" i="91" s="1"/>
  <c r="E27" i="91" a="1"/>
  <c r="E27" i="91" s="1"/>
  <c r="E28" i="91" a="1"/>
  <c r="E28" i="91" s="1"/>
  <c r="E29" i="91" a="1"/>
  <c r="E29" i="91" s="1"/>
  <c r="E30" i="91" a="1"/>
  <c r="E30" i="91" s="1"/>
  <c r="E31" i="91" a="1"/>
  <c r="E31" i="91" s="1"/>
  <c r="E32" i="91" a="1"/>
  <c r="E32" i="91" s="1"/>
  <c r="E34" i="91" a="1"/>
  <c r="E34" i="91" s="1"/>
  <c r="E65" i="91" a="1"/>
  <c r="E65" i="91" s="1"/>
  <c r="E30" i="63" a="1"/>
  <c r="E30" i="63" s="1"/>
  <c r="E65" i="63" a="1"/>
  <c r="E65" i="63" s="1"/>
  <c r="E31" i="63" a="1"/>
  <c r="E31" i="63" s="1"/>
  <c r="E29" i="63" a="1"/>
  <c r="E29" i="63" s="1"/>
  <c r="E63" i="63" a="1"/>
  <c r="E63" i="63" s="1"/>
  <c r="E28" i="63" a="1"/>
  <c r="E28" i="63" s="1"/>
  <c r="E26" i="63" a="1"/>
  <c r="E26" i="63" s="1"/>
  <c r="E32" i="63" a="1"/>
  <c r="E32" i="63" s="1"/>
  <c r="E27" i="63" a="1"/>
  <c r="E27" i="63" s="1"/>
  <c r="E34" i="63" a="1"/>
  <c r="E34" i="63" s="1"/>
  <c r="E64" i="63" a="1"/>
  <c r="E64" i="63" s="1"/>
  <c r="E30" i="59" a="1"/>
  <c r="E30" i="59" s="1"/>
  <c r="E65" i="59" a="1"/>
  <c r="E65" i="59" s="1"/>
  <c r="E29" i="59" a="1"/>
  <c r="E29" i="59" s="1"/>
  <c r="E63" i="59" a="1"/>
  <c r="E63" i="59" s="1"/>
  <c r="E28" i="59" a="1"/>
  <c r="E28" i="59" s="1"/>
  <c r="E31" i="59" a="1"/>
  <c r="E31" i="59" s="1"/>
  <c r="E32" i="59" a="1"/>
  <c r="E32" i="59" s="1"/>
  <c r="E34" i="59" a="1"/>
  <c r="E34" i="59" s="1"/>
  <c r="E27" i="59" a="1"/>
  <c r="E27" i="59" s="1"/>
  <c r="E26" i="59" a="1"/>
  <c r="E26" i="59" s="1"/>
  <c r="E64" i="59" a="1"/>
  <c r="E64" i="59" s="1"/>
  <c r="E63" i="41" a="1"/>
  <c r="E63" i="41" s="1"/>
  <c r="E64" i="41" a="1"/>
  <c r="E64" i="41" s="1"/>
  <c r="E26" i="41" a="1"/>
  <c r="E26" i="41" s="1"/>
  <c r="E27" i="41" a="1"/>
  <c r="E27" i="41" s="1"/>
  <c r="E28" i="41" a="1"/>
  <c r="E28" i="41" s="1"/>
  <c r="E29" i="41" a="1"/>
  <c r="E29" i="41" s="1"/>
  <c r="E30" i="41" a="1"/>
  <c r="E30" i="41" s="1"/>
  <c r="E31" i="41" a="1"/>
  <c r="E31" i="41" s="1"/>
  <c r="E32" i="41" a="1"/>
  <c r="E32" i="41" s="1"/>
  <c r="E34" i="41" a="1"/>
  <c r="E34" i="41" s="1"/>
  <c r="E65" i="41" a="1"/>
  <c r="E65" i="41" s="1"/>
  <c r="E63" i="67" a="1"/>
  <c r="E63" i="67" s="1"/>
  <c r="E64" i="67" a="1"/>
  <c r="E64" i="67" s="1"/>
  <c r="E26" i="67" a="1"/>
  <c r="E26" i="67" s="1"/>
  <c r="E27" i="67" a="1"/>
  <c r="E27" i="67" s="1"/>
  <c r="E28" i="67" a="1"/>
  <c r="E28" i="67" s="1"/>
  <c r="E29" i="67" a="1"/>
  <c r="E29" i="67" s="1"/>
  <c r="E30" i="67" a="1"/>
  <c r="E30" i="67" s="1"/>
  <c r="E31" i="67" a="1"/>
  <c r="E31" i="67" s="1"/>
  <c r="E32" i="67" a="1"/>
  <c r="E32" i="67" s="1"/>
  <c r="E34" i="67" a="1"/>
  <c r="E34" i="67" s="1"/>
  <c r="E65" i="67" a="1"/>
  <c r="E65" i="67" s="1"/>
  <c r="E27" i="65" a="1"/>
  <c r="E27" i="65" s="1"/>
  <c r="E31" i="65" a="1"/>
  <c r="E31" i="65" s="1"/>
  <c r="E63" i="65" a="1"/>
  <c r="E63" i="65" s="1"/>
  <c r="E28" i="65" a="1"/>
  <c r="E28" i="65" s="1"/>
  <c r="E32" i="65" a="1"/>
  <c r="E32" i="65" s="1"/>
  <c r="E26" i="65" a="1"/>
  <c r="E26" i="65" s="1"/>
  <c r="E29" i="65" a="1"/>
  <c r="E29" i="65" s="1"/>
  <c r="E65" i="65" a="1"/>
  <c r="E65" i="65" s="1"/>
  <c r="E30" i="65" a="1"/>
  <c r="E30" i="65" s="1"/>
  <c r="E34" i="65" a="1"/>
  <c r="E34" i="65" s="1"/>
  <c r="E64" i="65" a="1"/>
  <c r="E64" i="65" s="1"/>
  <c r="E30" i="35" a="1"/>
  <c r="E30" i="35" s="1"/>
  <c r="E29" i="35" a="1"/>
  <c r="E29" i="35" s="1"/>
  <c r="E27" i="35" a="1"/>
  <c r="E27" i="35" s="1"/>
  <c r="E32" i="35" a="1"/>
  <c r="E32" i="35" s="1"/>
  <c r="E26" i="35" a="1"/>
  <c r="E26" i="35" s="1"/>
  <c r="E31" i="35" a="1"/>
  <c r="E31" i="35" s="1"/>
  <c r="E28" i="35" a="1"/>
  <c r="E28" i="35" s="1"/>
  <c r="E34" i="35" a="1"/>
  <c r="E34" i="35" s="1"/>
  <c r="E63" i="35" a="1"/>
  <c r="E63" i="35" s="1"/>
  <c r="E64" i="35" a="1"/>
  <c r="E64" i="35" s="1"/>
  <c r="E65" i="35" a="1"/>
  <c r="E65" i="35" s="1"/>
  <c r="E30" i="25" a="1"/>
  <c r="E30" i="25" s="1"/>
  <c r="E27" i="25" a="1"/>
  <c r="E27" i="25" s="1"/>
  <c r="E32" i="25" a="1"/>
  <c r="E32" i="25" s="1"/>
  <c r="E29" i="25" a="1"/>
  <c r="E29" i="25" s="1"/>
  <c r="E28" i="25" a="1"/>
  <c r="E28" i="25" s="1"/>
  <c r="E34" i="25" a="1"/>
  <c r="E34" i="25" s="1"/>
  <c r="E26" i="25" a="1"/>
  <c r="E26" i="25" s="1"/>
  <c r="E31" i="25" a="1"/>
  <c r="E31" i="25" s="1"/>
  <c r="E63" i="25" a="1"/>
  <c r="E63" i="25" s="1"/>
  <c r="E64" i="25" a="1"/>
  <c r="E64" i="25" s="1"/>
  <c r="E65" i="25" a="1"/>
  <c r="E65" i="25" s="1"/>
  <c r="E26" i="30" a="1"/>
  <c r="E26" i="30" s="1"/>
  <c r="E27" i="30" a="1"/>
  <c r="E27" i="30" s="1"/>
  <c r="E28" i="30" a="1"/>
  <c r="E28" i="30" s="1"/>
  <c r="E29" i="30" a="1"/>
  <c r="E29" i="30" s="1"/>
  <c r="E30" i="30" a="1"/>
  <c r="E30" i="30" s="1"/>
  <c r="E31" i="30" a="1"/>
  <c r="E31" i="30" s="1"/>
  <c r="E32" i="30" a="1"/>
  <c r="E32" i="30" s="1"/>
  <c r="E34" i="30" a="1"/>
  <c r="E34" i="30" s="1"/>
  <c r="E63" i="30" a="1"/>
  <c r="E63" i="30" s="1"/>
  <c r="E64" i="30" a="1"/>
  <c r="E64" i="30" s="1"/>
  <c r="E65" i="30" a="1"/>
  <c r="E65" i="30" s="1"/>
  <c r="E26" i="24" a="1"/>
  <c r="E26" i="24" s="1"/>
  <c r="E27" i="24" a="1"/>
  <c r="E27" i="24" s="1"/>
  <c r="E28" i="24" a="1"/>
  <c r="E28" i="24" s="1"/>
  <c r="E29" i="24" a="1"/>
  <c r="E29" i="24" s="1"/>
  <c r="E30" i="24" a="1"/>
  <c r="E30" i="24" s="1"/>
  <c r="E31" i="24" a="1"/>
  <c r="E31" i="24" s="1"/>
  <c r="E32" i="24" a="1"/>
  <c r="E32" i="24" s="1"/>
  <c r="E34" i="24" a="1"/>
  <c r="E34" i="24" s="1"/>
  <c r="E63" i="24" a="1"/>
  <c r="E63" i="24" s="1"/>
  <c r="E64" i="24" a="1"/>
  <c r="E64" i="24" s="1"/>
  <c r="E65" i="24" a="1"/>
  <c r="E65" i="24" s="1"/>
  <c r="E65" i="22" a="1"/>
  <c r="E65" i="22" s="1"/>
  <c r="E63" i="22" a="1"/>
  <c r="E63" i="22" s="1"/>
  <c r="E26" i="22" a="1"/>
  <c r="E26" i="22" s="1"/>
  <c r="E27" i="22" a="1"/>
  <c r="E27" i="22" s="1"/>
  <c r="E28" i="22" a="1"/>
  <c r="E28" i="22" s="1"/>
  <c r="E29" i="22" a="1"/>
  <c r="E29" i="22" s="1"/>
  <c r="E30" i="22" a="1"/>
  <c r="E30" i="22" s="1"/>
  <c r="E31" i="22" a="1"/>
  <c r="E31" i="22" s="1"/>
  <c r="E32" i="22" a="1"/>
  <c r="E32" i="22" s="1"/>
  <c r="E34" i="22" a="1"/>
  <c r="E34" i="22" s="1"/>
  <c r="E64" i="22" a="1"/>
  <c r="E64" i="22" s="1"/>
  <c r="E65" i="75" a="1"/>
  <c r="E65" i="75" s="1"/>
  <c r="E63" i="75" a="1"/>
  <c r="E63" i="75" s="1"/>
  <c r="E26" i="75" a="1"/>
  <c r="E26" i="75" s="1"/>
  <c r="E27" i="75" a="1"/>
  <c r="E27" i="75" s="1"/>
  <c r="E28" i="75" a="1"/>
  <c r="E28" i="75" s="1"/>
  <c r="E29" i="75" a="1"/>
  <c r="E29" i="75" s="1"/>
  <c r="E30" i="75" a="1"/>
  <c r="E30" i="75" s="1"/>
  <c r="E31" i="75" a="1"/>
  <c r="E31" i="75" s="1"/>
  <c r="E32" i="75" a="1"/>
  <c r="E32" i="75" s="1"/>
  <c r="E34" i="75" a="1"/>
  <c r="E34" i="75" s="1"/>
  <c r="E64" i="75" a="1"/>
  <c r="E64" i="75" s="1"/>
  <c r="E28" i="62" a="1"/>
  <c r="E28" i="62" s="1"/>
  <c r="E29" i="62" a="1"/>
  <c r="E29" i="62" s="1"/>
  <c r="E63" i="62" a="1"/>
  <c r="E63" i="62" s="1"/>
  <c r="E27" i="62" a="1"/>
  <c r="E27" i="62" s="1"/>
  <c r="E34" i="62" a="1"/>
  <c r="E34" i="62" s="1"/>
  <c r="E64" i="62" a="1"/>
  <c r="E64" i="62" s="1"/>
  <c r="E26" i="62" a="1"/>
  <c r="E26" i="62" s="1"/>
  <c r="E32" i="62" a="1"/>
  <c r="E32" i="62" s="1"/>
  <c r="E31" i="62" a="1"/>
  <c r="E31" i="62" s="1"/>
  <c r="E30" i="62" a="1"/>
  <c r="E30" i="62" s="1"/>
  <c r="E65" i="62" a="1"/>
  <c r="E65" i="62" s="1"/>
  <c r="E28" i="60" a="1"/>
  <c r="E28" i="60" s="1"/>
  <c r="E65" i="60" a="1"/>
  <c r="E65" i="60" s="1"/>
  <c r="E29" i="60" a="1"/>
  <c r="E29" i="60" s="1"/>
  <c r="E63" i="60" a="1"/>
  <c r="E63" i="60" s="1"/>
  <c r="E27" i="60" a="1"/>
  <c r="E27" i="60" s="1"/>
  <c r="E34" i="60" a="1"/>
  <c r="E34" i="60" s="1"/>
  <c r="E26" i="60" a="1"/>
  <c r="E26" i="60" s="1"/>
  <c r="E32" i="60" a="1"/>
  <c r="E32" i="60" s="1"/>
  <c r="E30" i="60" a="1"/>
  <c r="E30" i="60" s="1"/>
  <c r="E31" i="60" a="1"/>
  <c r="E31" i="60" s="1"/>
  <c r="E64" i="60" a="1"/>
  <c r="E64" i="60" s="1"/>
  <c r="E65" i="57" a="1"/>
  <c r="E65" i="57" s="1"/>
  <c r="E63" i="57" a="1"/>
  <c r="E63" i="57" s="1"/>
  <c r="E26" i="57" a="1"/>
  <c r="E26" i="57" s="1"/>
  <c r="E27" i="57" a="1"/>
  <c r="E27" i="57" s="1"/>
  <c r="E28" i="57" a="1"/>
  <c r="E28" i="57" s="1"/>
  <c r="E29" i="57" a="1"/>
  <c r="E29" i="57" s="1"/>
  <c r="E30" i="57" a="1"/>
  <c r="E30" i="57" s="1"/>
  <c r="E31" i="57" a="1"/>
  <c r="E31" i="57" s="1"/>
  <c r="E32" i="57" a="1"/>
  <c r="E32" i="57" s="1"/>
  <c r="E34" i="57" a="1"/>
  <c r="E34" i="57" s="1"/>
  <c r="E64" i="57" a="1"/>
  <c r="E64" i="57" s="1"/>
  <c r="E64" i="55" a="1"/>
  <c r="E64" i="55" s="1"/>
  <c r="E63" i="55" a="1"/>
  <c r="E63" i="55" s="1"/>
  <c r="E26" i="55" a="1"/>
  <c r="E26" i="55" s="1"/>
  <c r="E27" i="55" a="1"/>
  <c r="E27" i="55" s="1"/>
  <c r="E28" i="55" a="1"/>
  <c r="E28" i="55" s="1"/>
  <c r="E29" i="55" a="1"/>
  <c r="E29" i="55" s="1"/>
  <c r="E30" i="55" a="1"/>
  <c r="E30" i="55" s="1"/>
  <c r="E31" i="55" a="1"/>
  <c r="E31" i="55" s="1"/>
  <c r="E32" i="55" a="1"/>
  <c r="E32" i="55" s="1"/>
  <c r="E34" i="55" a="1"/>
  <c r="E34" i="55" s="1"/>
  <c r="E65" i="55" a="1"/>
  <c r="E65" i="55" s="1"/>
  <c r="E63" i="53" a="1"/>
  <c r="E63" i="53" s="1"/>
  <c r="E64" i="53" a="1"/>
  <c r="E64" i="53" s="1"/>
  <c r="E26" i="53" a="1"/>
  <c r="E26" i="53" s="1"/>
  <c r="E27" i="53" a="1"/>
  <c r="E27" i="53" s="1"/>
  <c r="E28" i="53" a="1"/>
  <c r="E28" i="53" s="1"/>
  <c r="E29" i="53" a="1"/>
  <c r="E29" i="53" s="1"/>
  <c r="E30" i="53" a="1"/>
  <c r="E30" i="53" s="1"/>
  <c r="E31" i="53" a="1"/>
  <c r="E31" i="53" s="1"/>
  <c r="E32" i="53" a="1"/>
  <c r="E32" i="53" s="1"/>
  <c r="E34" i="53" a="1"/>
  <c r="E34" i="53" s="1"/>
  <c r="E65" i="53" a="1"/>
  <c r="E65" i="53" s="1"/>
  <c r="E63" i="68" a="1"/>
  <c r="E63" i="68" s="1"/>
  <c r="E64" i="68" a="1"/>
  <c r="E64" i="68" s="1"/>
  <c r="E26" i="68" a="1"/>
  <c r="E26" i="68" s="1"/>
  <c r="E27" i="68" a="1"/>
  <c r="E27" i="68" s="1"/>
  <c r="E28" i="68" a="1"/>
  <c r="E28" i="68" s="1"/>
  <c r="E29" i="68" a="1"/>
  <c r="E29" i="68" s="1"/>
  <c r="E30" i="68" a="1"/>
  <c r="E30" i="68" s="1"/>
  <c r="E31" i="68" a="1"/>
  <c r="E31" i="68" s="1"/>
  <c r="E32" i="68" a="1"/>
  <c r="E32" i="68" s="1"/>
  <c r="E34" i="68" a="1"/>
  <c r="E34" i="68" s="1"/>
  <c r="E65" i="68" a="1"/>
  <c r="E65" i="68" s="1"/>
  <c r="E63" i="27" a="1"/>
  <c r="E63" i="27" s="1"/>
  <c r="E64" i="27" a="1"/>
  <c r="E64" i="27" s="1"/>
  <c r="E26" i="27" a="1"/>
  <c r="E26" i="27" s="1"/>
  <c r="E27" i="27" a="1"/>
  <c r="E27" i="27" s="1"/>
  <c r="E28" i="27" a="1"/>
  <c r="E28" i="27" s="1"/>
  <c r="E29" i="27" a="1"/>
  <c r="E29" i="27" s="1"/>
  <c r="E30" i="27" a="1"/>
  <c r="E30" i="27" s="1"/>
  <c r="E31" i="27" a="1"/>
  <c r="E31" i="27" s="1"/>
  <c r="E32" i="27" a="1"/>
  <c r="E32" i="27" s="1"/>
  <c r="E34" i="27" a="1"/>
  <c r="E34" i="27" s="1"/>
  <c r="E65" i="27" a="1"/>
  <c r="E65" i="27" s="1"/>
  <c r="E29" i="80" a="1"/>
  <c r="E29" i="80" s="1"/>
  <c r="E27" i="80" a="1"/>
  <c r="E27" i="80" s="1"/>
  <c r="E28" i="80" a="1"/>
  <c r="E28" i="80" s="1"/>
  <c r="E26" i="80" a="1"/>
  <c r="E26" i="80" s="1"/>
  <c r="E30" i="80" a="1"/>
  <c r="E30" i="80" s="1"/>
  <c r="E2" i="22" a="1"/>
  <c r="E2" i="22" s="1"/>
  <c r="E2" i="25" a="1"/>
  <c r="E2" i="25" s="1"/>
  <c r="E7" i="25" s="1" a="1"/>
  <c r="E2" i="19" a="1"/>
  <c r="E2" i="19" s="1"/>
  <c r="E7" i="19" s="1" a="1"/>
  <c r="E2" i="88" a="1"/>
  <c r="E2" i="88" s="1"/>
  <c r="E7" i="88" s="1" a="1"/>
  <c r="E2" i="60" a="1"/>
  <c r="E2" i="60" s="1"/>
  <c r="E7" i="60" s="1" a="1"/>
  <c r="E7" i="60" s="1"/>
  <c r="E2" i="41" a="1"/>
  <c r="E2" i="41" s="1"/>
  <c r="E7" i="41" s="1" a="1"/>
  <c r="E7" i="41" s="1"/>
  <c r="E2" i="67" a="1"/>
  <c r="E2" i="67" s="1"/>
  <c r="E7" i="67" s="1" a="1"/>
  <c r="E7" i="67" s="1"/>
  <c r="E43" i="51" a="1"/>
  <c r="E43" i="51" s="1"/>
  <c r="E42" i="51" a="1"/>
  <c r="E42" i="51" s="1"/>
  <c r="E23" i="51" a="1"/>
  <c r="E23" i="51" s="1"/>
  <c r="E41" i="51" s="1" a="1"/>
  <c r="E47" i="50" a="1"/>
  <c r="E47" i="50" s="1"/>
  <c r="E42" i="50" a="1"/>
  <c r="E42" i="50" s="1"/>
  <c r="E43" i="50" a="1"/>
  <c r="E43" i="50" s="1"/>
  <c r="E45" i="50" a="1"/>
  <c r="E45" i="50" s="1"/>
  <c r="E23" i="50" a="1"/>
  <c r="E23" i="50" s="1"/>
  <c r="E41" i="50" s="1" a="1"/>
  <c r="E43" i="32" a="1"/>
  <c r="E43" i="32" s="1"/>
  <c r="E47" i="32" a="1"/>
  <c r="E47" i="32" s="1"/>
  <c r="E42" i="32" a="1"/>
  <c r="E42" i="32" s="1"/>
  <c r="E23" i="32" a="1"/>
  <c r="E23" i="32" s="1"/>
  <c r="E41" i="32" s="1" a="1"/>
  <c r="E45" i="32" a="1"/>
  <c r="E45" i="32" s="1"/>
  <c r="E23" i="79" a="1"/>
  <c r="E23" i="79" s="1"/>
  <c r="E5" i="79" a="1"/>
  <c r="E5" i="79" s="1"/>
  <c r="E23" i="33" a="1"/>
  <c r="E23" i="33" s="1"/>
  <c r="E45" i="33" a="1"/>
  <c r="E45" i="33" s="1"/>
  <c r="E43" i="33" a="1"/>
  <c r="E43" i="33" s="1"/>
  <c r="E47" i="33" a="1"/>
  <c r="E47" i="33" s="1"/>
  <c r="E42" i="33" a="1"/>
  <c r="E42" i="33" s="1"/>
  <c r="E47" i="48" a="1"/>
  <c r="E47" i="48" s="1"/>
  <c r="E23" i="48" a="1"/>
  <c r="E23" i="48" s="1"/>
  <c r="E41" i="48" s="1" a="1"/>
  <c r="E45" i="48" a="1"/>
  <c r="E45" i="48" s="1"/>
  <c r="E43" i="48" a="1"/>
  <c r="E43" i="48" s="1"/>
  <c r="E42" i="48" a="1"/>
  <c r="E42" i="48" s="1"/>
  <c r="E42" i="74" a="1"/>
  <c r="E42" i="74" s="1"/>
  <c r="E43" i="74" a="1"/>
  <c r="E43" i="74" s="1"/>
  <c r="E23" i="74" a="1"/>
  <c r="E23" i="74" s="1"/>
  <c r="E41" i="74" s="1" a="1"/>
  <c r="E45" i="74" a="1"/>
  <c r="E45" i="74" s="1"/>
  <c r="E42" i="70" a="1"/>
  <c r="E42" i="70" s="1"/>
  <c r="E47" i="70" a="1"/>
  <c r="E47" i="70" s="1"/>
  <c r="E23" i="70" a="1"/>
  <c r="E23" i="70" s="1"/>
  <c r="E41" i="70" s="1" a="1"/>
  <c r="E45" i="70" a="1"/>
  <c r="E45" i="70" s="1"/>
  <c r="E43" i="70" a="1"/>
  <c r="E43" i="70" s="1"/>
  <c r="E23" i="81" a="1"/>
  <c r="E23" i="81" s="1"/>
  <c r="E5" i="81" a="1"/>
  <c r="E5" i="81" s="1"/>
  <c r="E2" i="91" a="1"/>
  <c r="E2" i="91" s="1"/>
  <c r="E7" i="91" s="1" a="1"/>
  <c r="E42" i="91" a="1"/>
  <c r="E42" i="91" s="1"/>
  <c r="E45" i="91" a="1"/>
  <c r="E45" i="91" s="1"/>
  <c r="E47" i="91" a="1"/>
  <c r="E47" i="91" s="1"/>
  <c r="E43" i="91" a="1"/>
  <c r="E43" i="91" s="1"/>
  <c r="E23" i="91" a="1"/>
  <c r="E23" i="91" s="1"/>
  <c r="E23" i="63" a="1"/>
  <c r="E23" i="63" s="1"/>
  <c r="E41" i="63" s="1" a="1"/>
  <c r="E43" i="63" a="1"/>
  <c r="E43" i="63" s="1"/>
  <c r="E45" i="63" a="1"/>
  <c r="E45" i="63" s="1"/>
  <c r="E42" i="63" a="1"/>
  <c r="E42" i="63" s="1"/>
  <c r="E47" i="63" a="1"/>
  <c r="E47" i="63" s="1"/>
  <c r="E47" i="59" a="1"/>
  <c r="E47" i="59" s="1"/>
  <c r="E45" i="59" a="1"/>
  <c r="E45" i="59" s="1"/>
  <c r="E42" i="59" a="1"/>
  <c r="E42" i="59" s="1"/>
  <c r="E23" i="59" a="1"/>
  <c r="E23" i="59" s="1"/>
  <c r="E41" i="59" s="1" a="1"/>
  <c r="E2" i="59" a="1"/>
  <c r="E2" i="59" s="1"/>
  <c r="E7" i="59" s="1" a="1"/>
  <c r="E43" i="59" a="1"/>
  <c r="E43" i="59" s="1"/>
  <c r="E45" i="41" a="1"/>
  <c r="E45" i="41" s="1"/>
  <c r="E23" i="41" a="1"/>
  <c r="E23" i="41" s="1"/>
  <c r="E42" i="41" a="1"/>
  <c r="E42" i="41" s="1"/>
  <c r="E47" i="41" a="1"/>
  <c r="E47" i="41" s="1"/>
  <c r="E43" i="41" a="1"/>
  <c r="E43" i="41" s="1"/>
  <c r="E42" i="22" a="1"/>
  <c r="E42" i="22" s="1"/>
  <c r="E45" i="22" a="1"/>
  <c r="E45" i="22" s="1"/>
  <c r="E43" i="22" a="1"/>
  <c r="E43" i="22" s="1"/>
  <c r="E47" i="22" a="1"/>
  <c r="E47" i="22" s="1"/>
  <c r="E23" i="22" a="1"/>
  <c r="E23" i="22" s="1"/>
  <c r="E45" i="75" a="1"/>
  <c r="E45" i="75" s="1"/>
  <c r="E47" i="75" a="1"/>
  <c r="E47" i="75" s="1"/>
  <c r="E2" i="75" a="1"/>
  <c r="E2" i="75" s="1"/>
  <c r="E7" i="75" s="1" a="1"/>
  <c r="E42" i="75" a="1"/>
  <c r="E42" i="75" s="1"/>
  <c r="E23" i="75" a="1"/>
  <c r="E23" i="75" s="1"/>
  <c r="E43" i="75" a="1"/>
  <c r="E43" i="75" s="1"/>
  <c r="E45" i="60" a="1"/>
  <c r="E45" i="60" s="1"/>
  <c r="E42" i="60" a="1"/>
  <c r="E42" i="60" s="1"/>
  <c r="E43" i="60" a="1"/>
  <c r="E43" i="60" s="1"/>
  <c r="E23" i="60" a="1"/>
  <c r="E23" i="60" s="1"/>
  <c r="E47" i="60" a="1"/>
  <c r="E47" i="60" s="1"/>
  <c r="E55" i="13" a="1"/>
  <c r="E55" i="88" a="1"/>
  <c r="E55" i="23" a="1"/>
  <c r="E55" i="29" a="1"/>
  <c r="E55" i="24" a="1"/>
  <c r="E55" i="19" a="1"/>
  <c r="E55" i="30" a="1"/>
  <c r="E55" i="27" a="1"/>
  <c r="E55" i="22" a="1"/>
  <c r="E55" i="22" s="1"/>
  <c r="D55" i="22" s="1"/>
  <c r="E55" i="81" a="1"/>
  <c r="E55" i="81" s="1"/>
  <c r="D55" i="81" s="1"/>
  <c r="E55" i="80" a="1"/>
  <c r="E55" i="80" s="1"/>
  <c r="D55" i="80" s="1"/>
  <c r="E55" i="79" a="1"/>
  <c r="E55" i="79" s="1"/>
  <c r="D55" i="79" s="1"/>
  <c r="E55" i="77" a="1"/>
  <c r="E55" i="77" s="1"/>
  <c r="D55" i="77" s="1"/>
  <c r="E55" i="57" a="1"/>
  <c r="E55" i="63" a="1"/>
  <c r="E55" i="74" a="1"/>
  <c r="E48" i="35" a="1"/>
  <c r="E48" i="35" s="1"/>
  <c r="E48" i="88" a="1"/>
  <c r="E48" i="88" s="1"/>
  <c r="E48" i="50" a="1"/>
  <c r="E48" i="50" s="1"/>
  <c r="E48" i="67" a="1"/>
  <c r="E48" i="67" s="1"/>
  <c r="E48" i="61" a="1"/>
  <c r="E48" i="61" s="1"/>
  <c r="E48" i="71" a="1"/>
  <c r="E48" i="71" s="1"/>
  <c r="E55" i="33" a="1"/>
  <c r="E55" i="25" a="1"/>
  <c r="E55" i="35" a="1"/>
  <c r="E55" i="52" a="1"/>
  <c r="E55" i="65" a="1"/>
  <c r="E55" i="67" a="1"/>
  <c r="E55" i="38" a="1"/>
  <c r="E55" i="41" a="1"/>
  <c r="E55" i="45" a="1"/>
  <c r="E55" i="91" a="1"/>
  <c r="E55" i="89" a="1"/>
  <c r="E48" i="55" a="1"/>
  <c r="E48" i="55" s="1"/>
  <c r="E48" i="23" a="1"/>
  <c r="E48" i="23" s="1"/>
  <c r="E48" i="32" a="1"/>
  <c r="E48" i="32" s="1"/>
  <c r="E48" i="37" a="1"/>
  <c r="E48" i="37" s="1"/>
  <c r="E48" i="41" a="1"/>
  <c r="E48" i="41" s="1"/>
  <c r="E48" i="62" a="1"/>
  <c r="E48" i="62" s="1"/>
  <c r="E48" i="72" a="1"/>
  <c r="E48" i="72" s="1"/>
  <c r="E48" i="89" a="1"/>
  <c r="E48" i="89" s="1"/>
  <c r="E48" i="22" a="1"/>
  <c r="E48" i="22" s="1"/>
  <c r="E55" i="56" a="1"/>
  <c r="E55" i="61" a="1"/>
  <c r="E55" i="71" a="1"/>
  <c r="E55" i="90" a="1"/>
  <c r="E48" i="73" a="1"/>
  <c r="E48" i="73" s="1"/>
  <c r="E48" i="29" a="1"/>
  <c r="E48" i="29" s="1"/>
  <c r="E48" i="33" a="1"/>
  <c r="E48" i="33" s="1"/>
  <c r="E48" i="65" a="1"/>
  <c r="E48" i="65" s="1"/>
  <c r="E48" i="68" a="1"/>
  <c r="E48" i="68" s="1"/>
  <c r="E48" i="39" a="1"/>
  <c r="E48" i="39" s="1"/>
  <c r="E48" i="59" a="1"/>
  <c r="E48" i="59" s="1"/>
  <c r="E48" i="70" a="1"/>
  <c r="E48" i="70" s="1"/>
  <c r="E48" i="75" a="1"/>
  <c r="E48" i="75" s="1"/>
  <c r="E55" i="68" a="1"/>
  <c r="E55" i="54" a="1"/>
  <c r="E55" i="59" a="1"/>
  <c r="E55" i="49" a="1"/>
  <c r="E55" i="48" a="1"/>
  <c r="E48" i="19" a="1"/>
  <c r="E48" i="19" s="1"/>
  <c r="E48" i="31" a="1"/>
  <c r="E48" i="31" s="1"/>
  <c r="E48" i="51" a="1"/>
  <c r="E48" i="51" s="1"/>
  <c r="E48" i="66" a="1"/>
  <c r="E48" i="66" s="1"/>
  <c r="E48" i="53" a="1"/>
  <c r="E48" i="53" s="1"/>
  <c r="E48" i="56" a="1"/>
  <c r="E48" i="56" s="1"/>
  <c r="E48" i="60" a="1"/>
  <c r="E48" i="60" s="1"/>
  <c r="E48" i="63" a="1"/>
  <c r="E48" i="63" s="1"/>
  <c r="E48" i="74" a="1"/>
  <c r="E48" i="74" s="1"/>
  <c r="E48" i="90" a="1"/>
  <c r="E48" i="90" s="1"/>
  <c r="E55" i="39" a="1"/>
  <c r="E55" i="60" a="1"/>
  <c r="E55" i="62" a="1"/>
  <c r="E55" i="72" a="1"/>
  <c r="E48" i="30" a="1"/>
  <c r="E48" i="30" s="1"/>
  <c r="E48" i="52" a="1"/>
  <c r="E48" i="52" s="1"/>
  <c r="E48" i="54" a="1"/>
  <c r="E48" i="54" s="1"/>
  <c r="E48" i="44" a="1"/>
  <c r="E48" i="44" s="1"/>
  <c r="E48" i="49" a="1"/>
  <c r="E48" i="49" s="1"/>
  <c r="E48" i="48" a="1"/>
  <c r="E48" i="48" s="1"/>
  <c r="E48" i="27" a="1"/>
  <c r="E48" i="27" s="1"/>
  <c r="E55" i="73" a="1"/>
  <c r="E55" i="32" a="1"/>
  <c r="E55" i="31" a="1"/>
  <c r="E55" i="50" a="1"/>
  <c r="E55" i="51" a="1"/>
  <c r="E55" i="37" a="1"/>
  <c r="E55" i="66" a="1"/>
  <c r="E55" i="53" a="1"/>
  <c r="E55" i="55" a="1"/>
  <c r="E55" i="44" a="1"/>
  <c r="E55" i="70" a="1"/>
  <c r="E55" i="75" a="1"/>
  <c r="E48" i="13" a="1"/>
  <c r="E48" i="13" s="1"/>
  <c r="E48" i="24" a="1"/>
  <c r="E48" i="24" s="1"/>
  <c r="E48" i="25" a="1"/>
  <c r="E48" i="25" s="1"/>
  <c r="E48" i="38" a="1"/>
  <c r="E48" i="38" s="1"/>
  <c r="E48" i="57" a="1"/>
  <c r="E48" i="57" s="1"/>
  <c r="E48" i="45" a="1"/>
  <c r="E48" i="45" s="1"/>
  <c r="E48" i="91" a="1"/>
  <c r="E48" i="91" s="1"/>
  <c r="E47" i="74"/>
  <c r="E45" i="52"/>
  <c r="E43" i="57"/>
  <c r="E42" i="56"/>
  <c r="E45" i="56"/>
  <c r="E43" i="56"/>
  <c r="E47" i="56"/>
  <c r="E23" i="56"/>
  <c r="E47" i="38"/>
  <c r="E43" i="38"/>
  <c r="E42" i="38"/>
  <c r="E45" i="38"/>
  <c r="E23" i="38"/>
  <c r="E45" i="66"/>
  <c r="E43" i="66"/>
  <c r="E47" i="66"/>
  <c r="E41" i="56" a="1"/>
  <c r="E41" i="38" a="1"/>
  <c r="E5" i="80"/>
  <c r="E2" i="56"/>
  <c r="E7" i="56" s="1" a="1"/>
  <c r="E2" i="39"/>
  <c r="E7" i="39" s="1" a="1"/>
  <c r="E2" i="50"/>
  <c r="E7" i="50" s="1" a="1"/>
  <c r="E2" i="32"/>
  <c r="E7" i="32" s="1" a="1"/>
  <c r="E2" i="33"/>
  <c r="E7" i="33" s="1" a="1"/>
  <c r="E2" i="63"/>
  <c r="E7" i="63" s="1" a="1"/>
  <c r="E42" i="79"/>
  <c r="Q6" i="9"/>
  <c r="B4" i="69"/>
  <c r="V6" i="9"/>
  <c r="B40" i="69"/>
  <c r="D4" i="96" a="1"/>
  <c r="FF4" i="69" a="1"/>
  <c r="FF4" i="69" s="1"/>
  <c r="C58" i="100"/>
  <c r="C58" i="99"/>
  <c r="L40" i="5"/>
  <c r="BC40" i="5"/>
  <c r="BB40" i="5"/>
  <c r="N20" i="85"/>
  <c r="BD40" i="5"/>
  <c r="AZ40" i="5"/>
  <c r="AX40" i="5"/>
  <c r="AW40" i="5"/>
  <c r="AU40" i="5"/>
  <c r="AR40" i="5"/>
  <c r="AP40" i="5"/>
  <c r="AN40" i="5"/>
  <c r="AL40" i="5"/>
  <c r="AJ40" i="5"/>
  <c r="AG40" i="5"/>
  <c r="AF40" i="5"/>
  <c r="AD40" i="5"/>
  <c r="AB40" i="5"/>
  <c r="Z40" i="5"/>
  <c r="X40" i="5"/>
  <c r="V40" i="5"/>
  <c r="S40" i="5"/>
  <c r="R40" i="5"/>
  <c r="O40" i="5"/>
  <c r="M40" i="5"/>
  <c r="J40" i="5"/>
  <c r="H40" i="5"/>
  <c r="F40" i="5"/>
  <c r="BA40" i="5"/>
  <c r="AY40" i="5"/>
  <c r="AV40" i="5"/>
  <c r="AT40" i="5"/>
  <c r="AQ40" i="5"/>
  <c r="AO40" i="5"/>
  <c r="AM40" i="5"/>
  <c r="AK40" i="5"/>
  <c r="AI40" i="5"/>
  <c r="AH40" i="5"/>
  <c r="AE40" i="5"/>
  <c r="AC40" i="5"/>
  <c r="AA40" i="5"/>
  <c r="Y40" i="5"/>
  <c r="W40" i="5"/>
  <c r="U40" i="5"/>
  <c r="T40" i="5"/>
  <c r="Q40" i="5"/>
  <c r="P40" i="5"/>
  <c r="N40" i="5"/>
  <c r="K40" i="5"/>
  <c r="I40" i="5"/>
  <c r="G40" i="5"/>
  <c r="E40" i="5"/>
  <c r="E49" i="77" a="1"/>
  <c r="E49" i="81" a="1"/>
  <c r="E48" i="81" a="1"/>
  <c r="E47" i="81" a="1"/>
  <c r="E46" i="81" a="1"/>
  <c r="E45" i="81" a="1"/>
  <c r="E44" i="81" a="1"/>
  <c r="E43" i="81" a="1"/>
  <c r="E42" i="81" a="1"/>
  <c r="E49" i="80" a="1"/>
  <c r="E48" i="80" a="1"/>
  <c r="E47" i="80" a="1"/>
  <c r="E46" i="80" a="1"/>
  <c r="E45" i="80" a="1"/>
  <c r="E44" i="80" a="1"/>
  <c r="E43" i="80" a="1"/>
  <c r="E42" i="80" a="1"/>
  <c r="E49" i="79" a="1"/>
  <c r="E48" i="79" a="1"/>
  <c r="E47" i="79" a="1"/>
  <c r="E46" i="79" a="1"/>
  <c r="E45" i="79" a="1"/>
  <c r="E44" i="79" a="1"/>
  <c r="E43" i="79" a="1"/>
  <c r="E44" i="77" a="1"/>
  <c r="I4" i="69" a="1"/>
  <c r="E45" i="77" a="1"/>
  <c r="E47" i="77" a="1"/>
  <c r="E42" i="77" a="1"/>
  <c r="E43" i="77" a="1"/>
  <c r="E46" i="77" a="1"/>
  <c r="E48" i="77" a="1"/>
  <c r="C58" i="78"/>
  <c r="D3" i="18"/>
  <c r="D31" i="5"/>
  <c r="D40" i="5" s="1"/>
  <c r="E36" i="17" a="1"/>
  <c r="E7" i="29" l="1"/>
  <c r="E7" i="13"/>
  <c r="E7" i="52"/>
  <c r="E7" i="19"/>
  <c r="E7" i="25"/>
  <c r="E7" i="88"/>
  <c r="E35" i="77" a="1"/>
  <c r="E35" i="77" s="1"/>
  <c r="E6" i="29" a="1"/>
  <c r="E44" i="29" a="1"/>
  <c r="E44" i="29" s="1"/>
  <c r="E40" i="29" a="1"/>
  <c r="E40" i="29" s="1"/>
  <c r="E21" i="29" a="1"/>
  <c r="E46" i="29" a="1"/>
  <c r="E46" i="29" s="1"/>
  <c r="E33" i="29" a="1"/>
  <c r="E33" i="29" s="1"/>
  <c r="E35" i="29" s="1" a="1"/>
  <c r="E35" i="29" s="1"/>
  <c r="E22" i="39" a="1"/>
  <c r="E22" i="39" s="1"/>
  <c r="D22" i="39" s="1"/>
  <c r="E22" i="49" a="1"/>
  <c r="E22" i="49" s="1"/>
  <c r="D22" i="49" s="1"/>
  <c r="E22" i="67" a="1"/>
  <c r="E22" i="67" s="1"/>
  <c r="D22" i="67" s="1"/>
  <c r="E22" i="57" a="1"/>
  <c r="E22" i="57" s="1"/>
  <c r="D22" i="57" s="1"/>
  <c r="E22" i="38" a="1"/>
  <c r="E22" i="38" s="1"/>
  <c r="D22" i="38" s="1"/>
  <c r="E22" i="52" a="1"/>
  <c r="E22" i="52" s="1"/>
  <c r="D22" i="52" s="1"/>
  <c r="E6" i="52" a="1"/>
  <c r="E44" i="52" a="1"/>
  <c r="E44" i="52" s="1"/>
  <c r="E40" i="52" a="1"/>
  <c r="E40" i="52" s="1"/>
  <c r="E21" i="52" a="1"/>
  <c r="E46" i="52" a="1"/>
  <c r="E46" i="52" s="1"/>
  <c r="E33" i="52" a="1"/>
  <c r="E33" i="52" s="1"/>
  <c r="E35" i="52" s="1" a="1"/>
  <c r="E35" i="52" s="1"/>
  <c r="E22" i="23" a="1"/>
  <c r="E22" i="23" s="1"/>
  <c r="D22" i="23" s="1"/>
  <c r="E22" i="54" a="1"/>
  <c r="E22" i="54" s="1"/>
  <c r="D22" i="54" s="1"/>
  <c r="E22" i="90" a="1"/>
  <c r="E22" i="90" s="1"/>
  <c r="D22" i="90" s="1"/>
  <c r="E22" i="88" a="1"/>
  <c r="E22" i="88" s="1"/>
  <c r="D22" i="88" s="1"/>
  <c r="E22" i="72" a="1"/>
  <c r="E22" i="72" s="1"/>
  <c r="D22" i="72" s="1"/>
  <c r="E22" i="71" a="1"/>
  <c r="E22" i="71" s="1"/>
  <c r="D22" i="71" s="1"/>
  <c r="E22" i="70" a="1"/>
  <c r="E22" i="70" s="1"/>
  <c r="D22" i="70" s="1"/>
  <c r="E22" i="61" a="1"/>
  <c r="E22" i="61" s="1"/>
  <c r="D22" i="61" s="1"/>
  <c r="E22" i="45" a="1"/>
  <c r="E22" i="45" s="1"/>
  <c r="D22" i="45" s="1"/>
  <c r="E22" i="44" a="1"/>
  <c r="E22" i="44" s="1"/>
  <c r="D22" i="44" s="1"/>
  <c r="E22" i="66" a="1"/>
  <c r="E22" i="66" s="1"/>
  <c r="D22" i="66" s="1"/>
  <c r="E22" i="65" a="1"/>
  <c r="E22" i="65" s="1"/>
  <c r="D22" i="65" s="1"/>
  <c r="E22" i="25" a="1"/>
  <c r="E22" i="25" s="1"/>
  <c r="D22" i="25" s="1"/>
  <c r="E22" i="30" a="1"/>
  <c r="E22" i="30" s="1"/>
  <c r="D22" i="30" s="1"/>
  <c r="E22" i="75" a="1"/>
  <c r="E22" i="75" s="1"/>
  <c r="D22" i="75" s="1"/>
  <c r="E22" i="62" a="1"/>
  <c r="E22" i="62" s="1"/>
  <c r="D22" i="62" s="1"/>
  <c r="E22" i="55" a="1"/>
  <c r="E22" i="55" s="1"/>
  <c r="D22" i="55" s="1"/>
  <c r="E22" i="27" a="1"/>
  <c r="E22" i="27" s="1"/>
  <c r="D22" i="27" s="1"/>
  <c r="E22" i="89" a="1"/>
  <c r="E22" i="89" s="1"/>
  <c r="D22" i="89" s="1"/>
  <c r="E22" i="24" a="1"/>
  <c r="E22" i="24" s="1"/>
  <c r="D22" i="24" s="1"/>
  <c r="E22" i="13" a="1"/>
  <c r="E22" i="13" s="1"/>
  <c r="D22" i="13" s="1"/>
  <c r="E22" i="56" a="1"/>
  <c r="E22" i="56" s="1"/>
  <c r="D22" i="56" s="1"/>
  <c r="E21" i="45" a="1"/>
  <c r="E21" i="45" s="1"/>
  <c r="E6" i="45" a="1"/>
  <c r="E6" i="45" s="1"/>
  <c r="E44" i="45" a="1"/>
  <c r="E44" i="45" s="1"/>
  <c r="E40" i="45" a="1"/>
  <c r="E40" i="45" s="1"/>
  <c r="E46" i="45" a="1"/>
  <c r="E46" i="45" s="1"/>
  <c r="E33" i="45" a="1"/>
  <c r="E33" i="45" s="1"/>
  <c r="E35" i="45" s="1" a="1"/>
  <c r="E35" i="45" s="1"/>
  <c r="E33" i="13" a="1"/>
  <c r="E33" i="13" s="1"/>
  <c r="E35" i="13" s="1" a="1"/>
  <c r="E35" i="13" s="1"/>
  <c r="E6" i="13" a="1"/>
  <c r="E35" i="79" a="1"/>
  <c r="E35" i="79" s="1"/>
  <c r="E35" i="81" a="1"/>
  <c r="E35" i="81" s="1"/>
  <c r="E35" i="80" a="1"/>
  <c r="E35" i="80" s="1"/>
  <c r="E33" i="25" a="1"/>
  <c r="E33" i="25" s="1"/>
  <c r="E35" i="25" s="1" a="1"/>
  <c r="E35" i="25" s="1"/>
  <c r="E40" i="25" a="1"/>
  <c r="E40" i="25" s="1"/>
  <c r="E6" i="25" a="1"/>
  <c r="E44" i="25" a="1"/>
  <c r="E44" i="25" s="1"/>
  <c r="E21" i="25" a="1"/>
  <c r="E46" i="25" a="1"/>
  <c r="E46" i="25" s="1"/>
  <c r="E33" i="19" a="1"/>
  <c r="E33" i="19" s="1"/>
  <c r="E35" i="19" s="1" a="1"/>
  <c r="E35" i="19" s="1"/>
  <c r="E44" i="19" a="1"/>
  <c r="E44" i="19" s="1"/>
  <c r="E33" i="88" a="1"/>
  <c r="E33" i="88" s="1"/>
  <c r="E35" i="88" s="1" a="1"/>
  <c r="E35" i="88" s="1"/>
  <c r="E44" i="88" a="1"/>
  <c r="E44" i="88" s="1"/>
  <c r="E33" i="60" a="1"/>
  <c r="E33" i="60" s="1"/>
  <c r="E35" i="60" s="1" a="1"/>
  <c r="E35" i="60" s="1"/>
  <c r="E44" i="60" a="1"/>
  <c r="E44" i="60" s="1"/>
  <c r="E40" i="60" a="1"/>
  <c r="E40" i="60" s="1"/>
  <c r="E6" i="60" a="1"/>
  <c r="E6" i="60" s="1"/>
  <c r="E21" i="60" a="1"/>
  <c r="E21" i="60" s="1"/>
  <c r="E46" i="60" a="1"/>
  <c r="E46" i="60" s="1"/>
  <c r="E33" i="41" a="1"/>
  <c r="E33" i="41" s="1"/>
  <c r="E35" i="41" s="1" a="1"/>
  <c r="E35" i="41" s="1"/>
  <c r="E6" i="41" a="1"/>
  <c r="E6" i="41" s="1"/>
  <c r="E44" i="41" a="1"/>
  <c r="E44" i="41" s="1"/>
  <c r="E40" i="41" a="1"/>
  <c r="E40" i="41" s="1"/>
  <c r="E21" i="41" a="1"/>
  <c r="E21" i="41" s="1"/>
  <c r="E46" i="41" a="1"/>
  <c r="E46" i="41" s="1"/>
  <c r="E33" i="67" a="1"/>
  <c r="E33" i="67" s="1"/>
  <c r="E35" i="67" s="1" a="1"/>
  <c r="E35" i="67" s="1"/>
  <c r="E40" i="67" a="1"/>
  <c r="E40" i="67" s="1"/>
  <c r="E21" i="67" a="1"/>
  <c r="E21" i="67" s="1"/>
  <c r="E44" i="67" a="1"/>
  <c r="E44" i="67" s="1"/>
  <c r="E6" i="67" a="1"/>
  <c r="E6" i="67" s="1"/>
  <c r="E46" i="67" a="1"/>
  <c r="E46" i="67" s="1"/>
  <c r="E41" i="33" a="1"/>
  <c r="E41" i="33" s="1"/>
  <c r="E22" i="33" a="1"/>
  <c r="E22" i="33" s="1"/>
  <c r="D22" i="33" s="1"/>
  <c r="E21" i="70" a="1"/>
  <c r="E21" i="70" s="1"/>
  <c r="E40" i="70" a="1"/>
  <c r="E40" i="70" s="1"/>
  <c r="E6" i="70" a="1"/>
  <c r="E6" i="70" s="1"/>
  <c r="E46" i="70" a="1"/>
  <c r="E46" i="70" s="1"/>
  <c r="E33" i="70" a="1"/>
  <c r="E33" i="70" s="1"/>
  <c r="E35" i="70" s="1" a="1"/>
  <c r="E35" i="70" s="1"/>
  <c r="E22" i="51" a="1"/>
  <c r="E22" i="51" s="1"/>
  <c r="D22" i="51" s="1"/>
  <c r="E22" i="50" a="1"/>
  <c r="E22" i="50" s="1"/>
  <c r="D22" i="50" s="1"/>
  <c r="E22" i="48" a="1"/>
  <c r="E22" i="48" s="1"/>
  <c r="D22" i="48" s="1"/>
  <c r="E22" i="74" a="1"/>
  <c r="E22" i="74" s="1"/>
  <c r="D22" i="74" s="1"/>
  <c r="E22" i="63" a="1"/>
  <c r="E22" i="63" s="1"/>
  <c r="D22" i="63" s="1"/>
  <c r="E22" i="59" a="1"/>
  <c r="E22" i="59" s="1"/>
  <c r="D22" i="59" s="1"/>
  <c r="E22" i="32" a="1"/>
  <c r="E22" i="32" s="1"/>
  <c r="D22" i="32" s="1"/>
  <c r="E22" i="53" a="1"/>
  <c r="E22" i="53" s="1"/>
  <c r="D22" i="53" s="1"/>
  <c r="E22" i="73" a="1"/>
  <c r="E22" i="73" s="1"/>
  <c r="D22" i="73" s="1"/>
  <c r="E41" i="73" a="1"/>
  <c r="E41" i="73" s="1"/>
  <c r="E22" i="91" a="1"/>
  <c r="E22" i="91" s="1"/>
  <c r="D22" i="91" s="1"/>
  <c r="E22" i="60" a="1"/>
  <c r="E22" i="60" s="1"/>
  <c r="D22" i="60" s="1"/>
  <c r="E22" i="41" a="1"/>
  <c r="E22" i="41" s="1"/>
  <c r="D22" i="41" s="1"/>
  <c r="E22" i="68" a="1"/>
  <c r="E22" i="68" s="1"/>
  <c r="D22" i="68" s="1"/>
  <c r="E22" i="37" a="1"/>
  <c r="E22" i="37" s="1"/>
  <c r="D22" i="37" s="1"/>
  <c r="E22" i="35" a="1"/>
  <c r="E22" i="35" s="1"/>
  <c r="D22" i="35" s="1"/>
  <c r="E22" i="31" a="1"/>
  <c r="E22" i="31" s="1"/>
  <c r="D22" i="31" s="1"/>
  <c r="E22" i="19" a="1"/>
  <c r="E22" i="19" s="1"/>
  <c r="D22" i="19" s="1"/>
  <c r="E22" i="29" a="1"/>
  <c r="E22" i="29" s="1"/>
  <c r="D22" i="29" s="1"/>
  <c r="E55" i="13"/>
  <c r="E55" i="88"/>
  <c r="E55" i="23"/>
  <c r="E55" i="29"/>
  <c r="E55" i="24"/>
  <c r="E55" i="19"/>
  <c r="E55" i="30"/>
  <c r="E55" i="27"/>
  <c r="E55" i="57"/>
  <c r="E55" i="63"/>
  <c r="E55" i="74"/>
  <c r="E55" i="33"/>
  <c r="E55" i="25"/>
  <c r="E55" i="35"/>
  <c r="E55" i="52"/>
  <c r="E55" i="65"/>
  <c r="E55" i="67"/>
  <c r="E55" i="38"/>
  <c r="E55" i="41"/>
  <c r="E55" i="45"/>
  <c r="E55" i="91"/>
  <c r="E55" i="89"/>
  <c r="E55" i="56"/>
  <c r="E55" i="61"/>
  <c r="E55" i="71"/>
  <c r="E55" i="90"/>
  <c r="E55" i="68"/>
  <c r="E55" i="54"/>
  <c r="E55" i="59"/>
  <c r="E55" i="49"/>
  <c r="E55" i="48"/>
  <c r="E55" i="39"/>
  <c r="E55" i="60"/>
  <c r="E55" i="62"/>
  <c r="E55" i="72"/>
  <c r="E55" i="73"/>
  <c r="E55" i="32"/>
  <c r="E55" i="31"/>
  <c r="E55" i="50"/>
  <c r="E55" i="51"/>
  <c r="E55" i="37"/>
  <c r="E55" i="66"/>
  <c r="E55" i="53"/>
  <c r="E55" i="55"/>
  <c r="E55" i="44"/>
  <c r="E55" i="70"/>
  <c r="E55" i="75"/>
  <c r="E41" i="75" a="1"/>
  <c r="E41" i="75" s="1"/>
  <c r="E41" i="91" a="1"/>
  <c r="E41" i="91" s="1"/>
  <c r="E41" i="60" a="1"/>
  <c r="E41" i="60" s="1"/>
  <c r="E41" i="41" a="1"/>
  <c r="E41" i="41" s="1"/>
  <c r="E41" i="68" a="1"/>
  <c r="E41" i="68" s="1"/>
  <c r="E41" i="37" a="1"/>
  <c r="E41" i="37" s="1"/>
  <c r="E41" i="31" a="1"/>
  <c r="E41" i="31" s="1"/>
  <c r="E41" i="19" a="1"/>
  <c r="E41" i="19" s="1"/>
  <c r="E41" i="29" a="1"/>
  <c r="E41" i="29" s="1"/>
  <c r="E56" i="17" a="1"/>
  <c r="E56" i="17" s="1"/>
  <c r="E48" i="17" a="1"/>
  <c r="E48" i="17" s="1"/>
  <c r="E41" i="55"/>
  <c r="E73" i="53" a="1"/>
  <c r="E73" i="53" s="1"/>
  <c r="E41" i="52"/>
  <c r="E7" i="89"/>
  <c r="E33" i="89" s="1" a="1"/>
  <c r="E33" i="89" s="1"/>
  <c r="E35" i="89" s="1" a="1"/>
  <c r="E35" i="89" s="1"/>
  <c r="E7" i="68"/>
  <c r="E33" i="68" s="1" a="1"/>
  <c r="E33" i="68" s="1"/>
  <c r="E35" i="68" s="1" a="1"/>
  <c r="E35" i="68" s="1"/>
  <c r="E41" i="23"/>
  <c r="E41" i="88"/>
  <c r="E41" i="13"/>
  <c r="E41" i="27"/>
  <c r="E41" i="25"/>
  <c r="E73" i="25" a="1"/>
  <c r="E73" i="25" s="1"/>
  <c r="E7" i="59"/>
  <c r="E33" i="59" s="1" a="1"/>
  <c r="E33" i="59" s="1"/>
  <c r="E35" i="59" s="1" a="1"/>
  <c r="E35" i="59" s="1"/>
  <c r="E7" i="71"/>
  <c r="E7" i="55"/>
  <c r="E41" i="54"/>
  <c r="E41" i="53"/>
  <c r="E41" i="65"/>
  <c r="E7" i="65"/>
  <c r="E33" i="65" s="1" a="1"/>
  <c r="E33" i="65" s="1"/>
  <c r="E35" i="65" s="1" a="1"/>
  <c r="E35" i="65" s="1"/>
  <c r="E7" i="39"/>
  <c r="E33" i="39" s="1" a="1"/>
  <c r="E33" i="39" s="1"/>
  <c r="E35" i="39" s="1" a="1"/>
  <c r="E35" i="39" s="1"/>
  <c r="E7" i="30"/>
  <c r="E41" i="35"/>
  <c r="E41" i="67"/>
  <c r="E41" i="44"/>
  <c r="E41" i="59"/>
  <c r="E7" i="61"/>
  <c r="E21" i="61" s="1" a="1"/>
  <c r="E41" i="48"/>
  <c r="E41" i="74"/>
  <c r="E41" i="70"/>
  <c r="E44" i="70"/>
  <c r="E41" i="63"/>
  <c r="E41" i="61"/>
  <c r="E41" i="45"/>
  <c r="E7" i="24"/>
  <c r="E6" i="24" s="1" a="1"/>
  <c r="E7" i="66"/>
  <c r="E41" i="30"/>
  <c r="E41" i="24"/>
  <c r="E41" i="89"/>
  <c r="E41" i="72"/>
  <c r="E41" i="71"/>
  <c r="E41" i="49"/>
  <c r="E41" i="62"/>
  <c r="E41" i="57"/>
  <c r="E41" i="56"/>
  <c r="E41" i="39"/>
  <c r="E41" i="38"/>
  <c r="E73" i="38" a="1"/>
  <c r="E73" i="38" s="1"/>
  <c r="E41" i="66"/>
  <c r="E41" i="51"/>
  <c r="E41" i="50"/>
  <c r="E41" i="32"/>
  <c r="E7" i="75"/>
  <c r="E6" i="75" s="1" a="1"/>
  <c r="E7" i="91"/>
  <c r="E6" i="91" s="1" a="1"/>
  <c r="E7" i="54"/>
  <c r="E7" i="56"/>
  <c r="E7" i="44"/>
  <c r="E7" i="37"/>
  <c r="E7" i="35"/>
  <c r="E21" i="35" s="1" a="1"/>
  <c r="E7" i="31"/>
  <c r="E7" i="23"/>
  <c r="E7" i="74"/>
  <c r="E7" i="27"/>
  <c r="E33" i="27" s="1" a="1"/>
  <c r="E33" i="27" s="1"/>
  <c r="E35" i="27" s="1" a="1"/>
  <c r="E35" i="27" s="1"/>
  <c r="E7" i="48"/>
  <c r="E33" i="48" s="1" a="1"/>
  <c r="E33" i="48" s="1"/>
  <c r="E35" i="48" s="1" a="1"/>
  <c r="E35" i="48" s="1"/>
  <c r="E7" i="49"/>
  <c r="E7" i="62"/>
  <c r="E21" i="62" s="1" a="1"/>
  <c r="E7" i="50"/>
  <c r="E33" i="50" s="1" a="1"/>
  <c r="E33" i="50" s="1"/>
  <c r="E35" i="50" s="1" a="1"/>
  <c r="E35" i="50" s="1"/>
  <c r="E7" i="32"/>
  <c r="E33" i="32" s="1" a="1"/>
  <c r="E33" i="32" s="1"/>
  <c r="E35" i="32" s="1" a="1"/>
  <c r="E35" i="32" s="1"/>
  <c r="E7" i="57"/>
  <c r="E33" i="57" s="1" a="1"/>
  <c r="E33" i="57" s="1"/>
  <c r="E35" i="57" s="1" a="1"/>
  <c r="E35" i="57" s="1"/>
  <c r="E7" i="51"/>
  <c r="E33" i="51" s="1" a="1"/>
  <c r="E33" i="51" s="1"/>
  <c r="E35" i="51" s="1" a="1"/>
  <c r="E35" i="51" s="1"/>
  <c r="E7" i="53"/>
  <c r="E33" i="53" s="1" a="1"/>
  <c r="E33" i="53" s="1"/>
  <c r="E35" i="53" s="1" a="1"/>
  <c r="E35" i="53" s="1"/>
  <c r="E7" i="33"/>
  <c r="E33" i="33" s="1" a="1"/>
  <c r="E33" i="33" s="1"/>
  <c r="E35" i="33" s="1" a="1"/>
  <c r="E35" i="33" s="1"/>
  <c r="E7" i="72"/>
  <c r="E7" i="63"/>
  <c r="E21" i="63" s="1" a="1"/>
  <c r="E7" i="38"/>
  <c r="E41" i="90"/>
  <c r="E7" i="90"/>
  <c r="E7" i="73"/>
  <c r="E6" i="73" s="1" a="1"/>
  <c r="E44" i="73" a="1"/>
  <c r="E44" i="75" a="1"/>
  <c r="E44" i="91" a="1"/>
  <c r="E44" i="37" a="1"/>
  <c r="E44" i="35" a="1"/>
  <c r="E44" i="31" a="1"/>
  <c r="E44" i="23" a="1"/>
  <c r="E44" i="74" a="1"/>
  <c r="E6" i="27" a="1"/>
  <c r="E40" i="27" a="1"/>
  <c r="E21" i="27" a="1"/>
  <c r="E44" i="27" a="1"/>
  <c r="E46" i="27" a="1"/>
  <c r="E44" i="54" a="1"/>
  <c r="E46" i="54" a="1"/>
  <c r="E44" i="90" a="1"/>
  <c r="E6" i="48" a="1"/>
  <c r="E44" i="48" a="1"/>
  <c r="E40" i="48" a="1"/>
  <c r="E21" i="48" a="1"/>
  <c r="E46" i="48" a="1"/>
  <c r="E6" i="59" a="1"/>
  <c r="E44" i="59" a="1"/>
  <c r="E40" i="59" a="1"/>
  <c r="E21" i="59" a="1"/>
  <c r="E46" i="59" a="1"/>
  <c r="E44" i="65" a="1"/>
  <c r="E21" i="65" a="1"/>
  <c r="E46" i="65" a="1"/>
  <c r="E44" i="24" a="1"/>
  <c r="E44" i="89" a="1"/>
  <c r="E44" i="71" a="1"/>
  <c r="E40" i="71" a="1"/>
  <c r="E21" i="71" a="1"/>
  <c r="E46" i="71" a="1"/>
  <c r="E44" i="49" a="1"/>
  <c r="E40" i="49" a="1"/>
  <c r="E6" i="49" a="1"/>
  <c r="E21" i="49" a="1"/>
  <c r="E44" i="56" a="1"/>
  <c r="E21" i="56" a="1"/>
  <c r="E46" i="56" a="1"/>
  <c r="E44" i="39" a="1"/>
  <c r="E40" i="39" a="1"/>
  <c r="E6" i="39" a="1"/>
  <c r="E21" i="39" a="1"/>
  <c r="E46" i="39" a="1"/>
  <c r="E40" i="50" a="1"/>
  <c r="E44" i="50" a="1"/>
  <c r="E6" i="50" a="1"/>
  <c r="E21" i="50" a="1"/>
  <c r="E46" i="50" a="1"/>
  <c r="E40" i="32" a="1"/>
  <c r="E6" i="32" a="1"/>
  <c r="E44" i="32" a="1"/>
  <c r="E21" i="32" a="1"/>
  <c r="E46" i="32" a="1"/>
  <c r="E6" i="57" a="1"/>
  <c r="E44" i="57" a="1"/>
  <c r="E40" i="57" a="1"/>
  <c r="E21" i="57" a="1"/>
  <c r="E46" i="57" a="1"/>
  <c r="E6" i="51" a="1"/>
  <c r="E44" i="51" a="1"/>
  <c r="E40" i="51" a="1"/>
  <c r="E21" i="51" a="1"/>
  <c r="E46" i="51" a="1"/>
  <c r="E6" i="53" a="1"/>
  <c r="E44" i="53" a="1"/>
  <c r="E40" i="53" a="1"/>
  <c r="E21" i="53" a="1"/>
  <c r="E46" i="53" a="1"/>
  <c r="E44" i="33" a="1"/>
  <c r="E40" i="33" a="1"/>
  <c r="E6" i="33" a="1"/>
  <c r="E21" i="33" a="1"/>
  <c r="E46" i="33" a="1"/>
  <c r="E6" i="72" a="1"/>
  <c r="E44" i="72" a="1"/>
  <c r="E44" i="63" a="1"/>
  <c r="E44" i="66" a="1"/>
  <c r="E44" i="61" a="1"/>
  <c r="E44" i="38" a="1"/>
  <c r="E44" i="62" a="1"/>
  <c r="E44" i="55" a="1"/>
  <c r="E44" i="68" a="1"/>
  <c r="E44" i="44" a="1"/>
  <c r="E44" i="30" a="1"/>
  <c r="E22" i="79" a="1"/>
  <c r="E22" i="79" s="1"/>
  <c r="E22" i="22" a="1"/>
  <c r="E22" i="81" a="1"/>
  <c r="E22" i="80" a="1"/>
  <c r="E22" i="77" a="1"/>
  <c r="E69" i="91" a="1"/>
  <c r="E69" i="89" a="1"/>
  <c r="E69" i="90" a="1"/>
  <c r="E69" i="88" a="1"/>
  <c r="D4" i="96"/>
  <c r="AQ21" i="26" a="1"/>
  <c r="AQ21" i="26" s="1"/>
  <c r="AR21" i="26" a="1"/>
  <c r="AR21" i="26" s="1"/>
  <c r="AP65" i="26" a="1"/>
  <c r="AP65" i="26" s="1"/>
  <c r="AP21" i="26" a="1"/>
  <c r="AP21" i="26" s="1"/>
  <c r="K10" i="84"/>
  <c r="L10" i="84"/>
  <c r="J10" i="84"/>
  <c r="P10" i="84"/>
  <c r="O10" i="84"/>
  <c r="N10" i="84"/>
  <c r="E61" i="34" a="1"/>
  <c r="E61" i="34" s="1"/>
  <c r="C58" i="26"/>
  <c r="E49" i="77"/>
  <c r="E49" i="81"/>
  <c r="E48" i="81"/>
  <c r="E47" i="81"/>
  <c r="E46" i="81"/>
  <c r="E45" i="81"/>
  <c r="E44" i="81"/>
  <c r="E43" i="81"/>
  <c r="E42" i="81"/>
  <c r="E49" i="80"/>
  <c r="E48" i="80"/>
  <c r="E47" i="80"/>
  <c r="E46" i="80"/>
  <c r="E45" i="80"/>
  <c r="E44" i="80"/>
  <c r="E43" i="80"/>
  <c r="E42" i="80"/>
  <c r="E49" i="79"/>
  <c r="E48" i="79"/>
  <c r="E47" i="79"/>
  <c r="E46" i="79"/>
  <c r="E45" i="79"/>
  <c r="E44" i="79"/>
  <c r="E43" i="79"/>
  <c r="E44" i="77"/>
  <c r="E45" i="77"/>
  <c r="E47" i="77"/>
  <c r="E42" i="77"/>
  <c r="E43" i="77"/>
  <c r="E46" i="77"/>
  <c r="E48" i="77"/>
  <c r="E36" i="22" a="1"/>
  <c r="I4" i="69"/>
  <c r="S10" i="85"/>
  <c r="T10" i="85"/>
  <c r="K10" i="85"/>
  <c r="L10" i="85"/>
  <c r="O10" i="85"/>
  <c r="P10" i="85"/>
  <c r="E36" i="17"/>
  <c r="E37" i="17" s="1" a="1"/>
  <c r="AR18" i="85" l="1" a="1"/>
  <c r="AR18" i="85" s="1"/>
  <c r="AQ30" i="85" a="1"/>
  <c r="AQ30" i="85" s="1"/>
  <c r="AQ24" i="85" a="1"/>
  <c r="AQ24" i="85" s="1"/>
  <c r="AR21" i="85" a="1"/>
  <c r="AR21" i="85" s="1"/>
  <c r="AP24" i="85" a="1"/>
  <c r="AP24" i="85" s="1"/>
  <c r="AR44" i="85" a="1"/>
  <c r="AR44" i="85" s="1"/>
  <c r="AR42" i="85" a="1"/>
  <c r="AR42" i="85" s="1"/>
  <c r="AR41" i="85" a="1"/>
  <c r="AR41" i="85" s="1"/>
  <c r="AR40" i="85" a="1"/>
  <c r="AR40" i="85" s="1"/>
  <c r="AR39" i="85" a="1"/>
  <c r="AR39" i="85" s="1"/>
  <c r="AR36" i="85" a="1"/>
  <c r="AR36" i="85" s="1"/>
  <c r="AQ35" i="85" a="1"/>
  <c r="AQ35" i="85" s="1"/>
  <c r="AQ18" i="85" a="1"/>
  <c r="AQ18" i="85" s="1"/>
  <c r="AR28" i="85" a="1"/>
  <c r="AR28" i="85" s="1"/>
  <c r="AR23" i="85" a="1"/>
  <c r="AR23" i="85" s="1"/>
  <c r="AP31" i="85" a="1"/>
  <c r="AP31" i="85" s="1"/>
  <c r="AP22" i="85" a="1"/>
  <c r="AP22" i="85" s="1"/>
  <c r="AP44" i="85" a="1"/>
  <c r="AP44" i="85" s="1"/>
  <c r="AP42" i="85" a="1"/>
  <c r="AP42" i="85" s="1"/>
  <c r="AP41" i="85" a="1"/>
  <c r="AP41" i="85" s="1"/>
  <c r="AP40" i="85" a="1"/>
  <c r="AP40" i="85" s="1"/>
  <c r="AQ39" i="85" a="1"/>
  <c r="AQ39" i="85" s="1"/>
  <c r="AQ36" i="85" a="1"/>
  <c r="AQ36" i="85" s="1"/>
  <c r="AP35" i="85" a="1"/>
  <c r="AP35" i="85" s="1"/>
  <c r="AP18" i="85" a="1"/>
  <c r="AP18" i="85" s="1"/>
  <c r="AQ28" i="85" a="1"/>
  <c r="AQ28" i="85" s="1"/>
  <c r="AQ23" i="85" a="1"/>
  <c r="AQ23" i="85" s="1"/>
  <c r="AP30" i="85" a="1"/>
  <c r="AP30" i="85" s="1"/>
  <c r="AR51" i="85" a="1"/>
  <c r="AR51" i="85" s="1"/>
  <c r="AR43" i="85" a="1"/>
  <c r="AR43" i="85" s="1"/>
  <c r="AP37" i="85" a="1"/>
  <c r="AP37" i="85" s="1"/>
  <c r="AR35" i="85" a="1"/>
  <c r="AR35" i="85" s="1"/>
  <c r="AR30" i="85" a="1"/>
  <c r="AR30" i="85" s="1"/>
  <c r="AR24" i="85" a="1"/>
  <c r="AR24" i="85" s="1"/>
  <c r="AQ22" i="85" a="1"/>
  <c r="AQ22" i="85" s="1"/>
  <c r="AP25" i="85" a="1"/>
  <c r="AP25" i="85" s="1"/>
  <c r="AP51" i="85" a="1"/>
  <c r="AP51" i="85" s="1"/>
  <c r="AP43" i="85" a="1"/>
  <c r="AP43" i="85" s="1"/>
  <c r="AR31" i="85" a="1"/>
  <c r="AR31" i="85" s="1"/>
  <c r="AQ25" i="85" a="1"/>
  <c r="AQ25" i="85" s="1"/>
  <c r="AQ21" i="85" a="1"/>
  <c r="AQ21" i="85" s="1"/>
  <c r="AP23" i="85" a="1"/>
  <c r="AP23" i="85" s="1"/>
  <c r="AQ44" i="85" a="1"/>
  <c r="AQ44" i="85" s="1"/>
  <c r="AQ42" i="85" a="1"/>
  <c r="AQ42" i="85" s="1"/>
  <c r="AQ41" i="85" a="1"/>
  <c r="AQ41" i="85" s="1"/>
  <c r="AQ40" i="85" a="1"/>
  <c r="AQ40" i="85" s="1"/>
  <c r="AP39" i="85" a="1"/>
  <c r="AP39" i="85" s="1"/>
  <c r="AP36" i="85" a="1"/>
  <c r="AP36" i="85" s="1"/>
  <c r="AR38" i="85" a="1"/>
  <c r="AR38" i="85" s="1"/>
  <c r="AQ38" i="85" a="1"/>
  <c r="AQ38" i="85" s="1"/>
  <c r="AP38" i="85" a="1"/>
  <c r="AP38" i="85" s="1"/>
  <c r="AR37" i="85" a="1"/>
  <c r="AR37" i="85" s="1"/>
  <c r="AQ31" i="85" a="1"/>
  <c r="AQ31" i="85" s="1"/>
  <c r="AR25" i="85" a="1"/>
  <c r="AR25" i="85" s="1"/>
  <c r="AR22" i="85" a="1"/>
  <c r="AR22" i="85" s="1"/>
  <c r="AP28" i="85" a="1"/>
  <c r="AP28" i="85" s="1"/>
  <c r="AQ51" i="85" a="1"/>
  <c r="AQ51" i="85" s="1"/>
  <c r="AQ43" i="85" a="1"/>
  <c r="AQ43" i="85" s="1"/>
  <c r="AQ37" i="85" a="1"/>
  <c r="AQ37" i="85" s="1"/>
  <c r="AP21" i="85" a="1"/>
  <c r="AP21" i="85" s="1"/>
  <c r="E6" i="29"/>
  <c r="E21" i="29"/>
  <c r="E44" i="13" a="1"/>
  <c r="E44" i="13" s="1"/>
  <c r="E46" i="13" a="1"/>
  <c r="E46" i="13" s="1"/>
  <c r="E21" i="13" a="1"/>
  <c r="E21" i="13" s="1"/>
  <c r="E40" i="13" a="1"/>
  <c r="E40" i="13" s="1"/>
  <c r="E6" i="19" a="1"/>
  <c r="E6" i="19" s="1"/>
  <c r="E46" i="19" a="1"/>
  <c r="E46" i="19" s="1"/>
  <c r="E6" i="88" a="1"/>
  <c r="E6" i="88" s="1"/>
  <c r="E40" i="88" a="1"/>
  <c r="E40" i="88" s="1"/>
  <c r="E21" i="19" a="1"/>
  <c r="E21" i="19" s="1"/>
  <c r="E40" i="19" a="1"/>
  <c r="E40" i="19" s="1"/>
  <c r="E21" i="73" a="1"/>
  <c r="E40" i="73" a="1"/>
  <c r="E40" i="73" s="1"/>
  <c r="E40" i="30" a="1"/>
  <c r="E40" i="30" s="1"/>
  <c r="E21" i="30" a="1"/>
  <c r="E46" i="30" a="1"/>
  <c r="E46" i="30" s="1"/>
  <c r="E33" i="73" a="1"/>
  <c r="E33" i="73" s="1"/>
  <c r="E35" i="73" s="1" a="1"/>
  <c r="E35" i="73" s="1"/>
  <c r="E46" i="73" a="1"/>
  <c r="E46" i="73" s="1"/>
  <c r="E6" i="52"/>
  <c r="E21" i="52"/>
  <c r="E33" i="31" a="1"/>
  <c r="E33" i="31" s="1"/>
  <c r="E35" i="31" s="1" a="1"/>
  <c r="E35" i="31" s="1"/>
  <c r="E40" i="31" a="1"/>
  <c r="E40" i="31" s="1"/>
  <c r="E6" i="31" a="1"/>
  <c r="E21" i="31" a="1"/>
  <c r="E46" i="31" a="1"/>
  <c r="E46" i="31" s="1"/>
  <c r="E33" i="30" a="1"/>
  <c r="E33" i="30" s="1"/>
  <c r="E35" i="30" s="1" a="1"/>
  <c r="E35" i="30" s="1"/>
  <c r="E6" i="30" a="1"/>
  <c r="E21" i="75" a="1"/>
  <c r="E21" i="75" s="1"/>
  <c r="E40" i="75" a="1"/>
  <c r="E40" i="75" s="1"/>
  <c r="E33" i="75" a="1"/>
  <c r="E33" i="75" s="1"/>
  <c r="E35" i="75" s="1" a="1"/>
  <c r="E35" i="75" s="1"/>
  <c r="E46" i="75" a="1"/>
  <c r="E46" i="75" s="1"/>
  <c r="E6" i="25"/>
  <c r="E21" i="25"/>
  <c r="E40" i="91" a="1"/>
  <c r="E40" i="91" s="1"/>
  <c r="E46" i="91" a="1"/>
  <c r="E46" i="91" s="1"/>
  <c r="E21" i="37" a="1"/>
  <c r="E46" i="37" a="1"/>
  <c r="E46" i="37" s="1"/>
  <c r="E33" i="35" a="1"/>
  <c r="E33" i="35" s="1"/>
  <c r="E35" i="35" s="1" a="1"/>
  <c r="E35" i="35" s="1"/>
  <c r="E6" i="35" a="1"/>
  <c r="E46" i="35" a="1"/>
  <c r="E46" i="35" s="1"/>
  <c r="E40" i="35" a="1"/>
  <c r="E40" i="35" s="1"/>
  <c r="E33" i="37" a="1"/>
  <c r="E33" i="37" s="1"/>
  <c r="E35" i="37" s="1" a="1"/>
  <c r="E35" i="37" s="1"/>
  <c r="E6" i="37" a="1"/>
  <c r="E40" i="37" a="1"/>
  <c r="E40" i="37" s="1"/>
  <c r="E33" i="72" a="1"/>
  <c r="E33" i="72" s="1"/>
  <c r="E35" i="72" s="1" a="1"/>
  <c r="E35" i="72" s="1"/>
  <c r="E40" i="72" a="1"/>
  <c r="E40" i="72" s="1"/>
  <c r="E21" i="88" a="1"/>
  <c r="E46" i="88" a="1"/>
  <c r="E46" i="88" s="1"/>
  <c r="E6" i="13"/>
  <c r="E33" i="91" a="1"/>
  <c r="E33" i="91" s="1"/>
  <c r="E35" i="91" s="1" a="1"/>
  <c r="E35" i="91" s="1"/>
  <c r="E21" i="91" a="1"/>
  <c r="E21" i="91" s="1"/>
  <c r="E6" i="63" a="1"/>
  <c r="E6" i="63" s="1"/>
  <c r="E40" i="63" a="1"/>
  <c r="E40" i="63" s="1"/>
  <c r="E40" i="66" a="1"/>
  <c r="E40" i="66" s="1"/>
  <c r="E6" i="66" a="1"/>
  <c r="E6" i="66" s="1"/>
  <c r="E21" i="66" a="1"/>
  <c r="E21" i="66" s="1"/>
  <c r="E33" i="63" a="1"/>
  <c r="E33" i="63" s="1"/>
  <c r="E35" i="63" s="1" a="1"/>
  <c r="E35" i="63" s="1"/>
  <c r="E46" i="63" a="1"/>
  <c r="E46" i="63" s="1"/>
  <c r="E33" i="66" a="1"/>
  <c r="E33" i="66" s="1"/>
  <c r="E35" i="66" s="1" a="1"/>
  <c r="E35" i="66" s="1"/>
  <c r="E46" i="66" a="1"/>
  <c r="E46" i="66" s="1"/>
  <c r="E6" i="44" a="1"/>
  <c r="E6" i="44" s="1"/>
  <c r="E21" i="44" a="1"/>
  <c r="E21" i="44" s="1"/>
  <c r="E46" i="44" a="1"/>
  <c r="E46" i="44" s="1"/>
  <c r="E40" i="61" a="1"/>
  <c r="E40" i="61" s="1"/>
  <c r="E6" i="61" a="1"/>
  <c r="E6" i="61" s="1"/>
  <c r="E33" i="61" a="1"/>
  <c r="E33" i="61" s="1"/>
  <c r="E35" i="61" s="1" a="1"/>
  <c r="E35" i="61" s="1"/>
  <c r="E46" i="61" a="1"/>
  <c r="E46" i="61" s="1"/>
  <c r="E6" i="62" a="1"/>
  <c r="E6" i="62" s="1"/>
  <c r="E40" i="62" a="1"/>
  <c r="E40" i="62" s="1"/>
  <c r="E33" i="23" a="1"/>
  <c r="E33" i="23" s="1"/>
  <c r="E35" i="23" s="1" a="1"/>
  <c r="E35" i="23" s="1"/>
  <c r="E40" i="23" a="1"/>
  <c r="E40" i="23" s="1"/>
  <c r="E6" i="23" a="1"/>
  <c r="E21" i="23" a="1"/>
  <c r="E46" i="23" a="1"/>
  <c r="E46" i="23" s="1"/>
  <c r="E33" i="74" a="1"/>
  <c r="E33" i="74" s="1"/>
  <c r="E35" i="74" s="1" a="1"/>
  <c r="E35" i="74" s="1"/>
  <c r="E6" i="74" a="1"/>
  <c r="E6" i="74" s="1"/>
  <c r="E40" i="74" a="1"/>
  <c r="E40" i="74" s="1"/>
  <c r="E21" i="74" a="1"/>
  <c r="E21" i="74" s="1"/>
  <c r="E46" i="74" a="1"/>
  <c r="E46" i="74" s="1"/>
  <c r="E33" i="38" a="1"/>
  <c r="E33" i="38" s="1"/>
  <c r="E35" i="38" s="1" a="1"/>
  <c r="E35" i="38" s="1"/>
  <c r="E6" i="38" a="1"/>
  <c r="E6" i="38" s="1"/>
  <c r="E40" i="38" a="1"/>
  <c r="E40" i="38" s="1"/>
  <c r="E21" i="38" a="1"/>
  <c r="E21" i="38" s="1"/>
  <c r="E46" i="38" a="1"/>
  <c r="E46" i="38" s="1"/>
  <c r="E6" i="55" a="1"/>
  <c r="E6" i="55" s="1"/>
  <c r="E46" i="55" a="1"/>
  <c r="E46" i="55" s="1"/>
  <c r="E40" i="55" a="1"/>
  <c r="E40" i="55" s="1"/>
  <c r="E33" i="54" a="1"/>
  <c r="E33" i="54" s="1"/>
  <c r="E35" i="54" s="1" a="1"/>
  <c r="E35" i="54" s="1"/>
  <c r="E6" i="54" a="1"/>
  <c r="E6" i="54" s="1"/>
  <c r="E40" i="54" a="1"/>
  <c r="E40" i="54" s="1"/>
  <c r="E21" i="54" a="1"/>
  <c r="E21" i="54" s="1"/>
  <c r="E33" i="90" a="1"/>
  <c r="E33" i="90" s="1"/>
  <c r="E35" i="90" s="1" a="1"/>
  <c r="E35" i="90" s="1"/>
  <c r="E40" i="90" a="1"/>
  <c r="E40" i="90" s="1"/>
  <c r="E6" i="90" a="1"/>
  <c r="E21" i="90" a="1"/>
  <c r="E46" i="90" a="1"/>
  <c r="E46" i="90" s="1"/>
  <c r="E6" i="71" a="1"/>
  <c r="E6" i="71" s="1"/>
  <c r="E33" i="71" a="1"/>
  <c r="E33" i="71" s="1"/>
  <c r="E35" i="71" s="1" a="1"/>
  <c r="E35" i="71" s="1"/>
  <c r="E21" i="55" a="1"/>
  <c r="E21" i="55" s="1"/>
  <c r="E33" i="55" a="1"/>
  <c r="E33" i="55" s="1"/>
  <c r="E35" i="55" s="1" a="1"/>
  <c r="E35" i="55" s="1"/>
  <c r="E40" i="24" a="1"/>
  <c r="E40" i="24" s="1"/>
  <c r="E33" i="24" a="1"/>
  <c r="E33" i="24" s="1"/>
  <c r="E35" i="24" s="1" a="1"/>
  <c r="E35" i="24" s="1"/>
  <c r="E6" i="56" a="1"/>
  <c r="E6" i="56" s="1"/>
  <c r="E40" i="56" a="1"/>
  <c r="E40" i="56" s="1"/>
  <c r="E33" i="56" a="1"/>
  <c r="E33" i="56" s="1"/>
  <c r="E35" i="56" s="1" a="1"/>
  <c r="E35" i="56" s="1"/>
  <c r="E40" i="44" a="1"/>
  <c r="E40" i="44" s="1"/>
  <c r="E33" i="44" a="1"/>
  <c r="E33" i="44" s="1"/>
  <c r="E35" i="44" s="1" a="1"/>
  <c r="E35" i="44" s="1"/>
  <c r="E46" i="49" a="1"/>
  <c r="E46" i="49" s="1"/>
  <c r="E33" i="49" a="1"/>
  <c r="E33" i="49" s="1"/>
  <c r="E35" i="49" s="1" a="1"/>
  <c r="E35" i="49" s="1"/>
  <c r="E46" i="62" a="1"/>
  <c r="E46" i="62" s="1"/>
  <c r="E33" i="62" a="1"/>
  <c r="E33" i="62" s="1"/>
  <c r="E35" i="62" s="1" a="1"/>
  <c r="E35" i="62" s="1"/>
  <c r="E37" i="70" a="1"/>
  <c r="E73" i="32" a="1"/>
  <c r="E73" i="32" s="1"/>
  <c r="E73" i="89" a="1"/>
  <c r="E73" i="89" s="1"/>
  <c r="E73" i="50" a="1"/>
  <c r="E73" i="50" s="1"/>
  <c r="E73" i="30" a="1"/>
  <c r="E73" i="30" s="1"/>
  <c r="E73" i="73" a="1"/>
  <c r="E73" i="73" s="1"/>
  <c r="E73" i="72" a="1"/>
  <c r="E73" i="72" s="1"/>
  <c r="E73" i="51" a="1"/>
  <c r="E73" i="51" s="1"/>
  <c r="E21" i="89" a="1"/>
  <c r="E46" i="89" a="1"/>
  <c r="E46" i="89" s="1"/>
  <c r="E40" i="68" a="1"/>
  <c r="E40" i="68" s="1"/>
  <c r="E6" i="68" a="1"/>
  <c r="E6" i="68" s="1"/>
  <c r="E21" i="68" a="1"/>
  <c r="E21" i="68" s="1"/>
  <c r="E46" i="68" a="1"/>
  <c r="E46" i="68" s="1"/>
  <c r="E73" i="91" a="1"/>
  <c r="E73" i="91" s="1"/>
  <c r="E37" i="60" a="1"/>
  <c r="E73" i="41" a="1"/>
  <c r="E73" i="41" s="1"/>
  <c r="E73" i="68" a="1"/>
  <c r="E73" i="68" s="1"/>
  <c r="E73" i="37" a="1"/>
  <c r="E73" i="37" s="1"/>
  <c r="E73" i="31" a="1"/>
  <c r="E73" i="31" s="1"/>
  <c r="E73" i="33" a="1"/>
  <c r="E73" i="33" s="1"/>
  <c r="E73" i="13" a="1"/>
  <c r="E73" i="13" s="1"/>
  <c r="E73" i="55" a="1"/>
  <c r="E73" i="55" s="1"/>
  <c r="E73" i="24" a="1"/>
  <c r="E73" i="24" s="1"/>
  <c r="E73" i="61" a="1"/>
  <c r="E73" i="61" s="1"/>
  <c r="E73" i="57" a="1"/>
  <c r="E73" i="57" s="1"/>
  <c r="E73" i="56" a="1"/>
  <c r="E73" i="56" s="1"/>
  <c r="E73" i="39" a="1"/>
  <c r="E73" i="39" s="1"/>
  <c r="E73" i="66" a="1"/>
  <c r="E73" i="66" s="1"/>
  <c r="E6" i="89" a="1"/>
  <c r="E40" i="89" a="1"/>
  <c r="E40" i="89" s="1"/>
  <c r="E21" i="24" a="1"/>
  <c r="E46" i="24" a="1"/>
  <c r="E46" i="24" s="1"/>
  <c r="E73" i="75" a="1"/>
  <c r="E73" i="75" s="1"/>
  <c r="E73" i="23" a="1"/>
  <c r="E73" i="23" s="1"/>
  <c r="E73" i="88" a="1"/>
  <c r="E73" i="88" s="1"/>
  <c r="E73" i="44" a="1"/>
  <c r="E73" i="44" s="1"/>
  <c r="E73" i="60" a="1"/>
  <c r="E73" i="60" s="1"/>
  <c r="E73" i="27" a="1"/>
  <c r="E73" i="27" s="1"/>
  <c r="E73" i="54" a="1"/>
  <c r="E73" i="54" s="1"/>
  <c r="E73" i="59" a="1"/>
  <c r="E73" i="59" s="1"/>
  <c r="E73" i="52" a="1"/>
  <c r="E73" i="52" s="1"/>
  <c r="E73" i="35" a="1"/>
  <c r="E73" i="35" s="1"/>
  <c r="E73" i="45" a="1"/>
  <c r="E73" i="45" s="1"/>
  <c r="E73" i="65" a="1"/>
  <c r="E73" i="65" s="1"/>
  <c r="E73" i="48" a="1"/>
  <c r="E73" i="48" s="1"/>
  <c r="E73" i="74" a="1"/>
  <c r="E73" i="74" s="1"/>
  <c r="E73" i="70" a="1"/>
  <c r="E73" i="70" s="1"/>
  <c r="E73" i="63" a="1"/>
  <c r="E73" i="63" s="1"/>
  <c r="E73" i="71" a="1"/>
  <c r="E73" i="71" s="1"/>
  <c r="E73" i="49" a="1"/>
  <c r="E73" i="49" s="1"/>
  <c r="E73" i="62" a="1"/>
  <c r="E73" i="62" s="1"/>
  <c r="E73" i="90" a="1"/>
  <c r="E73" i="90" s="1"/>
  <c r="E37" i="19" a="1"/>
  <c r="E73" i="19" a="1"/>
  <c r="E73" i="19" s="1"/>
  <c r="E37" i="29" a="1"/>
  <c r="E73" i="29" a="1"/>
  <c r="E73" i="29" s="1"/>
  <c r="E6" i="65" a="1"/>
  <c r="E6" i="65" s="1"/>
  <c r="E40" i="65" a="1"/>
  <c r="E40" i="65" s="1"/>
  <c r="D55" i="13"/>
  <c r="D55" i="88"/>
  <c r="D55" i="23"/>
  <c r="D55" i="29"/>
  <c r="D55" i="24"/>
  <c r="D55" i="19"/>
  <c r="D55" i="30"/>
  <c r="D55" i="27"/>
  <c r="D55" i="57"/>
  <c r="D55" i="63"/>
  <c r="D55" i="74"/>
  <c r="D55" i="33"/>
  <c r="D55" i="25"/>
  <c r="D55" i="35"/>
  <c r="D55" i="52"/>
  <c r="D55" i="65"/>
  <c r="D55" i="67"/>
  <c r="D55" i="38"/>
  <c r="D55" i="41"/>
  <c r="D55" i="45"/>
  <c r="D55" i="91"/>
  <c r="D55" i="89"/>
  <c r="D55" i="56"/>
  <c r="D55" i="61"/>
  <c r="D55" i="71"/>
  <c r="D55" i="90"/>
  <c r="D55" i="68"/>
  <c r="D55" i="54"/>
  <c r="D55" i="59"/>
  <c r="D55" i="49"/>
  <c r="D55" i="48"/>
  <c r="D55" i="39"/>
  <c r="D55" i="60"/>
  <c r="D55" i="62"/>
  <c r="D55" i="72"/>
  <c r="D55" i="73"/>
  <c r="D55" i="32"/>
  <c r="D55" i="31"/>
  <c r="D55" i="50"/>
  <c r="D55" i="51"/>
  <c r="D55" i="37"/>
  <c r="D55" i="66"/>
  <c r="D55" i="53"/>
  <c r="D55" i="55"/>
  <c r="D55" i="44"/>
  <c r="D55" i="70"/>
  <c r="D55" i="75"/>
  <c r="E73" i="22" a="1"/>
  <c r="E73" i="22" s="1"/>
  <c r="E37" i="67" a="1"/>
  <c r="E73" i="67" a="1"/>
  <c r="E73" i="67" s="1"/>
  <c r="P57" i="17" a="1"/>
  <c r="P57" i="17" s="1"/>
  <c r="R57" i="17" a="1"/>
  <c r="R57" i="17" s="1"/>
  <c r="T57" i="17" a="1"/>
  <c r="T57" i="17" s="1"/>
  <c r="V57" i="17" a="1"/>
  <c r="V57" i="17" s="1"/>
  <c r="N57" i="17" a="1"/>
  <c r="N57" i="17" s="1"/>
  <c r="X57" i="17" a="1"/>
  <c r="X57" i="17" s="1"/>
  <c r="Z57" i="17" a="1"/>
  <c r="Z57" i="17" s="1"/>
  <c r="AA57" i="17" a="1"/>
  <c r="AA57" i="17" s="1"/>
  <c r="AC57" i="17" a="1"/>
  <c r="AC57" i="17" s="1"/>
  <c r="AD57" i="17" a="1"/>
  <c r="AD57" i="17" s="1"/>
  <c r="AG57" i="17" a="1"/>
  <c r="AG57" i="17" s="1"/>
  <c r="AJ57" i="17" a="1"/>
  <c r="AJ57" i="17" s="1"/>
  <c r="F57" i="17" a="1"/>
  <c r="F57" i="17" s="1"/>
  <c r="H57" i="17" a="1"/>
  <c r="H57" i="17" s="1"/>
  <c r="I57" i="17" a="1"/>
  <c r="I57" i="17" s="1"/>
  <c r="G57" i="17" a="1"/>
  <c r="G57" i="17" s="1"/>
  <c r="M57" i="17" a="1"/>
  <c r="M57" i="17" s="1"/>
  <c r="O57" i="17" a="1"/>
  <c r="O57" i="17" s="1"/>
  <c r="Q57" i="17" a="1"/>
  <c r="Q57" i="17" s="1"/>
  <c r="S57" i="17" a="1"/>
  <c r="S57" i="17" s="1"/>
  <c r="U57" i="17" a="1"/>
  <c r="U57" i="17" s="1"/>
  <c r="Y57" i="17" a="1"/>
  <c r="Y57" i="17" s="1"/>
  <c r="AB57" i="17" a="1"/>
  <c r="AB57" i="17" s="1"/>
  <c r="AE57" i="17" a="1"/>
  <c r="AE57" i="17" s="1"/>
  <c r="W57" i="17" a="1"/>
  <c r="W57" i="17" s="1"/>
  <c r="J57" i="17" a="1"/>
  <c r="J57" i="17" s="1"/>
  <c r="L57" i="17" a="1"/>
  <c r="L57" i="17" s="1"/>
  <c r="AF57" i="17" a="1"/>
  <c r="AF57" i="17" s="1"/>
  <c r="AH57" i="17" a="1"/>
  <c r="AH57" i="17" s="1"/>
  <c r="AI57" i="17" a="1"/>
  <c r="AI57" i="17" s="1"/>
  <c r="AK57" i="17" a="1"/>
  <c r="AK57" i="17" s="1"/>
  <c r="AL57" i="17" a="1"/>
  <c r="AL57" i="17" s="1"/>
  <c r="AM57" i="17" a="1"/>
  <c r="AM57" i="17" s="1"/>
  <c r="AN57" i="17" a="1"/>
  <c r="AN57" i="17" s="1"/>
  <c r="K57" i="17" a="1"/>
  <c r="K57" i="17" s="1"/>
  <c r="E37" i="52" a="1"/>
  <c r="E21" i="27"/>
  <c r="E44" i="27"/>
  <c r="E21" i="65"/>
  <c r="E46" i="65"/>
  <c r="E44" i="89"/>
  <c r="E44" i="71"/>
  <c r="E40" i="50"/>
  <c r="E46" i="51"/>
  <c r="E21" i="53"/>
  <c r="E40" i="33"/>
  <c r="E37" i="88" a="1"/>
  <c r="E37" i="45" a="1"/>
  <c r="E6" i="75"/>
  <c r="E6" i="91"/>
  <c r="E40" i="27"/>
  <c r="E21" i="59"/>
  <c r="E46" i="59"/>
  <c r="E46" i="50"/>
  <c r="E6" i="32"/>
  <c r="E21" i="32"/>
  <c r="E6" i="57"/>
  <c r="E44" i="57"/>
  <c r="E6" i="51"/>
  <c r="E40" i="51"/>
  <c r="E44" i="62"/>
  <c r="E44" i="75"/>
  <c r="E44" i="91"/>
  <c r="E44" i="37"/>
  <c r="E44" i="59"/>
  <c r="E44" i="65"/>
  <c r="E6" i="24"/>
  <c r="E44" i="24"/>
  <c r="E46" i="32"/>
  <c r="E40" i="57"/>
  <c r="E44" i="55"/>
  <c r="E37" i="13" a="1"/>
  <c r="E37" i="25" a="1"/>
  <c r="E44" i="35"/>
  <c r="E21" i="35"/>
  <c r="E44" i="31"/>
  <c r="E44" i="74"/>
  <c r="E46" i="27"/>
  <c r="E6" i="48"/>
  <c r="E44" i="48"/>
  <c r="E46" i="48"/>
  <c r="E44" i="50"/>
  <c r="E21" i="50"/>
  <c r="E40" i="32"/>
  <c r="E44" i="33"/>
  <c r="E46" i="33"/>
  <c r="E44" i="23"/>
  <c r="E21" i="48"/>
  <c r="E6" i="59"/>
  <c r="E40" i="59"/>
  <c r="E6" i="39"/>
  <c r="E21" i="39"/>
  <c r="E46" i="39"/>
  <c r="E6" i="50"/>
  <c r="E44" i="32"/>
  <c r="E21" i="57"/>
  <c r="E46" i="57"/>
  <c r="E21" i="51"/>
  <c r="E46" i="53"/>
  <c r="E6" i="33"/>
  <c r="E21" i="33"/>
  <c r="E6" i="72"/>
  <c r="E44" i="72"/>
  <c r="E21" i="62"/>
  <c r="E44" i="68"/>
  <c r="E44" i="44"/>
  <c r="E21" i="71"/>
  <c r="E46" i="71"/>
  <c r="E44" i="49"/>
  <c r="E40" i="49"/>
  <c r="E6" i="49"/>
  <c r="E21" i="49"/>
  <c r="E44" i="56"/>
  <c r="E21" i="56"/>
  <c r="E46" i="56"/>
  <c r="E44" i="39"/>
  <c r="E40" i="39"/>
  <c r="E40" i="53"/>
  <c r="E21" i="63"/>
  <c r="E44" i="63"/>
  <c r="E44" i="66"/>
  <c r="E21" i="61"/>
  <c r="E44" i="61"/>
  <c r="E44" i="38"/>
  <c r="E6" i="27"/>
  <c r="E44" i="54"/>
  <c r="E46" i="54"/>
  <c r="E40" i="48"/>
  <c r="E40" i="71"/>
  <c r="E44" i="51"/>
  <c r="E6" i="53"/>
  <c r="E44" i="53"/>
  <c r="E44" i="30"/>
  <c r="E21" i="72" a="1"/>
  <c r="E46" i="72" a="1"/>
  <c r="E44" i="90"/>
  <c r="E6" i="73"/>
  <c r="E44" i="73"/>
  <c r="E22" i="22"/>
  <c r="E22" i="80"/>
  <c r="E22" i="81"/>
  <c r="E22" i="77"/>
  <c r="AG15" i="98"/>
  <c r="AF15" i="98"/>
  <c r="AH15" i="98"/>
  <c r="AG11" i="98"/>
  <c r="AF11" i="98"/>
  <c r="AH11" i="98"/>
  <c r="AF9" i="98"/>
  <c r="AG9" i="98"/>
  <c r="AH9" i="98"/>
  <c r="AF8" i="98"/>
  <c r="AG8" i="98"/>
  <c r="AH8" i="98"/>
  <c r="AG13" i="98"/>
  <c r="AH13" i="98"/>
  <c r="AF13" i="98"/>
  <c r="E69" i="91"/>
  <c r="E72" i="91" s="1" a="1"/>
  <c r="E72" i="91" s="1"/>
  <c r="E69" i="90"/>
  <c r="E72" i="90" s="1" a="1"/>
  <c r="E72" i="90" s="1"/>
  <c r="E69" i="89"/>
  <c r="E72" i="89" s="1" a="1"/>
  <c r="E72" i="89" s="1"/>
  <c r="E69" i="88"/>
  <c r="E72" i="88" s="1" a="1"/>
  <c r="E72" i="88" s="1"/>
  <c r="AH14" i="98"/>
  <c r="AG14" i="98"/>
  <c r="AF14" i="98"/>
  <c r="E67" i="91" a="1"/>
  <c r="E67" i="89" a="1"/>
  <c r="E69" i="66" a="1"/>
  <c r="E69" i="70" a="1"/>
  <c r="E69" i="39" a="1"/>
  <c r="E67" i="90" a="1"/>
  <c r="AH11" i="100" a="1"/>
  <c r="AH11" i="100" s="1"/>
  <c r="V11" i="100" a="1"/>
  <c r="V11" i="100" s="1"/>
  <c r="J11" i="100" a="1"/>
  <c r="J11" i="100" s="1"/>
  <c r="O11" i="100" a="1"/>
  <c r="O11" i="100" s="1"/>
  <c r="AJ11" i="100" a="1"/>
  <c r="AJ11" i="100" s="1"/>
  <c r="AG11" i="100" a="1"/>
  <c r="AG11" i="100" s="1"/>
  <c r="U11" i="100" a="1"/>
  <c r="U11" i="100" s="1"/>
  <c r="I11" i="100" a="1"/>
  <c r="I11" i="100" s="1"/>
  <c r="Y11" i="100" a="1"/>
  <c r="Y11" i="100" s="1"/>
  <c r="W11" i="100" a="1"/>
  <c r="W11" i="100" s="1"/>
  <c r="AF11" i="100" a="1"/>
  <c r="AF11" i="100" s="1"/>
  <c r="T11" i="100" a="1"/>
  <c r="T11" i="100" s="1"/>
  <c r="H11" i="100" a="1"/>
  <c r="H11" i="100" s="1"/>
  <c r="AM11" i="100" a="1"/>
  <c r="AM11" i="100" s="1"/>
  <c r="AA11" i="100" a="1"/>
  <c r="AA11" i="100" s="1"/>
  <c r="AL11" i="100" a="1"/>
  <c r="AL11" i="100" s="1"/>
  <c r="X11" i="100" a="1"/>
  <c r="X11" i="100" s="1"/>
  <c r="AE11" i="100" a="1"/>
  <c r="AE11" i="100" s="1"/>
  <c r="S11" i="100" a="1"/>
  <c r="S11" i="100" s="1"/>
  <c r="G11" i="100" a="1"/>
  <c r="G11" i="100" s="1"/>
  <c r="AD11" i="100" a="1"/>
  <c r="AD11" i="100" s="1"/>
  <c r="R11" i="100" a="1"/>
  <c r="R11" i="100" s="1"/>
  <c r="F11" i="100" a="1"/>
  <c r="F11" i="100" s="1"/>
  <c r="N11" i="100" a="1"/>
  <c r="N11" i="100" s="1"/>
  <c r="AK11" i="100" a="1"/>
  <c r="AK11" i="100" s="1"/>
  <c r="L11" i="100" a="1"/>
  <c r="L11" i="100" s="1"/>
  <c r="AC11" i="100" a="1"/>
  <c r="AC11" i="100" s="1"/>
  <c r="Q11" i="100" a="1"/>
  <c r="Q11" i="100" s="1"/>
  <c r="M11" i="100" a="1"/>
  <c r="M11" i="100" s="1"/>
  <c r="AN11" i="100" a="1"/>
  <c r="AN11" i="100" s="1"/>
  <c r="AB11" i="100" a="1"/>
  <c r="AB11" i="100" s="1"/>
  <c r="P11" i="100" a="1"/>
  <c r="P11" i="100" s="1"/>
  <c r="Z11" i="100" a="1"/>
  <c r="Z11" i="100" s="1"/>
  <c r="AI11" i="100" a="1"/>
  <c r="AI11" i="100" s="1"/>
  <c r="K11" i="100" a="1"/>
  <c r="K11" i="100" s="1"/>
  <c r="E67" i="88" a="1"/>
  <c r="AH1" i="99" a="1"/>
  <c r="AH1" i="99" s="1"/>
  <c r="V1" i="99" a="1"/>
  <c r="V1" i="99" s="1"/>
  <c r="J1" i="99" a="1"/>
  <c r="J1" i="99" s="1"/>
  <c r="AI1" i="100" a="1"/>
  <c r="AI1" i="100" s="1"/>
  <c r="W1" i="100" a="1"/>
  <c r="W1" i="100" s="1"/>
  <c r="K1" i="100" a="1"/>
  <c r="K1" i="100" s="1"/>
  <c r="AB1" i="100" a="1"/>
  <c r="AB1" i="100" s="1"/>
  <c r="AK1" i="99" a="1"/>
  <c r="AK1" i="99" s="1"/>
  <c r="M1" i="99" a="1"/>
  <c r="M1" i="99" s="1"/>
  <c r="L1" i="99" a="1"/>
  <c r="L1" i="99" s="1"/>
  <c r="Y1" i="100" a="1"/>
  <c r="Y1" i="100" s="1"/>
  <c r="W1" i="99" a="1"/>
  <c r="W1" i="99" s="1"/>
  <c r="AG1" i="99" a="1"/>
  <c r="AG1" i="99" s="1"/>
  <c r="U1" i="99" a="1"/>
  <c r="U1" i="99" s="1"/>
  <c r="I1" i="99" a="1"/>
  <c r="I1" i="99" s="1"/>
  <c r="AH1" i="100" a="1"/>
  <c r="AH1" i="100" s="1"/>
  <c r="V1" i="100" a="1"/>
  <c r="V1" i="100" s="1"/>
  <c r="J1" i="100" a="1"/>
  <c r="J1" i="100" s="1"/>
  <c r="AA1" i="100" a="1"/>
  <c r="AA1" i="100" s="1"/>
  <c r="K1" i="99" a="1"/>
  <c r="K1" i="99" s="1"/>
  <c r="X1" i="100" a="1"/>
  <c r="X1" i="100" s="1"/>
  <c r="AF1" i="99" a="1"/>
  <c r="AF1" i="99" s="1"/>
  <c r="T1" i="99" a="1"/>
  <c r="T1" i="99" s="1"/>
  <c r="H1" i="99" a="1"/>
  <c r="H1" i="99" s="1"/>
  <c r="AG1" i="100" a="1"/>
  <c r="AG1" i="100" s="1"/>
  <c r="U1" i="100" a="1"/>
  <c r="U1" i="100" s="1"/>
  <c r="I1" i="100" a="1"/>
  <c r="I1" i="100" s="1"/>
  <c r="AM1" i="99" a="1"/>
  <c r="AM1" i="99" s="1"/>
  <c r="AN1" i="100" a="1"/>
  <c r="AN1" i="100" s="1"/>
  <c r="P1" i="100" a="1"/>
  <c r="P1" i="100" s="1"/>
  <c r="AK1" i="100" a="1"/>
  <c r="AK1" i="100" s="1"/>
  <c r="M1" i="100" a="1"/>
  <c r="M1" i="100" s="1"/>
  <c r="AE1" i="99" a="1"/>
  <c r="AE1" i="99" s="1"/>
  <c r="S1" i="99" a="1"/>
  <c r="S1" i="99" s="1"/>
  <c r="G1" i="99" a="1"/>
  <c r="G1" i="99" s="1"/>
  <c r="AF1" i="100" a="1"/>
  <c r="AF1" i="100" s="1"/>
  <c r="T1" i="100" a="1"/>
  <c r="T1" i="100" s="1"/>
  <c r="H1" i="100" a="1"/>
  <c r="H1" i="100" s="1"/>
  <c r="AL1" i="99" a="1"/>
  <c r="AL1" i="99" s="1"/>
  <c r="Z1" i="99" a="1"/>
  <c r="Z1" i="99" s="1"/>
  <c r="Y1" i="99" a="1"/>
  <c r="Y1" i="99" s="1"/>
  <c r="AD1" i="99" a="1"/>
  <c r="AD1" i="99" s="1"/>
  <c r="R1" i="99" a="1"/>
  <c r="R1" i="99" s="1"/>
  <c r="F1" i="99" a="1"/>
  <c r="F1" i="99" s="1"/>
  <c r="AE1" i="100" a="1"/>
  <c r="AE1" i="100" s="1"/>
  <c r="S1" i="100" a="1"/>
  <c r="S1" i="100" s="1"/>
  <c r="G1" i="100" a="1"/>
  <c r="G1" i="100" s="1"/>
  <c r="AM1" i="100" a="1"/>
  <c r="AM1" i="100" s="1"/>
  <c r="AL1" i="100" a="1"/>
  <c r="AL1" i="100" s="1"/>
  <c r="Z1" i="100" a="1"/>
  <c r="Z1" i="100" s="1"/>
  <c r="N1" i="100" a="1"/>
  <c r="N1" i="100" s="1"/>
  <c r="AI1" i="99" a="1"/>
  <c r="AI1" i="99" s="1"/>
  <c r="AC1" i="99" a="1"/>
  <c r="AC1" i="99" s="1"/>
  <c r="Q1" i="99" a="1"/>
  <c r="Q1" i="99" s="1"/>
  <c r="AD1" i="100" a="1"/>
  <c r="AD1" i="100" s="1"/>
  <c r="R1" i="100" a="1"/>
  <c r="R1" i="100" s="1"/>
  <c r="F1" i="100" a="1"/>
  <c r="F1" i="100" s="1"/>
  <c r="AA1" i="99" a="1"/>
  <c r="AA1" i="99" s="1"/>
  <c r="N1" i="99" a="1"/>
  <c r="N1" i="99" s="1"/>
  <c r="X1" i="99" a="1"/>
  <c r="X1" i="99" s="1"/>
  <c r="AN1" i="99" a="1"/>
  <c r="AN1" i="99" s="1"/>
  <c r="AB1" i="99" a="1"/>
  <c r="AB1" i="99" s="1"/>
  <c r="P1" i="99" a="1"/>
  <c r="P1" i="99" s="1"/>
  <c r="AC1" i="100" a="1"/>
  <c r="AC1" i="100" s="1"/>
  <c r="Q1" i="100" a="1"/>
  <c r="Q1" i="100" s="1"/>
  <c r="O1" i="99" a="1"/>
  <c r="O1" i="99" s="1"/>
  <c r="O1" i="100" a="1"/>
  <c r="O1" i="100" s="1"/>
  <c r="AJ1" i="99" a="1"/>
  <c r="AJ1" i="99" s="1"/>
  <c r="AJ1" i="100" a="1"/>
  <c r="AJ1" i="100" s="1"/>
  <c r="L1" i="100" a="1"/>
  <c r="L1" i="100" s="1"/>
  <c r="B4" i="96" a="1"/>
  <c r="B4" i="96" s="1"/>
  <c r="Q36" i="99"/>
  <c r="T36" i="99"/>
  <c r="V36" i="99"/>
  <c r="Y36" i="99"/>
  <c r="AB36" i="99"/>
  <c r="AH36" i="99"/>
  <c r="AN36" i="99"/>
  <c r="H36" i="99" a="1"/>
  <c r="H36" i="99" s="1"/>
  <c r="M36" i="99" a="1"/>
  <c r="M36" i="99" s="1"/>
  <c r="AM36" i="99"/>
  <c r="S36" i="100"/>
  <c r="V36" i="100"/>
  <c r="Y36" i="100"/>
  <c r="AA36" i="100"/>
  <c r="AH36" i="100"/>
  <c r="AK36" i="100"/>
  <c r="AN36" i="100"/>
  <c r="R36" i="99"/>
  <c r="U36" i="99"/>
  <c r="W36" i="99"/>
  <c r="AD36" i="99"/>
  <c r="F36" i="99" a="1"/>
  <c r="F36" i="99" s="1"/>
  <c r="T36" i="100"/>
  <c r="W36" i="100"/>
  <c r="AE36" i="100"/>
  <c r="AL36" i="100"/>
  <c r="J36" i="100" a="1"/>
  <c r="J36" i="100" s="1"/>
  <c r="M36" i="100" a="1"/>
  <c r="M36" i="100" s="1"/>
  <c r="I36" i="100" a="1"/>
  <c r="I36" i="100" s="1"/>
  <c r="P36" i="100" a="1"/>
  <c r="P36" i="100" s="1"/>
  <c r="N36" i="100" a="1"/>
  <c r="N36" i="100" s="1"/>
  <c r="I36" i="99" a="1"/>
  <c r="I36" i="99" s="1"/>
  <c r="L36" i="99" a="1"/>
  <c r="L36" i="99" s="1"/>
  <c r="U36" i="100"/>
  <c r="AC36" i="100"/>
  <c r="K36" i="99" a="1"/>
  <c r="K36" i="99" s="1"/>
  <c r="P36" i="99" a="1"/>
  <c r="P36" i="99" s="1"/>
  <c r="AD36" i="100"/>
  <c r="Z36" i="99"/>
  <c r="AJ36" i="99"/>
  <c r="O36" i="99" a="1"/>
  <c r="O36" i="99" s="1"/>
  <c r="R36" i="100"/>
  <c r="AB36" i="100"/>
  <c r="AI36" i="100"/>
  <c r="G36" i="100" a="1"/>
  <c r="G36" i="100" s="1"/>
  <c r="F36" i="100" a="1"/>
  <c r="F36" i="100" s="1"/>
  <c r="L36" i="100" a="1"/>
  <c r="L36" i="100" s="1"/>
  <c r="K36" i="100" a="1"/>
  <c r="K36" i="100" s="1"/>
  <c r="S36" i="99"/>
  <c r="X36" i="99"/>
  <c r="AF36" i="99"/>
  <c r="AK36" i="99"/>
  <c r="J36" i="99" a="1"/>
  <c r="J36" i="99" s="1"/>
  <c r="AC36" i="99"/>
  <c r="AE36" i="99"/>
  <c r="AG36" i="99"/>
  <c r="AL36" i="99"/>
  <c r="Q36" i="100"/>
  <c r="AG36" i="100"/>
  <c r="AM36" i="100"/>
  <c r="AI36" i="99"/>
  <c r="O36" i="100" a="1"/>
  <c r="O36" i="100" s="1"/>
  <c r="H36" i="100" a="1"/>
  <c r="H36" i="100" s="1"/>
  <c r="AA36" i="99"/>
  <c r="G36" i="99" a="1"/>
  <c r="G36" i="99" s="1"/>
  <c r="N36" i="99" a="1"/>
  <c r="N36" i="99" s="1"/>
  <c r="Z36" i="100"/>
  <c r="AJ36" i="100"/>
  <c r="AF36" i="100"/>
  <c r="X36" i="100"/>
  <c r="K58" i="99"/>
  <c r="X58" i="100"/>
  <c r="V58" i="99"/>
  <c r="J58" i="99"/>
  <c r="AA58" i="99"/>
  <c r="M58" i="99"/>
  <c r="AJ58" i="100"/>
  <c r="AE58" i="100"/>
  <c r="AB58" i="100"/>
  <c r="S58" i="100"/>
  <c r="AI58" i="99"/>
  <c r="X58" i="99"/>
  <c r="R58" i="99"/>
  <c r="H58" i="99"/>
  <c r="W58" i="99"/>
  <c r="AI58" i="100"/>
  <c r="AH58" i="99"/>
  <c r="AF58" i="100"/>
  <c r="R58" i="100"/>
  <c r="AE58" i="99"/>
  <c r="L58" i="99"/>
  <c r="Y58" i="99"/>
  <c r="I58" i="99"/>
  <c r="AC58" i="100"/>
  <c r="W58" i="100"/>
  <c r="S58" i="99"/>
  <c r="AL58" i="99"/>
  <c r="P58" i="99"/>
  <c r="Z58" i="99"/>
  <c r="AG58" i="99"/>
  <c r="AM58" i="99"/>
  <c r="H58" i="100"/>
  <c r="K58" i="100"/>
  <c r="M58" i="100"/>
  <c r="P58" i="100"/>
  <c r="I58" i="100"/>
  <c r="AD58" i="100"/>
  <c r="AK58" i="100"/>
  <c r="AK58" i="99"/>
  <c r="N58" i="99"/>
  <c r="AA58" i="100"/>
  <c r="T58" i="100"/>
  <c r="G58" i="100"/>
  <c r="AF58" i="99"/>
  <c r="Q58" i="99"/>
  <c r="AH58" i="100"/>
  <c r="N58" i="100"/>
  <c r="AD58" i="99"/>
  <c r="F58" i="99"/>
  <c r="U58" i="99"/>
  <c r="G58" i="99"/>
  <c r="AN58" i="100"/>
  <c r="Y58" i="100"/>
  <c r="AM58" i="100"/>
  <c r="AL58" i="100"/>
  <c r="AG58" i="100"/>
  <c r="U58" i="100"/>
  <c r="L58" i="100"/>
  <c r="F58" i="100"/>
  <c r="AJ58" i="99"/>
  <c r="AC58" i="99"/>
  <c r="O58" i="99"/>
  <c r="O58" i="100"/>
  <c r="Z58" i="100"/>
  <c r="V58" i="100"/>
  <c r="Q58" i="100"/>
  <c r="J58" i="100"/>
  <c r="AN58" i="99"/>
  <c r="T58" i="99"/>
  <c r="AB58" i="99"/>
  <c r="U48" i="99"/>
  <c r="X48" i="99"/>
  <c r="AI48" i="99"/>
  <c r="I48" i="99" a="1"/>
  <c r="I48" i="99" s="1"/>
  <c r="O48" i="99" a="1"/>
  <c r="O48" i="99" s="1"/>
  <c r="AJ48" i="99"/>
  <c r="T48" i="100"/>
  <c r="Y48" i="100"/>
  <c r="AE48" i="100"/>
  <c r="AI48" i="100"/>
  <c r="AN48" i="100"/>
  <c r="AE48" i="99"/>
  <c r="V48" i="99"/>
  <c r="S48" i="99"/>
  <c r="L48" i="100" a="1"/>
  <c r="L48" i="100" s="1"/>
  <c r="P48" i="100" a="1"/>
  <c r="P48" i="100" s="1"/>
  <c r="G48" i="99" a="1"/>
  <c r="G48" i="99" s="1"/>
  <c r="T48" i="99"/>
  <c r="R48" i="99"/>
  <c r="Z48" i="99"/>
  <c r="AH48" i="100"/>
  <c r="AD48" i="100"/>
  <c r="Z48" i="100"/>
  <c r="S48" i="100"/>
  <c r="AN48" i="99"/>
  <c r="AD48" i="99"/>
  <c r="L48" i="99" a="1"/>
  <c r="L48" i="99" s="1"/>
  <c r="H48" i="99" a="1"/>
  <c r="H48" i="99" s="1"/>
  <c r="AG48" i="99"/>
  <c r="G48" i="100" a="1"/>
  <c r="G48" i="100" s="1"/>
  <c r="H48" i="100" a="1"/>
  <c r="H48" i="100" s="1"/>
  <c r="K48" i="100" a="1"/>
  <c r="K48" i="100" s="1"/>
  <c r="AL48" i="99"/>
  <c r="W48" i="100"/>
  <c r="N48" i="99" a="1"/>
  <c r="N48" i="99" s="1"/>
  <c r="M48" i="100" a="1"/>
  <c r="M48" i="100" s="1"/>
  <c r="AC48" i="99"/>
  <c r="F48" i="99" a="1"/>
  <c r="F48" i="99" s="1"/>
  <c r="K48" i="99" a="1"/>
  <c r="K48" i="99" s="1"/>
  <c r="Y48" i="99"/>
  <c r="AF48" i="99"/>
  <c r="U48" i="100"/>
  <c r="AB48" i="100"/>
  <c r="AJ48" i="100"/>
  <c r="AM48" i="100"/>
  <c r="I48" i="100" a="1"/>
  <c r="I48" i="100" s="1"/>
  <c r="J48" i="100" a="1"/>
  <c r="J48" i="100" s="1"/>
  <c r="O48" i="100" a="1"/>
  <c r="O48" i="100" s="1"/>
  <c r="AA48" i="99"/>
  <c r="AK48" i="99"/>
  <c r="J48" i="99" a="1"/>
  <c r="J48" i="99" s="1"/>
  <c r="M48" i="99" a="1"/>
  <c r="M48" i="99" s="1"/>
  <c r="W48" i="99"/>
  <c r="AB48" i="99"/>
  <c r="AH48" i="99"/>
  <c r="R48" i="100"/>
  <c r="V48" i="100"/>
  <c r="AA48" i="100"/>
  <c r="AG48" i="100"/>
  <c r="AK48" i="100"/>
  <c r="AM48" i="99"/>
  <c r="F48" i="100" a="1"/>
  <c r="F48" i="100" s="1"/>
  <c r="P48" i="99" a="1"/>
  <c r="P48" i="99" s="1"/>
  <c r="Q48" i="100"/>
  <c r="X48" i="100"/>
  <c r="AF48" i="100"/>
  <c r="AL48" i="100"/>
  <c r="AC48" i="100"/>
  <c r="N48" i="100" a="1"/>
  <c r="N48" i="100" s="1"/>
  <c r="Q48" i="99"/>
  <c r="E4" i="88" a="1"/>
  <c r="G4" i="69" a="1"/>
  <c r="AP13" i="85" a="1"/>
  <c r="AP13" i="85" s="1"/>
  <c r="AP12" i="85" a="1"/>
  <c r="AP12" i="85" s="1"/>
  <c r="AP14" i="85" a="1"/>
  <c r="AP14" i="85" s="1"/>
  <c r="AP1" i="85" a="1"/>
  <c r="AP1" i="85" s="1"/>
  <c r="F10" i="84"/>
  <c r="M10" i="34" s="1"/>
  <c r="E10" i="34" s="1"/>
  <c r="C10" i="9" a="1"/>
  <c r="C10" i="9" s="1"/>
  <c r="H10" i="9" s="1"/>
  <c r="G10" i="84"/>
  <c r="N10" i="34" s="1"/>
  <c r="F10" i="34" s="1"/>
  <c r="H10" i="84"/>
  <c r="O10" i="34" s="1"/>
  <c r="G10" i="34" s="1"/>
  <c r="K44" i="34" a="1"/>
  <c r="K44" i="34" s="1"/>
  <c r="J44" i="34" a="1"/>
  <c r="J44" i="34" s="1"/>
  <c r="I44" i="34" a="1"/>
  <c r="I44" i="34" s="1"/>
  <c r="K40" i="34" a="1"/>
  <c r="K40" i="34" s="1"/>
  <c r="J40" i="34" a="1"/>
  <c r="J40" i="34" s="1"/>
  <c r="I40" i="34" a="1"/>
  <c r="I40" i="34" s="1"/>
  <c r="AP5" i="85" a="1"/>
  <c r="AP5" i="85" s="1"/>
  <c r="AP3" i="85" a="1"/>
  <c r="AP3" i="85" s="1"/>
  <c r="AP4" i="85" a="1"/>
  <c r="AP4" i="85" s="1"/>
  <c r="K37" i="34" a="1"/>
  <c r="K37" i="34" s="1"/>
  <c r="J37" i="34" a="1"/>
  <c r="J37" i="34" s="1"/>
  <c r="I37" i="34" a="1"/>
  <c r="I37" i="34" s="1"/>
  <c r="K38" i="34" a="1"/>
  <c r="K38" i="34" s="1"/>
  <c r="J38" i="34" a="1"/>
  <c r="J38" i="34" s="1"/>
  <c r="I38" i="34" a="1"/>
  <c r="I38" i="34" s="1"/>
  <c r="AR1" i="85" a="1"/>
  <c r="AR1" i="85" s="1"/>
  <c r="AQ1" i="85" a="1"/>
  <c r="AQ1" i="85" s="1"/>
  <c r="AR5" i="85" a="1"/>
  <c r="AR5" i="85" s="1"/>
  <c r="AQ5" i="85" a="1"/>
  <c r="AQ5" i="85" s="1"/>
  <c r="AR3" i="85" a="1"/>
  <c r="AR3" i="85" s="1"/>
  <c r="AR13" i="85" a="1"/>
  <c r="AR13" i="85" s="1"/>
  <c r="AQ3" i="85" a="1"/>
  <c r="AQ3" i="85" s="1"/>
  <c r="AQ13" i="85" a="1"/>
  <c r="AQ13" i="85" s="1"/>
  <c r="AR4" i="85" a="1"/>
  <c r="AR4" i="85" s="1"/>
  <c r="AQ4" i="85" a="1"/>
  <c r="AQ4" i="85" s="1"/>
  <c r="AR12" i="85" a="1"/>
  <c r="AR12" i="85" s="1"/>
  <c r="AQ12" i="85" a="1"/>
  <c r="AQ12" i="85" s="1"/>
  <c r="AR14" i="85" a="1"/>
  <c r="AR14" i="85" s="1"/>
  <c r="AQ14" i="85" a="1"/>
  <c r="AQ14" i="85" s="1"/>
  <c r="G10" i="85"/>
  <c r="R10" i="34" s="1"/>
  <c r="H10" i="85"/>
  <c r="S10" i="34" s="1"/>
  <c r="AA1" i="78"/>
  <c r="AA1" i="26" s="1"/>
  <c r="Z1" i="78"/>
  <c r="Z1" i="26" s="1"/>
  <c r="Y1" i="78"/>
  <c r="Y1" i="26" s="1"/>
  <c r="W1" i="78"/>
  <c r="W1" i="26" s="1"/>
  <c r="V1" i="78"/>
  <c r="V1" i="26" s="1"/>
  <c r="U1" i="78"/>
  <c r="U1" i="26" s="1"/>
  <c r="T1" i="78"/>
  <c r="T1" i="26" s="1"/>
  <c r="AJ1" i="78"/>
  <c r="AJ1" i="26" s="1"/>
  <c r="AI1" i="78"/>
  <c r="AI1" i="26" s="1"/>
  <c r="AH1" i="78"/>
  <c r="AH1" i="26" s="1"/>
  <c r="S1" i="78"/>
  <c r="S1" i="26" s="1"/>
  <c r="K1" i="78"/>
  <c r="K1" i="26" s="1"/>
  <c r="R1" i="78"/>
  <c r="R1" i="26" s="1"/>
  <c r="Q1" i="78"/>
  <c r="Q1" i="26" s="1"/>
  <c r="L1" i="78"/>
  <c r="L1" i="26" s="1"/>
  <c r="O1" i="78"/>
  <c r="O1" i="26" s="1"/>
  <c r="N1" i="78"/>
  <c r="N1" i="26" s="1"/>
  <c r="M1" i="78"/>
  <c r="M1" i="26" s="1"/>
  <c r="AG1" i="78"/>
  <c r="AG1" i="26" s="1"/>
  <c r="H1" i="78"/>
  <c r="H1" i="26" s="1"/>
  <c r="AF1" i="78"/>
  <c r="AF1" i="26" s="1"/>
  <c r="F1" i="78"/>
  <c r="F1" i="26" s="1"/>
  <c r="G1" i="78"/>
  <c r="G1" i="26" s="1"/>
  <c r="I1" i="78"/>
  <c r="I1" i="26" s="1"/>
  <c r="AL1" i="78"/>
  <c r="AL1" i="26" s="1"/>
  <c r="AM1" i="78"/>
  <c r="AM1" i="26" s="1"/>
  <c r="AN1" i="78"/>
  <c r="AN1" i="26" s="1"/>
  <c r="P1" i="78"/>
  <c r="P1" i="26" s="1"/>
  <c r="AK1" i="78"/>
  <c r="AK1" i="26" s="1"/>
  <c r="X1" i="78"/>
  <c r="X1" i="26" s="1"/>
  <c r="AE1" i="78"/>
  <c r="AE1" i="26" s="1"/>
  <c r="AD1" i="78"/>
  <c r="AD1" i="26" s="1"/>
  <c r="AC1" i="78"/>
  <c r="AC1" i="26" s="1"/>
  <c r="AB1" i="78"/>
  <c r="AB1" i="26" s="1"/>
  <c r="J1" i="78"/>
  <c r="J1" i="26" s="1"/>
  <c r="H11" i="81"/>
  <c r="G11" i="81"/>
  <c r="F11" i="81"/>
  <c r="AN11" i="81"/>
  <c r="AN12" i="81" s="1"/>
  <c r="J11" i="81"/>
  <c r="K11" i="81"/>
  <c r="L11" i="81"/>
  <c r="M11" i="81"/>
  <c r="N11" i="81"/>
  <c r="O11" i="81"/>
  <c r="P11" i="81"/>
  <c r="Q11" i="81"/>
  <c r="R11" i="81"/>
  <c r="S11" i="81"/>
  <c r="T11" i="81"/>
  <c r="U11" i="81"/>
  <c r="V11" i="81"/>
  <c r="W11" i="81"/>
  <c r="I11" i="81"/>
  <c r="X11" i="81"/>
  <c r="Y11" i="81"/>
  <c r="Z11" i="81"/>
  <c r="AA11" i="81"/>
  <c r="AB11" i="81"/>
  <c r="AC11" i="81"/>
  <c r="AD11" i="81"/>
  <c r="AE11" i="81"/>
  <c r="AF11" i="81"/>
  <c r="AG11" i="81"/>
  <c r="AH11" i="81"/>
  <c r="AI11" i="81"/>
  <c r="AJ11" i="81"/>
  <c r="AK11" i="81"/>
  <c r="AL11" i="81"/>
  <c r="AM11" i="81"/>
  <c r="Z11" i="79"/>
  <c r="W11" i="79"/>
  <c r="U11" i="79"/>
  <c r="Q11" i="79"/>
  <c r="N11" i="79"/>
  <c r="AB11" i="79"/>
  <c r="AG11" i="79"/>
  <c r="AM11" i="79"/>
  <c r="M11" i="79"/>
  <c r="L11" i="79"/>
  <c r="K11" i="79"/>
  <c r="J11" i="79"/>
  <c r="I11" i="79"/>
  <c r="H11" i="79"/>
  <c r="G11" i="79"/>
  <c r="F11" i="79"/>
  <c r="O11" i="79"/>
  <c r="R11" i="79"/>
  <c r="T11" i="79"/>
  <c r="V11" i="79"/>
  <c r="X11" i="79"/>
  <c r="AA11" i="79"/>
  <c r="AC11" i="79"/>
  <c r="AE11" i="79"/>
  <c r="AI11" i="79"/>
  <c r="AK11" i="79"/>
  <c r="AN11" i="79"/>
  <c r="AN12" i="79" s="1"/>
  <c r="AL11" i="79"/>
  <c r="AJ11" i="79"/>
  <c r="AH11" i="79"/>
  <c r="AF11" i="79"/>
  <c r="P11" i="79"/>
  <c r="S11" i="79"/>
  <c r="Y11" i="79"/>
  <c r="AD11" i="79"/>
  <c r="AM11" i="80"/>
  <c r="AJ11" i="80"/>
  <c r="AG11" i="80"/>
  <c r="AI11" i="80"/>
  <c r="Q11" i="80"/>
  <c r="J11" i="80"/>
  <c r="G11" i="80"/>
  <c r="I11" i="80"/>
  <c r="L11" i="80"/>
  <c r="AN11" i="80"/>
  <c r="AN12" i="80" s="1"/>
  <c r="AK11" i="80"/>
  <c r="AH11" i="80"/>
  <c r="AF11" i="80"/>
  <c r="AD11" i="80"/>
  <c r="AB11" i="80"/>
  <c r="Z11" i="80"/>
  <c r="Y11" i="80"/>
  <c r="V11" i="80"/>
  <c r="T11" i="80"/>
  <c r="U11" i="80"/>
  <c r="O11" i="80"/>
  <c r="AL11" i="80"/>
  <c r="R11" i="80"/>
  <c r="M11" i="80"/>
  <c r="K11" i="80"/>
  <c r="H11" i="80"/>
  <c r="F11" i="80"/>
  <c r="N11" i="80"/>
  <c r="P11" i="80"/>
  <c r="S11" i="80"/>
  <c r="W11" i="80"/>
  <c r="X11" i="80"/>
  <c r="AA11" i="80"/>
  <c r="AC11" i="80"/>
  <c r="AE11" i="80"/>
  <c r="M11" i="77"/>
  <c r="N10" i="77" s="1"/>
  <c r="L11" i="77"/>
  <c r="M10" i="77" s="1"/>
  <c r="K11" i="77"/>
  <c r="L10" i="77" s="1"/>
  <c r="J11" i="77"/>
  <c r="K10" i="77" s="1"/>
  <c r="I11" i="77"/>
  <c r="J10" i="77" s="1"/>
  <c r="H11" i="77"/>
  <c r="I10" i="77" s="1"/>
  <c r="G11" i="77"/>
  <c r="H10" i="77" s="1"/>
  <c r="F11" i="77"/>
  <c r="G10" i="77" s="1"/>
  <c r="R11" i="77"/>
  <c r="S10" i="77" s="1"/>
  <c r="S11" i="77"/>
  <c r="T10" i="77" s="1"/>
  <c r="T11" i="77"/>
  <c r="U10" i="77" s="1"/>
  <c r="U11" i="77"/>
  <c r="V10" i="77" s="1"/>
  <c r="V11" i="77"/>
  <c r="W10" i="77" s="1"/>
  <c r="W11" i="77"/>
  <c r="X10" i="77" s="1"/>
  <c r="Y11" i="77"/>
  <c r="Z10" i="77" s="1"/>
  <c r="Z11" i="77"/>
  <c r="AA10" i="77" s="1"/>
  <c r="AA11" i="77"/>
  <c r="AB10" i="77" s="1"/>
  <c r="AB11" i="77"/>
  <c r="AC10" i="77" s="1"/>
  <c r="AC11" i="77"/>
  <c r="AD10" i="77" s="1"/>
  <c r="AD11" i="77"/>
  <c r="AE10" i="77" s="1"/>
  <c r="AE11" i="77"/>
  <c r="AF10" i="77" s="1"/>
  <c r="AF11" i="77"/>
  <c r="AG10" i="77" s="1"/>
  <c r="AG11" i="77"/>
  <c r="AH10" i="77" s="1"/>
  <c r="AH11" i="77"/>
  <c r="AI10" i="77" s="1"/>
  <c r="AI11" i="77"/>
  <c r="AJ10" i="77" s="1"/>
  <c r="X11" i="77"/>
  <c r="Y10" i="77" s="1"/>
  <c r="AK11" i="77"/>
  <c r="AL10" i="77" s="1"/>
  <c r="AL11" i="77"/>
  <c r="AM10" i="77" s="1"/>
  <c r="AM11" i="77"/>
  <c r="AN10" i="77" s="1"/>
  <c r="AJ11" i="77"/>
  <c r="AK10" i="77" s="1"/>
  <c r="AN11" i="77"/>
  <c r="Q11" i="77"/>
  <c r="R10" i="77" s="1"/>
  <c r="P11" i="77"/>
  <c r="Q10" i="77" s="1"/>
  <c r="O11" i="77"/>
  <c r="P10" i="77" s="1"/>
  <c r="N11" i="77"/>
  <c r="O10" i="77" s="1"/>
  <c r="AN58" i="78"/>
  <c r="AL58" i="78"/>
  <c r="AI58" i="78"/>
  <c r="AG58" i="78"/>
  <c r="AE58" i="78"/>
  <c r="AC58" i="78"/>
  <c r="AA58" i="78"/>
  <c r="Y58" i="78"/>
  <c r="W58" i="78"/>
  <c r="T58" i="78"/>
  <c r="S58" i="78"/>
  <c r="Q58" i="78"/>
  <c r="O58" i="78"/>
  <c r="L58" i="78"/>
  <c r="J58" i="78"/>
  <c r="G58" i="78"/>
  <c r="F58" i="78"/>
  <c r="K58" i="78"/>
  <c r="AM58" i="78"/>
  <c r="AK58" i="78"/>
  <c r="AJ58" i="78"/>
  <c r="AH58" i="78"/>
  <c r="AF58" i="78"/>
  <c r="AD58" i="78"/>
  <c r="AB58" i="78"/>
  <c r="Z58" i="78"/>
  <c r="X58" i="78"/>
  <c r="V58" i="78"/>
  <c r="U58" i="78"/>
  <c r="R58" i="78"/>
  <c r="P58" i="78"/>
  <c r="N58" i="78"/>
  <c r="M58" i="78"/>
  <c r="I58" i="78"/>
  <c r="H58" i="78"/>
  <c r="E36" i="22"/>
  <c r="D56" i="17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7" i="17"/>
  <c r="E57" i="17" s="1" a="1"/>
  <c r="E57" i="17" s="1"/>
  <c r="M48" i="78"/>
  <c r="J48" i="78"/>
  <c r="G48" i="78"/>
  <c r="AL48" i="78"/>
  <c r="AG48" i="78"/>
  <c r="AC48" i="78"/>
  <c r="AN48" i="78"/>
  <c r="AJ48" i="78"/>
  <c r="X48" i="78"/>
  <c r="T48" i="78"/>
  <c r="P48" i="78"/>
  <c r="K48" i="78"/>
  <c r="AB48" i="78"/>
  <c r="Y48" i="78"/>
  <c r="V48" i="78"/>
  <c r="R48" i="78"/>
  <c r="AK48" i="78"/>
  <c r="AH48" i="78"/>
  <c r="AD48" i="78"/>
  <c r="Z48" i="78"/>
  <c r="W48" i="78"/>
  <c r="S48" i="78"/>
  <c r="I48" i="78"/>
  <c r="N48" i="78"/>
  <c r="Q48" i="78"/>
  <c r="AF48" i="78"/>
  <c r="O48" i="78"/>
  <c r="L48" i="78"/>
  <c r="F48" i="78"/>
  <c r="H48" i="78"/>
  <c r="U48" i="78"/>
  <c r="AM48" i="78"/>
  <c r="AI48" i="78"/>
  <c r="AE48" i="78"/>
  <c r="AA48" i="78"/>
  <c r="AN1" i="17"/>
  <c r="AL1" i="17"/>
  <c r="AJ1" i="17"/>
  <c r="AH1" i="17"/>
  <c r="AC1" i="17"/>
  <c r="AA1" i="17"/>
  <c r="Y1" i="17"/>
  <c r="W1" i="17"/>
  <c r="U1" i="17"/>
  <c r="S1" i="17"/>
  <c r="Q1" i="17"/>
  <c r="O1" i="17"/>
  <c r="M1" i="17"/>
  <c r="K1" i="17"/>
  <c r="I1" i="17"/>
  <c r="AM1" i="17"/>
  <c r="AK1" i="17"/>
  <c r="AI1" i="17"/>
  <c r="AG1" i="17"/>
  <c r="AD1" i="17"/>
  <c r="AB1" i="17"/>
  <c r="AF1" i="17"/>
  <c r="F1" i="17"/>
  <c r="Z1" i="17"/>
  <c r="X1" i="17"/>
  <c r="V1" i="17"/>
  <c r="T1" i="17"/>
  <c r="R1" i="17"/>
  <c r="P1" i="17"/>
  <c r="N1" i="17"/>
  <c r="L1" i="17"/>
  <c r="J1" i="17"/>
  <c r="G1" i="17"/>
  <c r="AE1" i="17"/>
  <c r="H1" i="17"/>
  <c r="AF9" i="17"/>
  <c r="AA9" i="17"/>
  <c r="V9" i="17"/>
  <c r="Q9" i="17"/>
  <c r="K9" i="17"/>
  <c r="F9" i="17"/>
  <c r="AN11" i="78"/>
  <c r="AG11" i="78"/>
  <c r="O9" i="17"/>
  <c r="H9" i="17"/>
  <c r="AM9" i="17"/>
  <c r="AJ9" i="17"/>
  <c r="AI9" i="17"/>
  <c r="AC9" i="17"/>
  <c r="X9" i="17"/>
  <c r="R9" i="17"/>
  <c r="L9" i="17"/>
  <c r="AJ11" i="78"/>
  <c r="AD11" i="78"/>
  <c r="Z11" i="78"/>
  <c r="S11" i="78"/>
  <c r="N11" i="78"/>
  <c r="I11" i="78"/>
  <c r="F11" i="78"/>
  <c r="AL9" i="17"/>
  <c r="AH9" i="17"/>
  <c r="AD9" i="17"/>
  <c r="U9" i="17"/>
  <c r="N9" i="17"/>
  <c r="J9" i="17"/>
  <c r="AK11" i="78"/>
  <c r="AF11" i="78"/>
  <c r="Y11" i="78"/>
  <c r="U11" i="78"/>
  <c r="M11" i="78"/>
  <c r="H11" i="78"/>
  <c r="R11" i="78"/>
  <c r="I9" i="17"/>
  <c r="AL11" i="78"/>
  <c r="AH11" i="78"/>
  <c r="AG9" i="17"/>
  <c r="AB9" i="17"/>
  <c r="Y9" i="17"/>
  <c r="T9" i="17"/>
  <c r="AE11" i="78"/>
  <c r="AA11" i="78"/>
  <c r="W11" i="78"/>
  <c r="P11" i="78"/>
  <c r="L11" i="78"/>
  <c r="G11" i="78"/>
  <c r="AK9" i="17"/>
  <c r="V11" i="78"/>
  <c r="AC11" i="78"/>
  <c r="Q11" i="78"/>
  <c r="J11" i="78"/>
  <c r="AN9" i="17"/>
  <c r="AE9" i="17"/>
  <c r="Z9" i="17"/>
  <c r="W9" i="17"/>
  <c r="S9" i="17"/>
  <c r="P9" i="17"/>
  <c r="M9" i="17"/>
  <c r="G9" i="17"/>
  <c r="AM11" i="78"/>
  <c r="AI11" i="78"/>
  <c r="AB11" i="78"/>
  <c r="X11" i="78"/>
  <c r="T11" i="78"/>
  <c r="O11" i="78"/>
  <c r="K11" i="78"/>
  <c r="AR16" i="85" l="1"/>
  <c r="AQ16" i="85"/>
  <c r="AP16" i="85"/>
  <c r="E21" i="73"/>
  <c r="E21" i="31"/>
  <c r="E6" i="31"/>
  <c r="E21" i="30"/>
  <c r="E6" i="30"/>
  <c r="E21" i="90"/>
  <c r="E6" i="90"/>
  <c r="E21" i="24"/>
  <c r="E21" i="89"/>
  <c r="E6" i="89"/>
  <c r="E6" i="23"/>
  <c r="E21" i="23"/>
  <c r="E21" i="88"/>
  <c r="E21" i="37"/>
  <c r="E6" i="37"/>
  <c r="E6" i="35"/>
  <c r="E37" i="41" a="1"/>
  <c r="E37" i="29"/>
  <c r="E37" i="70"/>
  <c r="E37" i="52"/>
  <c r="E37" i="67"/>
  <c r="E37" i="88"/>
  <c r="E37" i="45"/>
  <c r="E37" i="19"/>
  <c r="E37" i="60"/>
  <c r="E37" i="13"/>
  <c r="E37" i="25"/>
  <c r="E37" i="30" a="1"/>
  <c r="E37" i="23" a="1"/>
  <c r="E37" i="59" a="1"/>
  <c r="E37" i="39" a="1"/>
  <c r="E37" i="55" a="1"/>
  <c r="E21" i="72"/>
  <c r="E46" i="72"/>
  <c r="E37" i="24" a="1"/>
  <c r="E37" i="89" a="1"/>
  <c r="E37" i="66" a="1"/>
  <c r="E37" i="61" a="1"/>
  <c r="E37" i="62" a="1"/>
  <c r="E37" i="91" a="1"/>
  <c r="E37" i="74" a="1"/>
  <c r="E37" i="71" a="1"/>
  <c r="E37" i="53" a="1"/>
  <c r="E37" i="38" a="1"/>
  <c r="E37" i="37" a="1"/>
  <c r="E37" i="54" a="1"/>
  <c r="E37" i="56" a="1"/>
  <c r="E37" i="33" a="1"/>
  <c r="E37" i="44" a="1"/>
  <c r="E37" i="31" a="1"/>
  <c r="E37" i="48" a="1"/>
  <c r="E37" i="49" a="1"/>
  <c r="E37" i="63" a="1"/>
  <c r="E37" i="68" a="1"/>
  <c r="E37" i="65" a="1"/>
  <c r="E37" i="57" a="1"/>
  <c r="E37" i="72" a="1"/>
  <c r="E37" i="32" a="1"/>
  <c r="E37" i="50" a="1"/>
  <c r="E37" i="27" a="1"/>
  <c r="E37" i="35" a="1"/>
  <c r="E37" i="75" a="1"/>
  <c r="E37" i="51" a="1"/>
  <c r="E37" i="90" a="1"/>
  <c r="E37" i="73" a="1"/>
  <c r="U18" i="98"/>
  <c r="AE15" i="98"/>
  <c r="AI15" i="98" s="1"/>
  <c r="U14" i="98"/>
  <c r="AE11" i="98"/>
  <c r="AI11" i="98" s="1"/>
  <c r="U12" i="98"/>
  <c r="AE9" i="98"/>
  <c r="AI9" i="98" s="1"/>
  <c r="AE8" i="98"/>
  <c r="AI8" i="98" s="1"/>
  <c r="U11" i="98"/>
  <c r="U16" i="98"/>
  <c r="AE13" i="98"/>
  <c r="AI13" i="98" s="1"/>
  <c r="K42" i="34" a="1"/>
  <c r="K42" i="34" s="1"/>
  <c r="J42" i="34" a="1"/>
  <c r="J42" i="34" s="1"/>
  <c r="I42" i="34" a="1"/>
  <c r="I42" i="34" s="1"/>
  <c r="E69" i="66"/>
  <c r="E72" i="66" s="1" a="1"/>
  <c r="E72" i="66" s="1"/>
  <c r="E69" i="39"/>
  <c r="E72" i="39" s="1" a="1"/>
  <c r="E72" i="39" s="1"/>
  <c r="E67" i="90"/>
  <c r="E4" i="88"/>
  <c r="E67" i="89"/>
  <c r="E67" i="88"/>
  <c r="E67" i="91"/>
  <c r="E67" i="39" a="1"/>
  <c r="E4" i="91" a="1"/>
  <c r="EY4" i="96" a="1"/>
  <c r="EY4" i="96" s="1"/>
  <c r="E69" i="70"/>
  <c r="E72" i="70" s="1" a="1"/>
  <c r="E72" i="70" s="1"/>
  <c r="M11" i="26"/>
  <c r="M12" i="26" s="1"/>
  <c r="L11" i="26"/>
  <c r="L12" i="26" s="1"/>
  <c r="J11" i="26"/>
  <c r="J12" i="26" s="1"/>
  <c r="K11" i="26"/>
  <c r="K12" i="26" s="1"/>
  <c r="I11" i="26"/>
  <c r="I12" i="26" s="1"/>
  <c r="F11" i="26"/>
  <c r="F12" i="26" s="1"/>
  <c r="H11" i="26"/>
  <c r="H12" i="26" s="1"/>
  <c r="P11" i="26"/>
  <c r="P12" i="26" s="1"/>
  <c r="G11" i="26"/>
  <c r="G12" i="26" s="1"/>
  <c r="O11" i="26"/>
  <c r="O12" i="26" s="1"/>
  <c r="H12" i="81"/>
  <c r="I10" i="81"/>
  <c r="G12" i="81"/>
  <c r="H10" i="81"/>
  <c r="F12" i="81"/>
  <c r="G10" i="81"/>
  <c r="J12" i="81"/>
  <c r="K10" i="81"/>
  <c r="K12" i="81"/>
  <c r="L10" i="81"/>
  <c r="L12" i="81"/>
  <c r="M10" i="81"/>
  <c r="M12" i="81"/>
  <c r="N10" i="81"/>
  <c r="N12" i="81"/>
  <c r="O10" i="81"/>
  <c r="O12" i="81"/>
  <c r="P10" i="81"/>
  <c r="P12" i="81"/>
  <c r="Q10" i="81"/>
  <c r="Q12" i="81"/>
  <c r="R10" i="81"/>
  <c r="R12" i="81"/>
  <c r="S10" i="81"/>
  <c r="S12" i="81"/>
  <c r="T10" i="81"/>
  <c r="T12" i="81"/>
  <c r="U10" i="81"/>
  <c r="U12" i="81"/>
  <c r="V10" i="81"/>
  <c r="V12" i="81"/>
  <c r="W10" i="81"/>
  <c r="W12" i="81"/>
  <c r="X10" i="81"/>
  <c r="I12" i="81"/>
  <c r="J10" i="81"/>
  <c r="X12" i="81"/>
  <c r="Y10" i="81"/>
  <c r="Y12" i="81"/>
  <c r="Z10" i="81"/>
  <c r="Z12" i="81"/>
  <c r="AA10" i="81"/>
  <c r="AA12" i="81"/>
  <c r="AB10" i="81"/>
  <c r="AB12" i="81"/>
  <c r="AC10" i="81"/>
  <c r="AC12" i="81"/>
  <c r="AD10" i="81"/>
  <c r="AD12" i="81"/>
  <c r="AE10" i="81"/>
  <c r="AE12" i="81"/>
  <c r="AF10" i="81"/>
  <c r="AF12" i="81"/>
  <c r="AG10" i="81"/>
  <c r="AG12" i="81"/>
  <c r="AH10" i="81"/>
  <c r="AH12" i="81"/>
  <c r="AI10" i="81"/>
  <c r="AI12" i="81"/>
  <c r="AJ10" i="81"/>
  <c r="AJ12" i="81"/>
  <c r="AK10" i="81"/>
  <c r="AK12" i="81"/>
  <c r="AL10" i="81"/>
  <c r="AL12" i="81"/>
  <c r="AM10" i="81"/>
  <c r="AM12" i="81"/>
  <c r="AN10" i="81"/>
  <c r="Z12" i="79"/>
  <c r="AA10" i="79"/>
  <c r="W12" i="79"/>
  <c r="X10" i="79"/>
  <c r="U12" i="79"/>
  <c r="V10" i="79"/>
  <c r="Q12" i="79"/>
  <c r="R10" i="79"/>
  <c r="N12" i="79"/>
  <c r="O10" i="79"/>
  <c r="AB12" i="79"/>
  <c r="AC10" i="79"/>
  <c r="AG12" i="79"/>
  <c r="AH10" i="79"/>
  <c r="AM12" i="79"/>
  <c r="AN10" i="79"/>
  <c r="M12" i="79"/>
  <c r="N10" i="79"/>
  <c r="L12" i="79"/>
  <c r="M10" i="79"/>
  <c r="K12" i="79"/>
  <c r="L10" i="79"/>
  <c r="J12" i="79"/>
  <c r="K10" i="79"/>
  <c r="I12" i="79"/>
  <c r="J10" i="79"/>
  <c r="H12" i="79"/>
  <c r="I10" i="79"/>
  <c r="G12" i="79"/>
  <c r="H10" i="79"/>
  <c r="F12" i="79"/>
  <c r="G10" i="79"/>
  <c r="O12" i="79"/>
  <c r="P10" i="79"/>
  <c r="R12" i="79"/>
  <c r="S10" i="79"/>
  <c r="T12" i="79"/>
  <c r="U10" i="79"/>
  <c r="V12" i="79"/>
  <c r="W10" i="79"/>
  <c r="X12" i="79"/>
  <c r="Y10" i="79"/>
  <c r="AA12" i="79"/>
  <c r="AB10" i="79"/>
  <c r="AC12" i="79"/>
  <c r="AD10" i="79"/>
  <c r="AE12" i="79"/>
  <c r="AF10" i="79"/>
  <c r="AI12" i="79"/>
  <c r="AJ10" i="79"/>
  <c r="AK12" i="79"/>
  <c r="AL10" i="79"/>
  <c r="AL12" i="79"/>
  <c r="AM10" i="79"/>
  <c r="AJ12" i="79"/>
  <c r="AK10" i="79"/>
  <c r="AH12" i="79"/>
  <c r="AI10" i="79"/>
  <c r="AF12" i="79"/>
  <c r="AG10" i="79"/>
  <c r="P12" i="79"/>
  <c r="Q10" i="79"/>
  <c r="S12" i="79"/>
  <c r="T10" i="79"/>
  <c r="Y12" i="79"/>
  <c r="Z10" i="79"/>
  <c r="AD12" i="79"/>
  <c r="AE10" i="79"/>
  <c r="AM12" i="80"/>
  <c r="AN10" i="80"/>
  <c r="AJ12" i="80"/>
  <c r="AK10" i="80"/>
  <c r="AG12" i="80"/>
  <c r="AH10" i="80"/>
  <c r="AI12" i="80"/>
  <c r="AJ10" i="80"/>
  <c r="Q12" i="80"/>
  <c r="R10" i="80"/>
  <c r="J12" i="80"/>
  <c r="K10" i="80"/>
  <c r="G12" i="80"/>
  <c r="H10" i="80"/>
  <c r="I12" i="80"/>
  <c r="J10" i="80"/>
  <c r="L12" i="80"/>
  <c r="M10" i="80"/>
  <c r="AK12" i="80"/>
  <c r="AL10" i="80"/>
  <c r="AH12" i="80"/>
  <c r="AI10" i="80"/>
  <c r="AF12" i="80"/>
  <c r="AG10" i="80"/>
  <c r="AD12" i="80"/>
  <c r="AE10" i="80"/>
  <c r="AB12" i="80"/>
  <c r="AC10" i="80"/>
  <c r="Z12" i="80"/>
  <c r="AA10" i="80"/>
  <c r="Y12" i="80"/>
  <c r="Z10" i="80"/>
  <c r="V12" i="80"/>
  <c r="W10" i="80"/>
  <c r="T12" i="80"/>
  <c r="U10" i="80"/>
  <c r="U12" i="80"/>
  <c r="V10" i="80"/>
  <c r="O12" i="80"/>
  <c r="P10" i="80"/>
  <c r="AL12" i="80"/>
  <c r="AM10" i="80"/>
  <c r="R12" i="80"/>
  <c r="S10" i="80"/>
  <c r="M12" i="80"/>
  <c r="N10" i="80"/>
  <c r="K12" i="80"/>
  <c r="L10" i="80"/>
  <c r="H12" i="80"/>
  <c r="I10" i="80"/>
  <c r="F12" i="80"/>
  <c r="G10" i="80"/>
  <c r="N12" i="80"/>
  <c r="O10" i="80"/>
  <c r="P12" i="80"/>
  <c r="Q10" i="80"/>
  <c r="S12" i="80"/>
  <c r="T10" i="80"/>
  <c r="W12" i="80"/>
  <c r="X10" i="80"/>
  <c r="X12" i="80"/>
  <c r="Y10" i="80"/>
  <c r="AA12" i="80"/>
  <c r="AB10" i="80"/>
  <c r="AC12" i="80"/>
  <c r="AD10" i="80"/>
  <c r="AE12" i="80"/>
  <c r="AF10" i="80"/>
  <c r="E69" i="23" a="1"/>
  <c r="U17" i="98"/>
  <c r="AE14" i="98"/>
  <c r="AI14" i="98" s="1"/>
  <c r="N11" i="26"/>
  <c r="N12" i="26" s="1"/>
  <c r="E67" i="66" a="1"/>
  <c r="E69" i="73" a="1"/>
  <c r="E69" i="31" a="1"/>
  <c r="E69" i="72" a="1"/>
  <c r="E69" i="37" a="1"/>
  <c r="E69" i="51" a="1"/>
  <c r="E69" i="32" a="1"/>
  <c r="E69" i="49" a="1"/>
  <c r="E69" i="61" a="1"/>
  <c r="E69" i="38" a="1"/>
  <c r="E69" i="75" a="1"/>
  <c r="E69" i="33" a="1"/>
  <c r="E69" i="63" a="1"/>
  <c r="E69" i="41" a="1"/>
  <c r="E67" i="70" a="1"/>
  <c r="E69" i="59" a="1"/>
  <c r="E69" i="52" a="1"/>
  <c r="E69" i="50" a="1"/>
  <c r="E69" i="25" a="1"/>
  <c r="E69" i="60" a="1"/>
  <c r="E69" i="65" a="1"/>
  <c r="E69" i="56" a="1"/>
  <c r="E69" i="48" a="1"/>
  <c r="E69" i="24" a="1"/>
  <c r="E69" i="35" a="1"/>
  <c r="E69" i="57" a="1"/>
  <c r="E69" i="45" a="1"/>
  <c r="E69" i="67" a="1"/>
  <c r="E69" i="53" a="1"/>
  <c r="E69" i="54" a="1"/>
  <c r="E69" i="19" a="1"/>
  <c r="AP14" i="98"/>
  <c r="E69" i="30" a="1"/>
  <c r="E69" i="74" a="1"/>
  <c r="E69" i="68" a="1"/>
  <c r="E69" i="44" a="1"/>
  <c r="E69" i="62" a="1"/>
  <c r="E69" i="71" a="1"/>
  <c r="E69" i="55" a="1"/>
  <c r="E69" i="29" a="1"/>
  <c r="AX14" i="98"/>
  <c r="AW14" i="98"/>
  <c r="AV14" i="98"/>
  <c r="E69" i="13" a="1"/>
  <c r="E11" i="100" a="1"/>
  <c r="E11" i="100" s="1"/>
  <c r="AN14" i="98"/>
  <c r="E69" i="27" a="1"/>
  <c r="ET4" i="96" a="1"/>
  <c r="ET4" i="96" s="1"/>
  <c r="E69" i="22" a="1"/>
  <c r="E10" i="99" a="1"/>
  <c r="E10" i="99" s="1"/>
  <c r="E1" i="99" a="1"/>
  <c r="E1" i="99" s="1"/>
  <c r="E1" i="100" a="1"/>
  <c r="E1" i="100" s="1"/>
  <c r="AO14" i="98"/>
  <c r="E36" i="100" a="1"/>
  <c r="E36" i="100" s="1"/>
  <c r="E36" i="99" a="1"/>
  <c r="E36" i="99" s="1"/>
  <c r="BR4" i="96" a="1"/>
  <c r="BR4" i="96" s="1"/>
  <c r="E58" i="100"/>
  <c r="E58" i="99"/>
  <c r="E48" i="100" a="1"/>
  <c r="E48" i="100" s="1"/>
  <c r="AU14" i="98" s="1"/>
  <c r="CY4" i="96" a="1"/>
  <c r="CY4" i="96" s="1"/>
  <c r="E48" i="99" a="1"/>
  <c r="E48" i="99" s="1"/>
  <c r="AM14" i="98" s="1"/>
  <c r="G4" i="69"/>
  <c r="E4" i="90" a="1"/>
  <c r="E4" i="89" a="1"/>
  <c r="AP32" i="85"/>
  <c r="AP7" i="85"/>
  <c r="AP45" i="85"/>
  <c r="J43" i="34" a="1"/>
  <c r="J43" i="34" s="1"/>
  <c r="K43" i="34" a="1"/>
  <c r="K43" i="34" s="1"/>
  <c r="I43" i="34" a="1"/>
  <c r="I43" i="34" s="1"/>
  <c r="AQ4" i="69" a="1"/>
  <c r="AR4" i="69" a="1"/>
  <c r="AP4" i="69" a="1"/>
  <c r="AR32" i="85"/>
  <c r="AQ32" i="85"/>
  <c r="AR7" i="85"/>
  <c r="AQ45" i="85"/>
  <c r="AQ7" i="85"/>
  <c r="AR45" i="85"/>
  <c r="AR1" i="26" a="1"/>
  <c r="AR1" i="26" s="1"/>
  <c r="AP1" i="26" a="1"/>
  <c r="AP1" i="26" s="1"/>
  <c r="AQ1" i="26" a="1"/>
  <c r="AQ1" i="26" s="1"/>
  <c r="E1" i="78"/>
  <c r="E1" i="26" s="1"/>
  <c r="AT4" i="69" a="1"/>
  <c r="V11" i="26"/>
  <c r="V12" i="26" s="1"/>
  <c r="AM11" i="26"/>
  <c r="AM12" i="26" s="1"/>
  <c r="AI11" i="26"/>
  <c r="AI12" i="26" s="1"/>
  <c r="AB11" i="26"/>
  <c r="AB12" i="26" s="1"/>
  <c r="X11" i="26"/>
  <c r="X12" i="26" s="1"/>
  <c r="T11" i="26"/>
  <c r="T12" i="26" s="1"/>
  <c r="E41" i="81" a="1"/>
  <c r="E41" i="79" a="1"/>
  <c r="AN11" i="26"/>
  <c r="AN12" i="26" s="1"/>
  <c r="AG11" i="26"/>
  <c r="AG12" i="26" s="1"/>
  <c r="AJ11" i="26"/>
  <c r="AJ12" i="26" s="1"/>
  <c r="AD11" i="26"/>
  <c r="AD12" i="26" s="1"/>
  <c r="Z11" i="26"/>
  <c r="Z12" i="26" s="1"/>
  <c r="S11" i="26"/>
  <c r="S12" i="26" s="1"/>
  <c r="AK11" i="26"/>
  <c r="AK12" i="26" s="1"/>
  <c r="AF11" i="26"/>
  <c r="AF12" i="26" s="1"/>
  <c r="Y11" i="26"/>
  <c r="Y12" i="26" s="1"/>
  <c r="U11" i="26"/>
  <c r="U12" i="26" s="1"/>
  <c r="R11" i="26"/>
  <c r="R12" i="26" s="1"/>
  <c r="AL11" i="26"/>
  <c r="AL12" i="26" s="1"/>
  <c r="AH11" i="26"/>
  <c r="AH12" i="26" s="1"/>
  <c r="AE11" i="26"/>
  <c r="AE12" i="26" s="1"/>
  <c r="AA11" i="26"/>
  <c r="AA12" i="26" s="1"/>
  <c r="W11" i="26"/>
  <c r="W12" i="26" s="1"/>
  <c r="E11" i="81"/>
  <c r="E11" i="79"/>
  <c r="E11" i="80"/>
  <c r="E11" i="77"/>
  <c r="F10" i="77" s="1"/>
  <c r="AC11" i="26"/>
  <c r="Q11" i="26"/>
  <c r="G1" i="34" a="1"/>
  <c r="G1" i="34" s="1"/>
  <c r="F1" i="34" a="1"/>
  <c r="F1" i="34" s="1"/>
  <c r="DZ4" i="69" a="1"/>
  <c r="AD4" i="69" a="1"/>
  <c r="E58" i="78"/>
  <c r="AL4" i="69" a="1"/>
  <c r="E11" i="78"/>
  <c r="E11" i="26" s="1"/>
  <c r="E9" i="17"/>
  <c r="E36" i="78"/>
  <c r="E48" i="78"/>
  <c r="G14" i="85" l="1" a="1"/>
  <c r="G14" i="85" s="1"/>
  <c r="R14" i="34" s="1"/>
  <c r="F14" i="85" a="1"/>
  <c r="F14" i="85" s="1"/>
  <c r="Q14" i="34" s="1"/>
  <c r="H14" i="85" a="1"/>
  <c r="H14" i="85" s="1"/>
  <c r="S14" i="34" s="1"/>
  <c r="R14" i="85" a="1"/>
  <c r="R14" i="85" s="1"/>
  <c r="K14" i="85" a="1"/>
  <c r="K14" i="85" s="1"/>
  <c r="T14" i="85" a="1"/>
  <c r="T14" i="85" s="1"/>
  <c r="S14" i="85" a="1"/>
  <c r="S14" i="85" s="1"/>
  <c r="L14" i="85" a="1"/>
  <c r="L14" i="85" s="1"/>
  <c r="P14" i="85" a="1"/>
  <c r="P14" i="85" s="1"/>
  <c r="O14" i="85" a="1"/>
  <c r="O14" i="85" s="1"/>
  <c r="N14" i="85" a="1"/>
  <c r="N14" i="85" s="1"/>
  <c r="J14" i="85" a="1"/>
  <c r="J14" i="85" s="1"/>
  <c r="R13" i="85" a="1"/>
  <c r="R13" i="85" s="1"/>
  <c r="N13" i="85" a="1"/>
  <c r="N13" i="85" s="1"/>
  <c r="T13" i="85" a="1"/>
  <c r="T13" i="85" s="1"/>
  <c r="K13" i="85" a="1"/>
  <c r="K13" i="85" s="1"/>
  <c r="O13" i="85" a="1"/>
  <c r="O13" i="85" s="1"/>
  <c r="P13" i="85" a="1"/>
  <c r="P13" i="85" s="1"/>
  <c r="S13" i="85" a="1"/>
  <c r="S13" i="85" s="1"/>
  <c r="J13" i="85" a="1"/>
  <c r="J13" i="85" s="1"/>
  <c r="L13" i="85" a="1"/>
  <c r="L13" i="85" s="1"/>
  <c r="AN51" i="85" a="1"/>
  <c r="AN51" i="85" s="1"/>
  <c r="AJ51" i="85" a="1"/>
  <c r="AJ51" i="85" s="1"/>
  <c r="AF51" i="85" a="1"/>
  <c r="AF51" i="85" s="1"/>
  <c r="T51" i="85" s="1"/>
  <c r="AD51" i="85" a="1"/>
  <c r="AD51" i="85" s="1"/>
  <c r="R51" i="85" s="1"/>
  <c r="Z51" i="85" a="1"/>
  <c r="Z51" i="85" s="1"/>
  <c r="V51" i="85" a="1"/>
  <c r="V51" i="85" s="1"/>
  <c r="R51" i="84" a="1"/>
  <c r="R51" i="84" s="1"/>
  <c r="S51" i="84" a="1"/>
  <c r="S51" i="84" s="1"/>
  <c r="L51" i="84" a="1"/>
  <c r="L51" i="84" s="1"/>
  <c r="X51" i="84" a="1"/>
  <c r="X51" i="84" s="1"/>
  <c r="W51" i="84" a="1"/>
  <c r="W51" i="84" s="1"/>
  <c r="T51" i="84" a="1"/>
  <c r="T51" i="84" s="1"/>
  <c r="J51" i="84" a="1"/>
  <c r="J51" i="84" s="1"/>
  <c r="K51" i="84" a="1"/>
  <c r="K51" i="84" s="1"/>
  <c r="V51" i="84" a="1"/>
  <c r="V51" i="84" s="1"/>
  <c r="AA51" i="85" a="1"/>
  <c r="AA51" i="85" s="1"/>
  <c r="X51" i="85" a="1"/>
  <c r="X51" i="85" s="1"/>
  <c r="AH51" i="85" a="1"/>
  <c r="AH51" i="85" s="1"/>
  <c r="AM51" i="85" a="1"/>
  <c r="AM51" i="85" s="1"/>
  <c r="AI51" i="85" a="1"/>
  <c r="AI51" i="85" s="1"/>
  <c r="AL51" i="85" a="1"/>
  <c r="AL51" i="85" s="1"/>
  <c r="AE51" i="85" a="1"/>
  <c r="AE51" i="85" s="1"/>
  <c r="S51" i="85" s="1"/>
  <c r="AB51" i="85" a="1"/>
  <c r="AB51" i="85" s="1"/>
  <c r="W51" i="85" a="1"/>
  <c r="W51" i="85" s="1"/>
  <c r="R43" i="84" a="1"/>
  <c r="R43" i="84" s="1"/>
  <c r="L43" i="84" a="1"/>
  <c r="L43" i="84" s="1"/>
  <c r="K43" i="84" a="1"/>
  <c r="K43" i="84" s="1"/>
  <c r="V43" i="85" a="1"/>
  <c r="V43" i="85" s="1"/>
  <c r="AE43" i="85" a="1"/>
  <c r="AE43" i="85" s="1"/>
  <c r="S43" i="85" s="1"/>
  <c r="AJ43" i="85" a="1"/>
  <c r="AJ43" i="85" s="1"/>
  <c r="AD43" i="85" a="1"/>
  <c r="AD43" i="85" s="1"/>
  <c r="R43" i="85" s="1"/>
  <c r="Y17" i="98" s="1"/>
  <c r="X43" i="85" a="1"/>
  <c r="X43" i="85" s="1"/>
  <c r="Z43" i="85" a="1"/>
  <c r="Z43" i="85" s="1"/>
  <c r="AI43" i="85" a="1"/>
  <c r="AI43" i="85" s="1"/>
  <c r="AB43" i="85" a="1"/>
  <c r="AB43" i="85" s="1"/>
  <c r="AL43" i="85" a="1"/>
  <c r="AL43" i="85" s="1"/>
  <c r="X43" i="84" a="1"/>
  <c r="X43" i="84" s="1"/>
  <c r="V43" i="84" a="1"/>
  <c r="V43" i="84" s="1"/>
  <c r="AM43" i="85" a="1"/>
  <c r="AM43" i="85" s="1"/>
  <c r="AF43" i="85" a="1"/>
  <c r="AF43" i="85" s="1"/>
  <c r="T43" i="85" s="1"/>
  <c r="S43" i="84" a="1"/>
  <c r="S43" i="84" s="1"/>
  <c r="W43" i="85" a="1"/>
  <c r="W43" i="85" s="1"/>
  <c r="J43" i="84" a="1"/>
  <c r="J43" i="84" s="1"/>
  <c r="W43" i="84" a="1"/>
  <c r="W43" i="84" s="1"/>
  <c r="T43" i="84" a="1"/>
  <c r="T43" i="84" s="1"/>
  <c r="AN43" i="85" a="1"/>
  <c r="AN43" i="85" s="1"/>
  <c r="AH43" i="85" a="1"/>
  <c r="AH43" i="85" s="1"/>
  <c r="AA43" i="85" a="1"/>
  <c r="AA43" i="85" s="1"/>
  <c r="E37" i="41"/>
  <c r="E37" i="30"/>
  <c r="E37" i="23"/>
  <c r="E37" i="59"/>
  <c r="E37" i="39"/>
  <c r="E37" i="55"/>
  <c r="E37" i="24"/>
  <c r="E37" i="89"/>
  <c r="E37" i="66"/>
  <c r="E37" i="61"/>
  <c r="E37" i="62"/>
  <c r="E37" i="91"/>
  <c r="E37" i="74"/>
  <c r="E37" i="71"/>
  <c r="E37" i="53"/>
  <c r="E37" i="38"/>
  <c r="E37" i="37"/>
  <c r="E37" i="54"/>
  <c r="E37" i="56"/>
  <c r="E37" i="33"/>
  <c r="E37" i="44"/>
  <c r="E37" i="31"/>
  <c r="E37" i="48"/>
  <c r="E37" i="49"/>
  <c r="E37" i="63"/>
  <c r="E37" i="68"/>
  <c r="E37" i="65"/>
  <c r="E37" i="57"/>
  <c r="E37" i="72"/>
  <c r="E37" i="32"/>
  <c r="E37" i="50"/>
  <c r="E37" i="27"/>
  <c r="E37" i="35"/>
  <c r="E37" i="75"/>
  <c r="E37" i="51"/>
  <c r="E37" i="90"/>
  <c r="E37" i="73"/>
  <c r="E4" i="91"/>
  <c r="E69" i="29"/>
  <c r="E72" i="29" s="1" a="1"/>
  <c r="E72" i="29" s="1"/>
  <c r="AA10" i="99" a="1"/>
  <c r="AA10" i="99" s="1"/>
  <c r="X10" i="99" a="1"/>
  <c r="X10" i="99" s="1"/>
  <c r="V10" i="99" a="1"/>
  <c r="V10" i="99" s="1"/>
  <c r="R10" i="99" a="1"/>
  <c r="R10" i="99" s="1"/>
  <c r="O10" i="99" a="1"/>
  <c r="O10" i="99" s="1"/>
  <c r="AC10" i="99" a="1"/>
  <c r="AC10" i="99" s="1"/>
  <c r="AH10" i="99" a="1"/>
  <c r="AH10" i="99" s="1"/>
  <c r="AN10" i="99" a="1"/>
  <c r="AN10" i="99" s="1"/>
  <c r="N10" i="99" a="1"/>
  <c r="N10" i="99" s="1"/>
  <c r="M10" i="99" a="1"/>
  <c r="M10" i="99" s="1"/>
  <c r="L10" i="99" a="1"/>
  <c r="L10" i="99" s="1"/>
  <c r="K10" i="99" a="1"/>
  <c r="K10" i="99" s="1"/>
  <c r="J10" i="99" a="1"/>
  <c r="J10" i="99" s="1"/>
  <c r="I10" i="99" a="1"/>
  <c r="I10" i="99" s="1"/>
  <c r="E69" i="23"/>
  <c r="E72" i="23" s="1" a="1"/>
  <c r="E72" i="23" s="1"/>
  <c r="E67" i="66"/>
  <c r="E69" i="73"/>
  <c r="E72" i="73" s="1" a="1"/>
  <c r="E72" i="73" s="1"/>
  <c r="E69" i="37"/>
  <c r="E72" i="37" s="1" a="1"/>
  <c r="E72" i="37" s="1"/>
  <c r="E67" i="51" a="1"/>
  <c r="E69" i="61"/>
  <c r="E72" i="61" s="1" a="1"/>
  <c r="E72" i="61" s="1"/>
  <c r="E69" i="75"/>
  <c r="E72" i="75" s="1" a="1"/>
  <c r="E72" i="75" s="1"/>
  <c r="E67" i="48" a="1"/>
  <c r="E69" i="48"/>
  <c r="E72" i="48" s="1" a="1"/>
  <c r="E72" i="48" s="1"/>
  <c r="E67" i="24" a="1"/>
  <c r="E67" i="35" a="1"/>
  <c r="E67" i="57" a="1"/>
  <c r="E67" i="45" a="1"/>
  <c r="E67" i="71" a="1"/>
  <c r="E69" i="55"/>
  <c r="E72" i="55" s="1" a="1"/>
  <c r="E72" i="55" s="1"/>
  <c r="E67" i="31" a="1"/>
  <c r="E69" i="31"/>
  <c r="E72" i="31" s="1" a="1"/>
  <c r="E72" i="31" s="1"/>
  <c r="E69" i="72"/>
  <c r="E72" i="72" s="1" a="1"/>
  <c r="E72" i="72" s="1"/>
  <c r="E67" i="37" a="1"/>
  <c r="E69" i="51"/>
  <c r="E72" i="51" s="1" a="1"/>
  <c r="E72" i="51" s="1"/>
  <c r="E67" i="32" a="1"/>
  <c r="E69" i="32"/>
  <c r="E72" i="32" s="1" a="1"/>
  <c r="E72" i="32" s="1"/>
  <c r="E69" i="49"/>
  <c r="E72" i="49" s="1" a="1"/>
  <c r="E72" i="49" s="1"/>
  <c r="E67" i="61" a="1"/>
  <c r="E69" i="38"/>
  <c r="E72" i="38" s="1" a="1"/>
  <c r="E72" i="38" s="1"/>
  <c r="E67" i="75" a="1"/>
  <c r="E69" i="33"/>
  <c r="E72" i="33" s="1" a="1"/>
  <c r="E72" i="33" s="1"/>
  <c r="E67" i="63" a="1"/>
  <c r="E69" i="63"/>
  <c r="E72" i="63" s="1" a="1"/>
  <c r="E72" i="63" s="1"/>
  <c r="E69" i="56"/>
  <c r="E72" i="56" s="1" a="1"/>
  <c r="E72" i="56" s="1"/>
  <c r="E69" i="35"/>
  <c r="E72" i="35" s="1" a="1"/>
  <c r="E72" i="35" s="1"/>
  <c r="E67" i="62" a="1"/>
  <c r="E67" i="29" a="1"/>
  <c r="E69" i="41"/>
  <c r="E72" i="41" s="1" a="1"/>
  <c r="E72" i="41" s="1"/>
  <c r="E67" i="41" a="1"/>
  <c r="E67" i="70"/>
  <c r="E67" i="59" a="1"/>
  <c r="E69" i="59"/>
  <c r="E72" i="59" s="1" a="1"/>
  <c r="E72" i="59" s="1"/>
  <c r="E69" i="52"/>
  <c r="E72" i="52" s="1" a="1"/>
  <c r="E72" i="52" s="1"/>
  <c r="E67" i="52" a="1"/>
  <c r="E69" i="50"/>
  <c r="E72" i="50" s="1" a="1"/>
  <c r="E72" i="50" s="1"/>
  <c r="E67" i="50" a="1"/>
  <c r="E67" i="25" a="1"/>
  <c r="E69" i="25"/>
  <c r="E72" i="25" s="1" a="1"/>
  <c r="E72" i="25" s="1"/>
  <c r="E67" i="60" a="1"/>
  <c r="E69" i="60"/>
  <c r="E72" i="60" s="1" a="1"/>
  <c r="E72" i="60" s="1"/>
  <c r="E69" i="65"/>
  <c r="E72" i="65" s="1" a="1"/>
  <c r="E72" i="65" s="1"/>
  <c r="E69" i="24"/>
  <c r="E72" i="24" s="1" a="1"/>
  <c r="E72" i="24" s="1"/>
  <c r="E69" i="57"/>
  <c r="E72" i="57" s="1" a="1"/>
  <c r="E72" i="57" s="1"/>
  <c r="E69" i="45"/>
  <c r="E72" i="45" s="1" a="1"/>
  <c r="E72" i="45" s="1"/>
  <c r="E69" i="71"/>
  <c r="E72" i="71" s="1" a="1"/>
  <c r="E72" i="71" s="1"/>
  <c r="E67" i="55" a="1"/>
  <c r="E69" i="67"/>
  <c r="E72" i="67" s="1" a="1"/>
  <c r="E72" i="67" s="1"/>
  <c r="E67" i="67" a="1"/>
  <c r="E67" i="53" a="1"/>
  <c r="E69" i="53"/>
  <c r="E72" i="53" s="1" a="1"/>
  <c r="E72" i="53" s="1"/>
  <c r="E69" i="54"/>
  <c r="E72" i="54" s="1" a="1"/>
  <c r="E72" i="54" s="1"/>
  <c r="E67" i="19" a="1"/>
  <c r="E69" i="19"/>
  <c r="E72" i="19" s="1" a="1"/>
  <c r="E72" i="19" s="1"/>
  <c r="E69" i="30"/>
  <c r="E72" i="30" s="1" a="1"/>
  <c r="E72" i="30" s="1"/>
  <c r="E67" i="30" a="1"/>
  <c r="E69" i="74"/>
  <c r="E72" i="74" s="1" a="1"/>
  <c r="E72" i="74" s="1"/>
  <c r="E69" i="68"/>
  <c r="E72" i="68" s="1" a="1"/>
  <c r="E72" i="68" s="1"/>
  <c r="E69" i="44"/>
  <c r="E72" i="44" s="1" a="1"/>
  <c r="E72" i="44" s="1"/>
  <c r="E69" i="62"/>
  <c r="E72" i="62" s="1" a="1"/>
  <c r="E72" i="62" s="1"/>
  <c r="E69" i="13"/>
  <c r="E72" i="13" s="1" a="1"/>
  <c r="E72" i="13" s="1"/>
  <c r="E67" i="13" a="1"/>
  <c r="E69" i="27"/>
  <c r="E72" i="27" s="1" a="1"/>
  <c r="E72" i="27" s="1"/>
  <c r="E67" i="27" a="1"/>
  <c r="CH4" i="69" a="1"/>
  <c r="E4" i="90"/>
  <c r="E4" i="89"/>
  <c r="E67" i="39"/>
  <c r="H10" i="99" a="1"/>
  <c r="H10" i="99" s="1"/>
  <c r="G10" i="99" a="1"/>
  <c r="G10" i="99" s="1"/>
  <c r="P10" i="99" a="1"/>
  <c r="P10" i="99" s="1"/>
  <c r="S10" i="99" a="1"/>
  <c r="S10" i="99" s="1"/>
  <c r="U10" i="99" a="1"/>
  <c r="U10" i="99" s="1"/>
  <c r="W10" i="99" a="1"/>
  <c r="W10" i="99" s="1"/>
  <c r="Y10" i="99" a="1"/>
  <c r="Y10" i="99" s="1"/>
  <c r="AB10" i="99" a="1"/>
  <c r="AB10" i="99" s="1"/>
  <c r="AD10" i="99" a="1"/>
  <c r="AD10" i="99" s="1"/>
  <c r="AF10" i="99" a="1"/>
  <c r="AF10" i="99" s="1"/>
  <c r="AJ10" i="99" a="1"/>
  <c r="AJ10" i="99" s="1"/>
  <c r="AL10" i="99" a="1"/>
  <c r="AL10" i="99" s="1"/>
  <c r="AM10" i="99" a="1"/>
  <c r="AM10" i="99" s="1"/>
  <c r="AK10" i="99" a="1"/>
  <c r="AK10" i="99" s="1"/>
  <c r="AI10" i="99" a="1"/>
  <c r="AI10" i="99" s="1"/>
  <c r="AG10" i="99" a="1"/>
  <c r="AG10" i="99" s="1"/>
  <c r="Q10" i="99" a="1"/>
  <c r="Q10" i="99" s="1"/>
  <c r="T10" i="99" a="1"/>
  <c r="T10" i="99" s="1"/>
  <c r="Z10" i="99" a="1"/>
  <c r="Z10" i="99" s="1"/>
  <c r="AE10" i="99" a="1"/>
  <c r="AE10" i="99" s="1"/>
  <c r="E67" i="23" a="1"/>
  <c r="AA28" i="100" a="1"/>
  <c r="AA28" i="100" s="1"/>
  <c r="AG28" i="100" a="1"/>
  <c r="AG28" i="100" s="1"/>
  <c r="Q28" i="100" a="1"/>
  <c r="Q28" i="100" s="1"/>
  <c r="S28" i="100" a="1"/>
  <c r="S28" i="100" s="1"/>
  <c r="T28" i="100" a="1"/>
  <c r="T28" i="100" s="1"/>
  <c r="R28" i="100" a="1"/>
  <c r="R28" i="100" s="1"/>
  <c r="X28" i="100" a="1"/>
  <c r="X28" i="100" s="1"/>
  <c r="AC28" i="100" a="1"/>
  <c r="AC28" i="100" s="1"/>
  <c r="AK28" i="100" a="1"/>
  <c r="AK28" i="100" s="1"/>
  <c r="AM28" i="100" a="1"/>
  <c r="AM28" i="100" s="1"/>
  <c r="AI28" i="100" a="1"/>
  <c r="AI28" i="100" s="1"/>
  <c r="AF28" i="100" a="1"/>
  <c r="AF28" i="100" s="1"/>
  <c r="V28" i="100" a="1"/>
  <c r="V28" i="100" s="1"/>
  <c r="AB28" i="100" a="1"/>
  <c r="AB28" i="100" s="1"/>
  <c r="Y28" i="100" a="1"/>
  <c r="Y28" i="100" s="1"/>
  <c r="AD28" i="100" a="1"/>
  <c r="AD28" i="100" s="1"/>
  <c r="AH28" i="100" a="1"/>
  <c r="AH28" i="100" s="1"/>
  <c r="AN28" i="100" a="1"/>
  <c r="AN28" i="100" s="1"/>
  <c r="AJ28" i="100" a="1"/>
  <c r="AJ28" i="100" s="1"/>
  <c r="AE28" i="100" a="1"/>
  <c r="AE28" i="100" s="1"/>
  <c r="Z28" i="100" a="1"/>
  <c r="Z28" i="100" s="1"/>
  <c r="U28" i="100" a="1"/>
  <c r="U28" i="100" s="1"/>
  <c r="AL28" i="100" a="1"/>
  <c r="AL28" i="100" s="1"/>
  <c r="W28" i="100" a="1"/>
  <c r="W28" i="100" s="1"/>
  <c r="AK27" i="100" a="1"/>
  <c r="AK27" i="100" s="1"/>
  <c r="AG27" i="100" a="1"/>
  <c r="AG27" i="100" s="1"/>
  <c r="AL27" i="100" a="1"/>
  <c r="AL27" i="100" s="1"/>
  <c r="Q27" i="100" a="1"/>
  <c r="Q27" i="100" s="1"/>
  <c r="Z27" i="100" a="1"/>
  <c r="Z27" i="100" s="1"/>
  <c r="U27" i="100" a="1"/>
  <c r="U27" i="100" s="1"/>
  <c r="AA27" i="100" a="1"/>
  <c r="AA27" i="100" s="1"/>
  <c r="AF27" i="100" a="1"/>
  <c r="AF27" i="100" s="1"/>
  <c r="R27" i="100" a="1"/>
  <c r="R27" i="100" s="1"/>
  <c r="W27" i="100" a="1"/>
  <c r="W27" i="100" s="1"/>
  <c r="AC27" i="100" a="1"/>
  <c r="AC27" i="100" s="1"/>
  <c r="AH27" i="100" a="1"/>
  <c r="AH27" i="100" s="1"/>
  <c r="AM27" i="100" a="1"/>
  <c r="AM27" i="100" s="1"/>
  <c r="V27" i="100" a="1"/>
  <c r="V27" i="100" s="1"/>
  <c r="AB27" i="100" a="1"/>
  <c r="AB27" i="100" s="1"/>
  <c r="AJ27" i="100" a="1"/>
  <c r="AJ27" i="100" s="1"/>
  <c r="AE27" i="100" a="1"/>
  <c r="AE27" i="100" s="1"/>
  <c r="Y27" i="100" a="1"/>
  <c r="Y27" i="100" s="1"/>
  <c r="T27" i="100" a="1"/>
  <c r="T27" i="100" s="1"/>
  <c r="AN27" i="100" a="1"/>
  <c r="AN27" i="100" s="1"/>
  <c r="AI27" i="100" a="1"/>
  <c r="AI27" i="100" s="1"/>
  <c r="AD27" i="100" a="1"/>
  <c r="AD27" i="100" s="1"/>
  <c r="X27" i="100" a="1"/>
  <c r="X27" i="100" s="1"/>
  <c r="S27" i="100" a="1"/>
  <c r="S27" i="100" s="1"/>
  <c r="X30" i="100" a="1"/>
  <c r="X30" i="100" s="1"/>
  <c r="AB30" i="100" a="1"/>
  <c r="AB30" i="100" s="1"/>
  <c r="AF30" i="100" a="1"/>
  <c r="AF30" i="100" s="1"/>
  <c r="Y30" i="100" a="1"/>
  <c r="Y30" i="100" s="1"/>
  <c r="U30" i="100" a="1"/>
  <c r="U30" i="100" s="1"/>
  <c r="Q30" i="100" a="1"/>
  <c r="Q30" i="100" s="1"/>
  <c r="V30" i="100" a="1"/>
  <c r="V30" i="100" s="1"/>
  <c r="Z30" i="100" a="1"/>
  <c r="Z30" i="100" s="1"/>
  <c r="AE30" i="100" a="1"/>
  <c r="AE30" i="100" s="1"/>
  <c r="AI30" i="100" a="1"/>
  <c r="AI30" i="100" s="1"/>
  <c r="AN30" i="100" a="1"/>
  <c r="AN30" i="100" s="1"/>
  <c r="AL30" i="100" a="1"/>
  <c r="AL30" i="100" s="1"/>
  <c r="AH30" i="100" a="1"/>
  <c r="AH30" i="100" s="1"/>
  <c r="R30" i="100" a="1"/>
  <c r="R30" i="100" s="1"/>
  <c r="S30" i="100" a="1"/>
  <c r="S30" i="100" s="1"/>
  <c r="W30" i="100" a="1"/>
  <c r="W30" i="100" s="1"/>
  <c r="AA30" i="100" a="1"/>
  <c r="AA30" i="100" s="1"/>
  <c r="AG30" i="100" a="1"/>
  <c r="AG30" i="100" s="1"/>
  <c r="AK30" i="100" a="1"/>
  <c r="AK30" i="100" s="1"/>
  <c r="AC30" i="100" a="1"/>
  <c r="AC30" i="100" s="1"/>
  <c r="AM30" i="100" a="1"/>
  <c r="AM30" i="100" s="1"/>
  <c r="AD30" i="100" a="1"/>
  <c r="AD30" i="100" s="1"/>
  <c r="T30" i="100" a="1"/>
  <c r="T30" i="100" s="1"/>
  <c r="AJ30" i="100" a="1"/>
  <c r="AJ30" i="100" s="1"/>
  <c r="AH23" i="100" a="1"/>
  <c r="AH23" i="100" s="1"/>
  <c r="AL23" i="100" a="1"/>
  <c r="AL23" i="100" s="1"/>
  <c r="G23" i="100" a="1"/>
  <c r="G23" i="100" s="1"/>
  <c r="AE23" i="100" a="1"/>
  <c r="AE23" i="100" s="1"/>
  <c r="AC23" i="100" a="1"/>
  <c r="AC23" i="100" s="1"/>
  <c r="AA23" i="100" a="1"/>
  <c r="AA23" i="100" s="1"/>
  <c r="Y23" i="100" a="1"/>
  <c r="Y23" i="100" s="1"/>
  <c r="W23" i="100" a="1"/>
  <c r="W23" i="100" s="1"/>
  <c r="U23" i="100" a="1"/>
  <c r="U23" i="100" s="1"/>
  <c r="S23" i="100" a="1"/>
  <c r="S23" i="100" s="1"/>
  <c r="Q23" i="100" a="1"/>
  <c r="Q23" i="100" s="1"/>
  <c r="O23" i="100" a="1"/>
  <c r="O23" i="100" s="1"/>
  <c r="M23" i="100" a="1"/>
  <c r="M23" i="100" s="1"/>
  <c r="K23" i="100" a="1"/>
  <c r="K23" i="100" s="1"/>
  <c r="I23" i="100" a="1"/>
  <c r="I23" i="100" s="1"/>
  <c r="AN23" i="100" a="1"/>
  <c r="AN23" i="100" s="1"/>
  <c r="AM23" i="100" a="1"/>
  <c r="AM23" i="100" s="1"/>
  <c r="AK23" i="100" a="1"/>
  <c r="AK23" i="100" s="1"/>
  <c r="AJ23" i="100" a="1"/>
  <c r="AJ23" i="100" s="1"/>
  <c r="AI23" i="100" a="1"/>
  <c r="AI23" i="100" s="1"/>
  <c r="AG23" i="100" a="1"/>
  <c r="AG23" i="100" s="1"/>
  <c r="AF23" i="100" a="1"/>
  <c r="AF23" i="100" s="1"/>
  <c r="AD23" i="100" a="1"/>
  <c r="AD23" i="100" s="1"/>
  <c r="AB23" i="100" a="1"/>
  <c r="AB23" i="100" s="1"/>
  <c r="Z23" i="100" a="1"/>
  <c r="Z23" i="100" s="1"/>
  <c r="X23" i="100" a="1"/>
  <c r="X23" i="100" s="1"/>
  <c r="V23" i="100" a="1"/>
  <c r="V23" i="100" s="1"/>
  <c r="T23" i="100" a="1"/>
  <c r="T23" i="100" s="1"/>
  <c r="R23" i="100" a="1"/>
  <c r="R23" i="100" s="1"/>
  <c r="P23" i="100" a="1"/>
  <c r="P23" i="100" s="1"/>
  <c r="N23" i="100" a="1"/>
  <c r="N23" i="100" s="1"/>
  <c r="L23" i="100" a="1"/>
  <c r="L23" i="100" s="1"/>
  <c r="J23" i="100" a="1"/>
  <c r="J23" i="100" s="1"/>
  <c r="H23" i="100" a="1"/>
  <c r="H23" i="100" s="1"/>
  <c r="F23" i="100" a="1"/>
  <c r="F23" i="100" s="1"/>
  <c r="Z29" i="100" a="1"/>
  <c r="Z29" i="100" s="1"/>
  <c r="AD29" i="100" a="1"/>
  <c r="AD29" i="100" s="1"/>
  <c r="Q29" i="100" a="1"/>
  <c r="Q29" i="100" s="1"/>
  <c r="V29" i="100" a="1"/>
  <c r="V29" i="100" s="1"/>
  <c r="AK29" i="100" a="1"/>
  <c r="AK29" i="100" s="1"/>
  <c r="AG29" i="100" a="1"/>
  <c r="AG29" i="100" s="1"/>
  <c r="AL29" i="100" a="1"/>
  <c r="AL29" i="100" s="1"/>
  <c r="AE29" i="100" a="1"/>
  <c r="AE29" i="100" s="1"/>
  <c r="R29" i="100" a="1"/>
  <c r="R29" i="100" s="1"/>
  <c r="AJ29" i="100" a="1"/>
  <c r="AJ29" i="100" s="1"/>
  <c r="AM29" i="100" a="1"/>
  <c r="AM29" i="100" s="1"/>
  <c r="Y29" i="100" a="1"/>
  <c r="Y29" i="100" s="1"/>
  <c r="AH29" i="100" a="1"/>
  <c r="AH29" i="100" s="1"/>
  <c r="AA29" i="100" a="1"/>
  <c r="AA29" i="100" s="1"/>
  <c r="W29" i="100" a="1"/>
  <c r="W29" i="100" s="1"/>
  <c r="T29" i="100" a="1"/>
  <c r="T29" i="100" s="1"/>
  <c r="U29" i="100" a="1"/>
  <c r="U29" i="100" s="1"/>
  <c r="AF29" i="100" a="1"/>
  <c r="AF29" i="100" s="1"/>
  <c r="AC29" i="100" a="1"/>
  <c r="AC29" i="100" s="1"/>
  <c r="X29" i="100" a="1"/>
  <c r="X29" i="100" s="1"/>
  <c r="S29" i="100" a="1"/>
  <c r="S29" i="100" s="1"/>
  <c r="AB29" i="100" a="1"/>
  <c r="AB29" i="100" s="1"/>
  <c r="AN29" i="100" a="1"/>
  <c r="AN29" i="100" s="1"/>
  <c r="AI29" i="100" a="1"/>
  <c r="AI29" i="100" s="1"/>
  <c r="AJ26" i="100" a="1"/>
  <c r="AJ26" i="100" s="1"/>
  <c r="AB26" i="100" a="1"/>
  <c r="AB26" i="100" s="1"/>
  <c r="AN26" i="100" a="1"/>
  <c r="AN26" i="100" s="1"/>
  <c r="AH26" i="100" a="1"/>
  <c r="AH26" i="100" s="1"/>
  <c r="AC26" i="100" a="1"/>
  <c r="AC26" i="100" s="1"/>
  <c r="AI26" i="100" a="1"/>
  <c r="AI26" i="100" s="1"/>
  <c r="Q26" i="100" a="1"/>
  <c r="Q26" i="100" s="1"/>
  <c r="U26" i="100" a="1"/>
  <c r="U26" i="100" s="1"/>
  <c r="AL26" i="100" a="1"/>
  <c r="AL26" i="100" s="1"/>
  <c r="AF26" i="100" a="1"/>
  <c r="AF26" i="100" s="1"/>
  <c r="Y26" i="100" a="1"/>
  <c r="Y26" i="100" s="1"/>
  <c r="AM26" i="100" a="1"/>
  <c r="AM26" i="100" s="1"/>
  <c r="W26" i="100" a="1"/>
  <c r="W26" i="100" s="1"/>
  <c r="AG26" i="100" a="1"/>
  <c r="AG26" i="100" s="1"/>
  <c r="V26" i="100" a="1"/>
  <c r="V26" i="100" s="1"/>
  <c r="AA26" i="100" a="1"/>
  <c r="AA26" i="100" s="1"/>
  <c r="R26" i="100" a="1"/>
  <c r="R26" i="100" s="1"/>
  <c r="X26" i="100" a="1"/>
  <c r="X26" i="100" s="1"/>
  <c r="AD26" i="100" a="1"/>
  <c r="AD26" i="100" s="1"/>
  <c r="AK26" i="100" a="1"/>
  <c r="AK26" i="100" s="1"/>
  <c r="T26" i="100" a="1"/>
  <c r="T26" i="100" s="1"/>
  <c r="S26" i="100" a="1"/>
  <c r="S26" i="100" s="1"/>
  <c r="Z26" i="100" a="1"/>
  <c r="Z26" i="100" s="1"/>
  <c r="AE26" i="100" a="1"/>
  <c r="AE26" i="100" s="1"/>
  <c r="E12" i="81"/>
  <c r="F10" i="81"/>
  <c r="E12" i="79"/>
  <c r="F10" i="79"/>
  <c r="E12" i="80"/>
  <c r="F10" i="80"/>
  <c r="AI23" i="99" a="1"/>
  <c r="AI23" i="99" s="1"/>
  <c r="AM23" i="99" a="1"/>
  <c r="AM23" i="99" s="1"/>
  <c r="AK23" i="99" a="1"/>
  <c r="AK23" i="99" s="1"/>
  <c r="AH23" i="99" a="1"/>
  <c r="AH23" i="99" s="1"/>
  <c r="AE23" i="99" a="1"/>
  <c r="AE23" i="99" s="1"/>
  <c r="AA23" i="99" a="1"/>
  <c r="AA23" i="99" s="1"/>
  <c r="X23" i="99" a="1"/>
  <c r="X23" i="99" s="1"/>
  <c r="T23" i="99" a="1"/>
  <c r="T23" i="99" s="1"/>
  <c r="P23" i="99" a="1"/>
  <c r="P23" i="99" s="1"/>
  <c r="L23" i="99" a="1"/>
  <c r="L23" i="99" s="1"/>
  <c r="H23" i="99" a="1"/>
  <c r="H23" i="99" s="1"/>
  <c r="AC23" i="99" a="1"/>
  <c r="AC23" i="99" s="1"/>
  <c r="V23" i="99" a="1"/>
  <c r="V23" i="99" s="1"/>
  <c r="Q23" i="99" a="1"/>
  <c r="Q23" i="99" s="1"/>
  <c r="N23" i="99" a="1"/>
  <c r="N23" i="99" s="1"/>
  <c r="K23" i="99" a="1"/>
  <c r="K23" i="99" s="1"/>
  <c r="F23" i="99" a="1"/>
  <c r="F23" i="99" s="1"/>
  <c r="AN23" i="99" a="1"/>
  <c r="AN23" i="99" s="1"/>
  <c r="AG23" i="99" a="1"/>
  <c r="AG23" i="99" s="1"/>
  <c r="AD23" i="99" a="1"/>
  <c r="AD23" i="99" s="1"/>
  <c r="Y23" i="99" a="1"/>
  <c r="Y23" i="99" s="1"/>
  <c r="U23" i="99" a="1"/>
  <c r="U23" i="99" s="1"/>
  <c r="S23" i="99" a="1"/>
  <c r="S23" i="99" s="1"/>
  <c r="O23" i="99" a="1"/>
  <c r="O23" i="99" s="1"/>
  <c r="J23" i="99" a="1"/>
  <c r="J23" i="99" s="1"/>
  <c r="G23" i="99" a="1"/>
  <c r="G23" i="99" s="1"/>
  <c r="AL23" i="99" a="1"/>
  <c r="AL23" i="99" s="1"/>
  <c r="AJ23" i="99" a="1"/>
  <c r="AJ23" i="99" s="1"/>
  <c r="AF23" i="99" a="1"/>
  <c r="AF23" i="99" s="1"/>
  <c r="AB23" i="99" a="1"/>
  <c r="AB23" i="99" s="1"/>
  <c r="Z23" i="99" a="1"/>
  <c r="Z23" i="99" s="1"/>
  <c r="W23" i="99" a="1"/>
  <c r="W23" i="99" s="1"/>
  <c r="R23" i="99" a="1"/>
  <c r="R23" i="99" s="1"/>
  <c r="M23" i="99" a="1"/>
  <c r="M23" i="99" s="1"/>
  <c r="I23" i="99" a="1"/>
  <c r="I23" i="99" s="1"/>
  <c r="E67" i="68" a="1"/>
  <c r="E67" i="49" a="1"/>
  <c r="E67" i="33" a="1"/>
  <c r="E67" i="44" a="1"/>
  <c r="E67" i="54" a="1"/>
  <c r="E67" i="72" a="1"/>
  <c r="E67" i="74" a="1"/>
  <c r="E67" i="56" a="1"/>
  <c r="E67" i="65" a="1"/>
  <c r="EX4" i="69" a="1"/>
  <c r="EX4" i="69" s="1"/>
  <c r="E67" i="38" a="1"/>
  <c r="E67" i="73" a="1"/>
  <c r="AY14" i="98"/>
  <c r="AH11" i="99" a="1"/>
  <c r="AH11" i="99" s="1"/>
  <c r="V11" i="99" a="1"/>
  <c r="V11" i="99" s="1"/>
  <c r="J11" i="99" a="1"/>
  <c r="J11" i="99" s="1"/>
  <c r="AG10" i="100" a="1"/>
  <c r="AG10" i="100" s="1"/>
  <c r="U10" i="100" a="1"/>
  <c r="U10" i="100" s="1"/>
  <c r="I10" i="100" a="1"/>
  <c r="I10" i="100" s="1"/>
  <c r="AA11" i="99" a="1"/>
  <c r="AA11" i="99" s="1"/>
  <c r="Z10" i="100" a="1"/>
  <c r="Z10" i="100" s="1"/>
  <c r="AK11" i="99" a="1"/>
  <c r="AK11" i="99" s="1"/>
  <c r="L11" i="99" a="1"/>
  <c r="L11" i="99" s="1"/>
  <c r="AI10" i="100" a="1"/>
  <c r="AI10" i="100" s="1"/>
  <c r="K10" i="100" a="1"/>
  <c r="K10" i="100" s="1"/>
  <c r="K11" i="99" a="1"/>
  <c r="K11" i="99" s="1"/>
  <c r="AG11" i="99" a="1"/>
  <c r="AG11" i="99" s="1"/>
  <c r="U11" i="99" a="1"/>
  <c r="U11" i="99" s="1"/>
  <c r="I11" i="99" a="1"/>
  <c r="I11" i="99" s="1"/>
  <c r="AF10" i="100" a="1"/>
  <c r="AF10" i="100" s="1"/>
  <c r="T10" i="100" a="1"/>
  <c r="T10" i="100" s="1"/>
  <c r="H10" i="100" a="1"/>
  <c r="H10" i="100" s="1"/>
  <c r="Z11" i="99" a="1"/>
  <c r="Z11" i="99" s="1"/>
  <c r="AK10" i="100" a="1"/>
  <c r="AK10" i="100" s="1"/>
  <c r="X11" i="99" a="1"/>
  <c r="X11" i="99" s="1"/>
  <c r="AI11" i="99" a="1"/>
  <c r="AI11" i="99" s="1"/>
  <c r="AH10" i="100" a="1"/>
  <c r="AH10" i="100" s="1"/>
  <c r="J10" i="100" a="1"/>
  <c r="J10" i="100" s="1"/>
  <c r="AF11" i="99" a="1"/>
  <c r="AF11" i="99" s="1"/>
  <c r="T11" i="99" a="1"/>
  <c r="T11" i="99" s="1"/>
  <c r="H11" i="99" a="1"/>
  <c r="H11" i="99" s="1"/>
  <c r="AE10" i="100" a="1"/>
  <c r="AE10" i="100" s="1"/>
  <c r="S10" i="100" a="1"/>
  <c r="S10" i="100" s="1"/>
  <c r="G10" i="100" a="1"/>
  <c r="G10" i="100" s="1"/>
  <c r="AL10" i="100" a="1"/>
  <c r="AL10" i="100" s="1"/>
  <c r="N10" i="100" a="1"/>
  <c r="N10" i="100" s="1"/>
  <c r="Y11" i="99" a="1"/>
  <c r="Y11" i="99" s="1"/>
  <c r="AJ11" i="99" a="1"/>
  <c r="AJ11" i="99" s="1"/>
  <c r="W10" i="100" a="1"/>
  <c r="W10" i="100" s="1"/>
  <c r="AE11" i="99" a="1"/>
  <c r="AE11" i="99" s="1"/>
  <c r="S11" i="99" a="1"/>
  <c r="S11" i="99" s="1"/>
  <c r="G11" i="99" a="1"/>
  <c r="G11" i="99" s="1"/>
  <c r="AD10" i="100" a="1"/>
  <c r="AD10" i="100" s="1"/>
  <c r="R10" i="100" a="1"/>
  <c r="R10" i="100" s="1"/>
  <c r="F10" i="100" a="1"/>
  <c r="F10" i="100" s="1"/>
  <c r="AL11" i="99" a="1"/>
  <c r="AL11" i="99" s="1"/>
  <c r="Y10" i="100" a="1"/>
  <c r="Y10" i="100" s="1"/>
  <c r="M11" i="99" a="1"/>
  <c r="M11" i="99" s="1"/>
  <c r="AD11" i="99" a="1"/>
  <c r="AD11" i="99" s="1"/>
  <c r="R11" i="99" a="1"/>
  <c r="R11" i="99" s="1"/>
  <c r="F11" i="99" a="1"/>
  <c r="F11" i="99" s="1"/>
  <c r="AC10" i="100" a="1"/>
  <c r="AC10" i="100" s="1"/>
  <c r="Q10" i="100" a="1"/>
  <c r="Q10" i="100" s="1"/>
  <c r="AM11" i="99" a="1"/>
  <c r="AM11" i="99" s="1"/>
  <c r="AJ10" i="100" a="1"/>
  <c r="AJ10" i="100" s="1"/>
  <c r="X10" i="100" a="1"/>
  <c r="X10" i="100" s="1"/>
  <c r="L10" i="100" a="1"/>
  <c r="L10" i="100" s="1"/>
  <c r="W11" i="99" a="1"/>
  <c r="W11" i="99" s="1"/>
  <c r="AC11" i="99" a="1"/>
  <c r="AC11" i="99" s="1"/>
  <c r="Q11" i="99" a="1"/>
  <c r="Q11" i="99" s="1"/>
  <c r="AN10" i="100" a="1"/>
  <c r="AN10" i="100" s="1"/>
  <c r="AB10" i="100" a="1"/>
  <c r="AB10" i="100" s="1"/>
  <c r="P10" i="100" a="1"/>
  <c r="P10" i="100" s="1"/>
  <c r="N11" i="99" a="1"/>
  <c r="N11" i="99" s="1"/>
  <c r="AN11" i="99" a="1"/>
  <c r="AN11" i="99" s="1"/>
  <c r="AB11" i="99" a="1"/>
  <c r="AB11" i="99" s="1"/>
  <c r="P11" i="99" a="1"/>
  <c r="P11" i="99" s="1"/>
  <c r="AM10" i="100" a="1"/>
  <c r="AM10" i="100" s="1"/>
  <c r="AA10" i="100" a="1"/>
  <c r="AA10" i="100" s="1"/>
  <c r="O10" i="100" a="1"/>
  <c r="O10" i="100" s="1"/>
  <c r="O11" i="99" a="1"/>
  <c r="O11" i="99" s="1"/>
  <c r="M10" i="100" a="1"/>
  <c r="M10" i="100" s="1"/>
  <c r="V10" i="100" a="1"/>
  <c r="V10" i="100" s="1"/>
  <c r="BC16" i="98" a="1"/>
  <c r="BC15" i="98" a="1"/>
  <c r="BC17" i="98" a="1"/>
  <c r="BC18" i="98" a="1"/>
  <c r="BC19" i="98" a="1"/>
  <c r="E69" i="22"/>
  <c r="E72" i="22" s="1" a="1"/>
  <c r="E72" i="22" s="1"/>
  <c r="DZ4" i="96" a="1"/>
  <c r="DZ4" i="96" s="1"/>
  <c r="AQ14" i="98"/>
  <c r="AP47" i="85"/>
  <c r="AP48" i="85" s="1"/>
  <c r="E75" i="91" a="1"/>
  <c r="E75" i="91" s="1"/>
  <c r="D58" i="100"/>
  <c r="D58" i="99"/>
  <c r="I47" i="100" a="1"/>
  <c r="I47" i="100" s="1"/>
  <c r="AK47" i="100"/>
  <c r="AE47" i="100"/>
  <c r="AA47" i="100"/>
  <c r="V47" i="100"/>
  <c r="Q47" i="100"/>
  <c r="Z47" i="99"/>
  <c r="M47" i="99" a="1"/>
  <c r="M47" i="99" s="1"/>
  <c r="AM47" i="99"/>
  <c r="AE47" i="99"/>
  <c r="AA47" i="99"/>
  <c r="U47" i="99"/>
  <c r="M47" i="100" a="1"/>
  <c r="M47" i="100" s="1"/>
  <c r="L47" i="100" a="1"/>
  <c r="L47" i="100" s="1"/>
  <c r="H47" i="100" a="1"/>
  <c r="H47" i="100" s="1"/>
  <c r="O47" i="100" a="1"/>
  <c r="O47" i="100" s="1"/>
  <c r="K47" i="100" a="1"/>
  <c r="K47" i="100" s="1"/>
  <c r="X47" i="100"/>
  <c r="F47" i="100" a="1"/>
  <c r="F47" i="100" s="1"/>
  <c r="N47" i="100" a="1"/>
  <c r="N47" i="100" s="1"/>
  <c r="J47" i="100" a="1"/>
  <c r="J47" i="100" s="1"/>
  <c r="G47" i="100" a="1"/>
  <c r="G47" i="100" s="1"/>
  <c r="AD47" i="100"/>
  <c r="AG47" i="100"/>
  <c r="AJ47" i="100"/>
  <c r="F47" i="99" a="1"/>
  <c r="F47" i="99" s="1"/>
  <c r="T47" i="99"/>
  <c r="Z47" i="100"/>
  <c r="S47" i="99"/>
  <c r="H47" i="99" a="1"/>
  <c r="H47" i="99" s="1"/>
  <c r="P47" i="99" a="1"/>
  <c r="P47" i="99" s="1"/>
  <c r="X47" i="99"/>
  <c r="AL47" i="99"/>
  <c r="T47" i="100"/>
  <c r="AN47" i="100"/>
  <c r="AC47" i="100"/>
  <c r="W47" i="100"/>
  <c r="AI47" i="100"/>
  <c r="AM47" i="100"/>
  <c r="W47" i="99"/>
  <c r="AI47" i="99"/>
  <c r="N47" i="99" a="1"/>
  <c r="N47" i="99" s="1"/>
  <c r="V47" i="99"/>
  <c r="AF47" i="99"/>
  <c r="S47" i="100"/>
  <c r="AB47" i="100"/>
  <c r="AF47" i="100"/>
  <c r="AL47" i="100"/>
  <c r="Y47" i="99"/>
  <c r="AG47" i="99"/>
  <c r="L47" i="99" a="1"/>
  <c r="L47" i="99" s="1"/>
  <c r="AD47" i="99"/>
  <c r="R47" i="100"/>
  <c r="R47" i="99"/>
  <c r="I47" i="99" a="1"/>
  <c r="I47" i="99" s="1"/>
  <c r="O47" i="99" a="1"/>
  <c r="O47" i="99" s="1"/>
  <c r="AJ47" i="99"/>
  <c r="AC47" i="99"/>
  <c r="AK47" i="99"/>
  <c r="K47" i="99" a="1"/>
  <c r="K47" i="99" s="1"/>
  <c r="Q47" i="99"/>
  <c r="AB47" i="99"/>
  <c r="AN47" i="99"/>
  <c r="U47" i="100"/>
  <c r="Y47" i="100"/>
  <c r="P47" i="100" a="1"/>
  <c r="P47" i="100" s="1"/>
  <c r="G47" i="99" a="1"/>
  <c r="G47" i="99" s="1"/>
  <c r="J47" i="99" a="1"/>
  <c r="J47" i="99" s="1"/>
  <c r="AH47" i="99"/>
  <c r="AH47" i="100"/>
  <c r="M45" i="100" a="1"/>
  <c r="M45" i="100" s="1"/>
  <c r="P45" i="100" a="1"/>
  <c r="P45" i="100" s="1"/>
  <c r="G45" i="100" a="1"/>
  <c r="G45" i="100" s="1"/>
  <c r="I45" i="100" a="1"/>
  <c r="I45" i="100" s="1"/>
  <c r="L45" i="100" a="1"/>
  <c r="L45" i="100" s="1"/>
  <c r="O45" i="100" a="1"/>
  <c r="O45" i="100" s="1"/>
  <c r="H45" i="100" a="1"/>
  <c r="H45" i="100" s="1"/>
  <c r="K45" i="100" a="1"/>
  <c r="K45" i="100" s="1"/>
  <c r="AE45" i="99"/>
  <c r="AC45" i="99"/>
  <c r="AA45" i="99"/>
  <c r="Y45" i="99"/>
  <c r="X45" i="100"/>
  <c r="V45" i="100"/>
  <c r="F45" i="100" a="1"/>
  <c r="F45" i="100" s="1"/>
  <c r="N45" i="100" a="1"/>
  <c r="N45" i="100" s="1"/>
  <c r="Q45" i="99"/>
  <c r="S45" i="99"/>
  <c r="U45" i="99"/>
  <c r="AN45" i="100"/>
  <c r="AM45" i="100"/>
  <c r="AL45" i="100"/>
  <c r="AK45" i="100"/>
  <c r="AJ45" i="100"/>
  <c r="AI45" i="100"/>
  <c r="AH45" i="100"/>
  <c r="AG45" i="100"/>
  <c r="AF45" i="100"/>
  <c r="AE45" i="100"/>
  <c r="AD45" i="100"/>
  <c r="AC45" i="100"/>
  <c r="AB45" i="100"/>
  <c r="AA45" i="100"/>
  <c r="Z45" i="100"/>
  <c r="Y45" i="100"/>
  <c r="W45" i="99"/>
  <c r="W45" i="100"/>
  <c r="J45" i="100" a="1"/>
  <c r="J45" i="100" s="1"/>
  <c r="U45" i="100"/>
  <c r="T45" i="100"/>
  <c r="S45" i="100"/>
  <c r="R45" i="100"/>
  <c r="Q45" i="100"/>
  <c r="AN45" i="99"/>
  <c r="AK45" i="99"/>
  <c r="AI45" i="99"/>
  <c r="AG45" i="99"/>
  <c r="AF45" i="99"/>
  <c r="AD45" i="99"/>
  <c r="AB45" i="99"/>
  <c r="Z45" i="99"/>
  <c r="X45" i="99"/>
  <c r="V45" i="99"/>
  <c r="T45" i="99"/>
  <c r="R45" i="99"/>
  <c r="P45" i="99" a="1"/>
  <c r="P45" i="99" s="1"/>
  <c r="O45" i="99" a="1"/>
  <c r="O45" i="99" s="1"/>
  <c r="N45" i="99" a="1"/>
  <c r="N45" i="99" s="1"/>
  <c r="M45" i="99" a="1"/>
  <c r="M45" i="99" s="1"/>
  <c r="L45" i="99" a="1"/>
  <c r="L45" i="99" s="1"/>
  <c r="K45" i="99" a="1"/>
  <c r="K45" i="99" s="1"/>
  <c r="J45" i="99" a="1"/>
  <c r="J45" i="99" s="1"/>
  <c r="I45" i="99" a="1"/>
  <c r="I45" i="99" s="1"/>
  <c r="H45" i="99" a="1"/>
  <c r="H45" i="99" s="1"/>
  <c r="G45" i="99" a="1"/>
  <c r="G45" i="99" s="1"/>
  <c r="F45" i="99" a="1"/>
  <c r="F45" i="99" s="1"/>
  <c r="AM45" i="99"/>
  <c r="AL45" i="99"/>
  <c r="AJ45" i="99"/>
  <c r="AH45" i="99"/>
  <c r="AN42" i="100"/>
  <c r="AM42" i="100"/>
  <c r="AL42" i="100"/>
  <c r="L42" i="100" a="1"/>
  <c r="L42" i="100" s="1"/>
  <c r="O42" i="100" a="1"/>
  <c r="O42" i="100" s="1"/>
  <c r="G42" i="100" a="1"/>
  <c r="G42" i="100" s="1"/>
  <c r="AJ42" i="100"/>
  <c r="I42" i="100" a="1"/>
  <c r="I42" i="100" s="1"/>
  <c r="AK42" i="100"/>
  <c r="AA42" i="100"/>
  <c r="AM42" i="99"/>
  <c r="F42" i="99" a="1"/>
  <c r="F42" i="99" s="1"/>
  <c r="G42" i="99" a="1"/>
  <c r="G42" i="99" s="1"/>
  <c r="H42" i="99" a="1"/>
  <c r="H42" i="99" s="1"/>
  <c r="I42" i="99" a="1"/>
  <c r="I42" i="99" s="1"/>
  <c r="J42" i="99" a="1"/>
  <c r="J42" i="99" s="1"/>
  <c r="K42" i="99" a="1"/>
  <c r="K42" i="99" s="1"/>
  <c r="L42" i="99" a="1"/>
  <c r="L42" i="99" s="1"/>
  <c r="F42" i="100" a="1"/>
  <c r="F42" i="100" s="1"/>
  <c r="M42" i="99" a="1"/>
  <c r="M42" i="99" s="1"/>
  <c r="N42" i="99" a="1"/>
  <c r="N42" i="99" s="1"/>
  <c r="O42" i="99" a="1"/>
  <c r="O42" i="99" s="1"/>
  <c r="P42" i="99" a="1"/>
  <c r="P42" i="99" s="1"/>
  <c r="R42" i="99"/>
  <c r="S42" i="99"/>
  <c r="U42" i="99"/>
  <c r="K42" i="100" a="1"/>
  <c r="K42" i="100" s="1"/>
  <c r="J42" i="100" a="1"/>
  <c r="J42" i="100" s="1"/>
  <c r="Z42" i="100"/>
  <c r="Y42" i="99"/>
  <c r="AB42" i="99"/>
  <c r="AD42" i="99"/>
  <c r="AF42" i="99"/>
  <c r="AH42" i="99"/>
  <c r="M42" i="100" a="1"/>
  <c r="M42" i="100" s="1"/>
  <c r="P42" i="100" a="1"/>
  <c r="P42" i="100" s="1"/>
  <c r="AJ42" i="99"/>
  <c r="H42" i="100" a="1"/>
  <c r="H42" i="100" s="1"/>
  <c r="AL42" i="99"/>
  <c r="N42" i="100" a="1"/>
  <c r="N42" i="100" s="1"/>
  <c r="Q42" i="99"/>
  <c r="T42" i="99"/>
  <c r="V42" i="99"/>
  <c r="X42" i="99"/>
  <c r="Z42" i="99"/>
  <c r="AA42" i="99"/>
  <c r="AC42" i="99"/>
  <c r="AE42" i="99"/>
  <c r="AG42" i="99"/>
  <c r="AI42" i="99"/>
  <c r="AN42" i="99"/>
  <c r="Q42" i="100"/>
  <c r="R42" i="100"/>
  <c r="S42" i="100"/>
  <c r="T42" i="100"/>
  <c r="AK42" i="99"/>
  <c r="U42" i="100"/>
  <c r="V42" i="100"/>
  <c r="W42" i="100"/>
  <c r="X42" i="100"/>
  <c r="Y42" i="100"/>
  <c r="AB42" i="100"/>
  <c r="AC42" i="100"/>
  <c r="AD42" i="100"/>
  <c r="AE42" i="100"/>
  <c r="AF42" i="100"/>
  <c r="AG42" i="100"/>
  <c r="AH42" i="100"/>
  <c r="AI42" i="100"/>
  <c r="W42" i="99"/>
  <c r="G29" i="100" a="1"/>
  <c r="G29" i="100" s="1"/>
  <c r="J29" i="100" a="1"/>
  <c r="J29" i="100" s="1"/>
  <c r="M29" i="100" a="1"/>
  <c r="M29" i="100" s="1"/>
  <c r="AB29" i="99"/>
  <c r="Q29" i="99"/>
  <c r="S29" i="99"/>
  <c r="T29" i="99"/>
  <c r="V29" i="99"/>
  <c r="X29" i="99"/>
  <c r="Z29" i="99"/>
  <c r="R29" i="99"/>
  <c r="P29" i="100" a="1"/>
  <c r="P29" i="100" s="1"/>
  <c r="N29" i="100" a="1"/>
  <c r="N29" i="100" s="1"/>
  <c r="L29" i="100" a="1"/>
  <c r="L29" i="100" s="1"/>
  <c r="I29" i="100" a="1"/>
  <c r="I29" i="100" s="1"/>
  <c r="F29" i="100" a="1"/>
  <c r="F29" i="100" s="1"/>
  <c r="U29" i="99"/>
  <c r="O29" i="100" a="1"/>
  <c r="O29" i="100" s="1"/>
  <c r="N29" i="99" a="1"/>
  <c r="N29" i="99" s="1"/>
  <c r="K29" i="99" a="1"/>
  <c r="K29" i="99" s="1"/>
  <c r="H29" i="99" a="1"/>
  <c r="H29" i="99" s="1"/>
  <c r="F29" i="99" a="1"/>
  <c r="F29" i="99" s="1"/>
  <c r="AH29" i="99"/>
  <c r="AF29" i="99"/>
  <c r="AD29" i="99"/>
  <c r="W29" i="99"/>
  <c r="Y29" i="99"/>
  <c r="AA29" i="99"/>
  <c r="AC29" i="99"/>
  <c r="AE29" i="99"/>
  <c r="AG29" i="99"/>
  <c r="P29" i="99" a="1"/>
  <c r="P29" i="99" s="1"/>
  <c r="L29" i="99" a="1"/>
  <c r="L29" i="99" s="1"/>
  <c r="H29" i="100" a="1"/>
  <c r="H29" i="100" s="1"/>
  <c r="K29" i="100" a="1"/>
  <c r="K29" i="100" s="1"/>
  <c r="AJ29" i="99"/>
  <c r="AK29" i="99"/>
  <c r="AL29" i="99"/>
  <c r="AM29" i="99"/>
  <c r="AN29" i="99"/>
  <c r="G29" i="99" a="1"/>
  <c r="G29" i="99" s="1"/>
  <c r="I29" i="99" a="1"/>
  <c r="I29" i="99" s="1"/>
  <c r="O29" i="99" a="1"/>
  <c r="O29" i="99" s="1"/>
  <c r="J29" i="99" a="1"/>
  <c r="J29" i="99" s="1"/>
  <c r="M29" i="99" a="1"/>
  <c r="M29" i="99" s="1"/>
  <c r="AI29" i="99"/>
  <c r="V26" i="99"/>
  <c r="U26" i="99"/>
  <c r="T26" i="99"/>
  <c r="S26" i="99"/>
  <c r="R26" i="99"/>
  <c r="Q26" i="99"/>
  <c r="AH26" i="99"/>
  <c r="AG26" i="99"/>
  <c r="AF26" i="99"/>
  <c r="AE26" i="99"/>
  <c r="AD26" i="99"/>
  <c r="AC26" i="99"/>
  <c r="I26" i="99" a="1"/>
  <c r="I26" i="99" s="1"/>
  <c r="J26" i="99" a="1"/>
  <c r="J26" i="99" s="1"/>
  <c r="K26" i="99" a="1"/>
  <c r="K26" i="99" s="1"/>
  <c r="L26" i="99" a="1"/>
  <c r="L26" i="99" s="1"/>
  <c r="M26" i="99" a="1"/>
  <c r="M26" i="99" s="1"/>
  <c r="N26" i="99" a="1"/>
  <c r="N26" i="99" s="1"/>
  <c r="O26" i="100" a="1"/>
  <c r="O26" i="100" s="1"/>
  <c r="M26" i="100" a="1"/>
  <c r="M26" i="100" s="1"/>
  <c r="Y26" i="99"/>
  <c r="X26" i="99"/>
  <c r="AI26" i="99"/>
  <c r="H26" i="99" a="1"/>
  <c r="H26" i="99" s="1"/>
  <c r="G26" i="99" a="1"/>
  <c r="G26" i="99" s="1"/>
  <c r="F26" i="99" a="1"/>
  <c r="F26" i="99" s="1"/>
  <c r="AN26" i="99"/>
  <c r="AM26" i="99"/>
  <c r="AL26" i="99"/>
  <c r="AK26" i="99"/>
  <c r="AJ26" i="99"/>
  <c r="O26" i="99" a="1"/>
  <c r="O26" i="99" s="1"/>
  <c r="Z26" i="99"/>
  <c r="AA26" i="99"/>
  <c r="AB26" i="99"/>
  <c r="F26" i="100" a="1"/>
  <c r="F26" i="100" s="1"/>
  <c r="G26" i="100" a="1"/>
  <c r="G26" i="100" s="1"/>
  <c r="P26" i="99" a="1"/>
  <c r="P26" i="99" s="1"/>
  <c r="H26" i="100" a="1"/>
  <c r="H26" i="100" s="1"/>
  <c r="I26" i="100" a="1"/>
  <c r="I26" i="100" s="1"/>
  <c r="J26" i="100" a="1"/>
  <c r="J26" i="100" s="1"/>
  <c r="K26" i="100" a="1"/>
  <c r="K26" i="100" s="1"/>
  <c r="L26" i="100" a="1"/>
  <c r="L26" i="100" s="1"/>
  <c r="W26" i="99"/>
  <c r="N26" i="100" a="1"/>
  <c r="N26" i="100" s="1"/>
  <c r="P26" i="100" a="1"/>
  <c r="P26" i="100" s="1"/>
  <c r="F28" i="100" a="1"/>
  <c r="F28" i="100" s="1"/>
  <c r="G28" i="100" a="1"/>
  <c r="G28" i="100" s="1"/>
  <c r="H28" i="100" a="1"/>
  <c r="H28" i="100" s="1"/>
  <c r="I28" i="100" a="1"/>
  <c r="I28" i="100" s="1"/>
  <c r="J28" i="100" a="1"/>
  <c r="J28" i="100" s="1"/>
  <c r="K28" i="100" a="1"/>
  <c r="K28" i="100" s="1"/>
  <c r="L28" i="100" a="1"/>
  <c r="L28" i="100" s="1"/>
  <c r="M28" i="100" a="1"/>
  <c r="M28" i="100" s="1"/>
  <c r="N28" i="100" a="1"/>
  <c r="N28" i="100" s="1"/>
  <c r="O28" i="100" a="1"/>
  <c r="O28" i="100" s="1"/>
  <c r="P28" i="100" a="1"/>
  <c r="P28" i="100" s="1"/>
  <c r="Q28" i="99"/>
  <c r="R28" i="99"/>
  <c r="S28" i="99"/>
  <c r="T28" i="99"/>
  <c r="U28" i="99"/>
  <c r="V28" i="99"/>
  <c r="W28" i="99"/>
  <c r="X28" i="99"/>
  <c r="Y28" i="99"/>
  <c r="Z28" i="99"/>
  <c r="AA28" i="99"/>
  <c r="AB28" i="99"/>
  <c r="AC28" i="99"/>
  <c r="AD28" i="99"/>
  <c r="AE28" i="99"/>
  <c r="AF28" i="99"/>
  <c r="AG28" i="99"/>
  <c r="AH28" i="99"/>
  <c r="AI28" i="99"/>
  <c r="AJ28" i="99"/>
  <c r="AK28" i="99"/>
  <c r="AL28" i="99"/>
  <c r="AM28" i="99"/>
  <c r="AN28" i="99"/>
  <c r="F28" i="99" a="1"/>
  <c r="F28" i="99" s="1"/>
  <c r="G28" i="99" a="1"/>
  <c r="G28" i="99" s="1"/>
  <c r="H28" i="99" a="1"/>
  <c r="H28" i="99" s="1"/>
  <c r="I28" i="99" a="1"/>
  <c r="I28" i="99" s="1"/>
  <c r="J28" i="99" a="1"/>
  <c r="J28" i="99" s="1"/>
  <c r="K28" i="99" a="1"/>
  <c r="K28" i="99" s="1"/>
  <c r="L28" i="99" a="1"/>
  <c r="L28" i="99" s="1"/>
  <c r="M28" i="99" a="1"/>
  <c r="M28" i="99" s="1"/>
  <c r="N28" i="99" a="1"/>
  <c r="N28" i="99" s="1"/>
  <c r="O28" i="99" a="1"/>
  <c r="O28" i="99" s="1"/>
  <c r="P28" i="99" a="1"/>
  <c r="P28" i="99" s="1"/>
  <c r="AH27" i="99"/>
  <c r="AL27" i="99"/>
  <c r="Q27" i="99"/>
  <c r="R27" i="99"/>
  <c r="S27" i="99"/>
  <c r="U27" i="99"/>
  <c r="Y27" i="99"/>
  <c r="AC27" i="99"/>
  <c r="AF27" i="99"/>
  <c r="AJ27" i="99"/>
  <c r="AN27" i="99"/>
  <c r="I27" i="99" a="1"/>
  <c r="I27" i="99" s="1"/>
  <c r="F27" i="100" a="1"/>
  <c r="F27" i="100" s="1"/>
  <c r="G27" i="100" a="1"/>
  <c r="G27" i="100" s="1"/>
  <c r="H27" i="100" a="1"/>
  <c r="H27" i="100" s="1"/>
  <c r="I27" i="100" a="1"/>
  <c r="I27" i="100" s="1"/>
  <c r="J27" i="100" a="1"/>
  <c r="J27" i="100" s="1"/>
  <c r="K27" i="100" a="1"/>
  <c r="K27" i="100" s="1"/>
  <c r="L27" i="100" a="1"/>
  <c r="L27" i="100" s="1"/>
  <c r="M27" i="100" a="1"/>
  <c r="M27" i="100" s="1"/>
  <c r="N27" i="100" a="1"/>
  <c r="N27" i="100" s="1"/>
  <c r="O27" i="100" a="1"/>
  <c r="O27" i="100" s="1"/>
  <c r="P27" i="100" a="1"/>
  <c r="P27" i="100" s="1"/>
  <c r="G27" i="99" a="1"/>
  <c r="G27" i="99" s="1"/>
  <c r="L27" i="99" a="1"/>
  <c r="L27" i="99" s="1"/>
  <c r="P27" i="99" a="1"/>
  <c r="P27" i="99" s="1"/>
  <c r="AI27" i="99"/>
  <c r="AE27" i="99"/>
  <c r="AB27" i="99"/>
  <c r="V27" i="99"/>
  <c r="M27" i="99" a="1"/>
  <c r="M27" i="99" s="1"/>
  <c r="J27" i="99" a="1"/>
  <c r="J27" i="99" s="1"/>
  <c r="F27" i="99" a="1"/>
  <c r="F27" i="99" s="1"/>
  <c r="AK27" i="99"/>
  <c r="AG27" i="99"/>
  <c r="Z27" i="99"/>
  <c r="X27" i="99"/>
  <c r="T27" i="99"/>
  <c r="O27" i="99" a="1"/>
  <c r="O27" i="99" s="1"/>
  <c r="N27" i="99" a="1"/>
  <c r="N27" i="99" s="1"/>
  <c r="H27" i="99" a="1"/>
  <c r="H27" i="99" s="1"/>
  <c r="AM27" i="99"/>
  <c r="W27" i="99"/>
  <c r="AA27" i="99"/>
  <c r="AD27" i="99"/>
  <c r="K27" i="99" a="1"/>
  <c r="K27" i="99" s="1"/>
  <c r="P43" i="100" a="1"/>
  <c r="P43" i="100" s="1"/>
  <c r="O43" i="100" a="1"/>
  <c r="O43" i="100" s="1"/>
  <c r="N43" i="100" a="1"/>
  <c r="N43" i="100" s="1"/>
  <c r="M43" i="100" a="1"/>
  <c r="M43" i="100" s="1"/>
  <c r="L43" i="100" a="1"/>
  <c r="L43" i="100" s="1"/>
  <c r="K43" i="100" a="1"/>
  <c r="K43" i="100" s="1"/>
  <c r="J43" i="100" a="1"/>
  <c r="J43" i="100" s="1"/>
  <c r="I43" i="100" a="1"/>
  <c r="I43" i="100" s="1"/>
  <c r="H43" i="100" a="1"/>
  <c r="H43" i="100" s="1"/>
  <c r="G43" i="100" a="1"/>
  <c r="G43" i="100" s="1"/>
  <c r="F43" i="100" a="1"/>
  <c r="F43" i="100" s="1"/>
  <c r="AN43" i="100"/>
  <c r="AM43" i="100"/>
  <c r="AL43" i="100"/>
  <c r="AK43" i="100"/>
  <c r="AJ43" i="100"/>
  <c r="AI43" i="100"/>
  <c r="AH43" i="100"/>
  <c r="AG43" i="100"/>
  <c r="AF43" i="100"/>
  <c r="AE43" i="100"/>
  <c r="AD43" i="100"/>
  <c r="AC43" i="100"/>
  <c r="AB43" i="100"/>
  <c r="AA43" i="100"/>
  <c r="Z43" i="100"/>
  <c r="Y43" i="100"/>
  <c r="X43" i="100"/>
  <c r="W43" i="100"/>
  <c r="V43" i="100"/>
  <c r="U43" i="100"/>
  <c r="T43" i="100"/>
  <c r="S43" i="100"/>
  <c r="R43" i="100"/>
  <c r="Q43" i="100"/>
  <c r="P43" i="99" a="1"/>
  <c r="P43" i="99" s="1"/>
  <c r="O43" i="99" a="1"/>
  <c r="O43" i="99" s="1"/>
  <c r="N43" i="99" a="1"/>
  <c r="N43" i="99" s="1"/>
  <c r="M43" i="99" a="1"/>
  <c r="M43" i="99" s="1"/>
  <c r="L43" i="99" a="1"/>
  <c r="L43" i="99" s="1"/>
  <c r="K43" i="99" a="1"/>
  <c r="K43" i="99" s="1"/>
  <c r="J43" i="99" a="1"/>
  <c r="J43" i="99" s="1"/>
  <c r="I43" i="99" a="1"/>
  <c r="I43" i="99" s="1"/>
  <c r="H43" i="99" a="1"/>
  <c r="H43" i="99" s="1"/>
  <c r="G43" i="99" a="1"/>
  <c r="G43" i="99" s="1"/>
  <c r="F43" i="99" a="1"/>
  <c r="F43" i="99" s="1"/>
  <c r="AN43" i="99"/>
  <c r="AM43" i="99"/>
  <c r="AL43" i="99"/>
  <c r="AK43" i="99"/>
  <c r="AJ43" i="99"/>
  <c r="AI43" i="99"/>
  <c r="AH43" i="99"/>
  <c r="AG43" i="99"/>
  <c r="AF43" i="99"/>
  <c r="AE43" i="99"/>
  <c r="AD43" i="99"/>
  <c r="AC43" i="99"/>
  <c r="AB43" i="99"/>
  <c r="AA43" i="99"/>
  <c r="Z43" i="99"/>
  <c r="Y43" i="99"/>
  <c r="X43" i="99"/>
  <c r="W43" i="99"/>
  <c r="V43" i="99"/>
  <c r="U43" i="99"/>
  <c r="T43" i="99"/>
  <c r="S43" i="99"/>
  <c r="R43" i="99"/>
  <c r="Q43" i="99"/>
  <c r="E41" i="79"/>
  <c r="E50" i="79" a="1"/>
  <c r="E41" i="81"/>
  <c r="E50" i="81" a="1"/>
  <c r="AQ4" i="69"/>
  <c r="AR4" i="69"/>
  <c r="AF14" i="85" a="1"/>
  <c r="AF14" i="85" s="1"/>
  <c r="X14" i="85" a="1"/>
  <c r="X14" i="85" s="1"/>
  <c r="W14" i="85" a="1"/>
  <c r="W14" i="85" s="1"/>
  <c r="AA14" i="85" a="1"/>
  <c r="AA14" i="85" s="1"/>
  <c r="AB14" i="85" a="1"/>
  <c r="AB14" i="85" s="1"/>
  <c r="AJ14" i="85" a="1"/>
  <c r="AJ14" i="85" s="1"/>
  <c r="AI14" i="85" a="1"/>
  <c r="AI14" i="85" s="1"/>
  <c r="AM14" i="85" a="1"/>
  <c r="AM14" i="85" s="1"/>
  <c r="AN14" i="85" a="1"/>
  <c r="AN14" i="85" s="1"/>
  <c r="V14" i="84" a="1"/>
  <c r="V14" i="84" s="1"/>
  <c r="X14" i="84" a="1"/>
  <c r="X14" i="84" s="1"/>
  <c r="W14" i="84" a="1"/>
  <c r="W14" i="84" s="1"/>
  <c r="AE14" i="85" a="1"/>
  <c r="AE14" i="85" s="1"/>
  <c r="AD14" i="85" a="1"/>
  <c r="AD14" i="85" s="1"/>
  <c r="V14" i="85" a="1"/>
  <c r="V14" i="85" s="1"/>
  <c r="Z14" i="85" a="1"/>
  <c r="Z14" i="85" s="1"/>
  <c r="AH14" i="85" a="1"/>
  <c r="AH14" i="85" s="1"/>
  <c r="AL14" i="85" a="1"/>
  <c r="AL14" i="85" s="1"/>
  <c r="AP4" i="69"/>
  <c r="AR47" i="85"/>
  <c r="AR48" i="85" s="1"/>
  <c r="AQ47" i="85"/>
  <c r="AQ48" i="85" s="1"/>
  <c r="V1" i="84" a="1"/>
  <c r="V1" i="84" s="1"/>
  <c r="AD1" i="85" a="1"/>
  <c r="AD1" i="85" s="1"/>
  <c r="AH1" i="85" a="1"/>
  <c r="AH1" i="85" s="1"/>
  <c r="AI1" i="85" a="1"/>
  <c r="AI1" i="85" s="1"/>
  <c r="Z1" i="85" a="1"/>
  <c r="Z1" i="85" s="1"/>
  <c r="AN1" i="85" a="1"/>
  <c r="AN1" i="85" s="1"/>
  <c r="V1" i="85" a="1"/>
  <c r="V1" i="85" s="1"/>
  <c r="AJ1" i="85" a="1"/>
  <c r="AJ1" i="85" s="1"/>
  <c r="AM1" i="85" a="1"/>
  <c r="AM1" i="85" s="1"/>
  <c r="X1" i="85" a="1"/>
  <c r="X1" i="85" s="1"/>
  <c r="W1" i="85" a="1"/>
  <c r="W1" i="85" s="1"/>
  <c r="AB1" i="85" a="1"/>
  <c r="AB1" i="85" s="1"/>
  <c r="AA1" i="85" a="1"/>
  <c r="AA1" i="85" s="1"/>
  <c r="AF1" i="85" a="1"/>
  <c r="AF1" i="85" s="1"/>
  <c r="W1" i="84" a="1"/>
  <c r="W1" i="84" s="1"/>
  <c r="AL1" i="85" a="1"/>
  <c r="AL1" i="85" s="1"/>
  <c r="T1" i="84" a="1"/>
  <c r="T1" i="84" s="1"/>
  <c r="X1" i="84" a="1"/>
  <c r="X1" i="84" s="1"/>
  <c r="AE1" i="85" a="1"/>
  <c r="AE1" i="85" s="1"/>
  <c r="AM13" i="85" a="1"/>
  <c r="AM13" i="85" s="1"/>
  <c r="AH13" i="85" a="1"/>
  <c r="AH13" i="85" s="1"/>
  <c r="W13" i="84" a="1"/>
  <c r="W13" i="84" s="1"/>
  <c r="AD13" i="85" a="1"/>
  <c r="AD13" i="85" s="1"/>
  <c r="AN13" i="85" a="1"/>
  <c r="AN13" i="85" s="1"/>
  <c r="AB13" i="85" a="1"/>
  <c r="AB13" i="85" s="1"/>
  <c r="AI13" i="85" a="1"/>
  <c r="AI13" i="85" s="1"/>
  <c r="AA13" i="85" a="1"/>
  <c r="AA13" i="85" s="1"/>
  <c r="X13" i="85" a="1"/>
  <c r="X13" i="85" s="1"/>
  <c r="AE13" i="85" a="1"/>
  <c r="AE13" i="85" s="1"/>
  <c r="V13" i="85" a="1"/>
  <c r="V13" i="85" s="1"/>
  <c r="Z13" i="85" a="1"/>
  <c r="Z13" i="85" s="1"/>
  <c r="AJ13" i="85" a="1"/>
  <c r="AJ13" i="85" s="1"/>
  <c r="X13" i="84" a="1"/>
  <c r="X13" i="84" s="1"/>
  <c r="W13" i="85" a="1"/>
  <c r="W13" i="85" s="1"/>
  <c r="AF13" i="85" a="1"/>
  <c r="AF13" i="85" s="1"/>
  <c r="V13" i="84" a="1"/>
  <c r="V13" i="84" s="1"/>
  <c r="AL13" i="85" a="1"/>
  <c r="AL13" i="85" s="1"/>
  <c r="AR11" i="26" a="1"/>
  <c r="AR11" i="26" s="1"/>
  <c r="AR12" i="26" s="1"/>
  <c r="AC12" i="26"/>
  <c r="AQ11" i="26" a="1"/>
  <c r="AQ11" i="26" s="1"/>
  <c r="AQ12" i="26" s="1"/>
  <c r="Q12" i="26"/>
  <c r="AT4" i="69"/>
  <c r="E4" i="70" a="1"/>
  <c r="E4" i="49" a="1"/>
  <c r="E4" i="72" a="1"/>
  <c r="E4" i="66" a="1"/>
  <c r="E4" i="30" a="1"/>
  <c r="E4" i="45" a="1"/>
  <c r="E1" i="34" a="1"/>
  <c r="E1" i="34" s="1"/>
  <c r="DZ4" i="69"/>
  <c r="AD4" i="69"/>
  <c r="D58" i="78"/>
  <c r="D58" i="26" s="1"/>
  <c r="E4" i="22" a="1"/>
  <c r="AL4" i="69"/>
  <c r="E41" i="77" a="1"/>
  <c r="E4" i="73" a="1"/>
  <c r="E4" i="39" a="1"/>
  <c r="R1" i="84" a="1"/>
  <c r="R1" i="84" s="1"/>
  <c r="S1" i="84" a="1"/>
  <c r="S1" i="84" s="1"/>
  <c r="L1" i="85" a="1"/>
  <c r="L1" i="85" s="1"/>
  <c r="P1" i="85" a="1"/>
  <c r="P1" i="85" s="1"/>
  <c r="K1" i="85" a="1"/>
  <c r="K1" i="85" s="1"/>
  <c r="S1" i="85" a="1"/>
  <c r="S1" i="85" s="1"/>
  <c r="M12" i="9" a="1"/>
  <c r="M12" i="9" s="1"/>
  <c r="N12" i="9" a="1"/>
  <c r="N12" i="9" s="1"/>
  <c r="O12" i="9" a="1"/>
  <c r="O12" i="9" s="1"/>
  <c r="L12" i="9" a="1"/>
  <c r="L12" i="9" s="1"/>
  <c r="O1" i="85" a="1"/>
  <c r="O1" i="85" s="1"/>
  <c r="T1" i="85" a="1"/>
  <c r="T1" i="85" s="1"/>
  <c r="S13" i="84" a="1"/>
  <c r="S13" i="84" s="1"/>
  <c r="T13" i="84" a="1"/>
  <c r="T13" i="84" s="1"/>
  <c r="R13" i="84" a="1"/>
  <c r="R13" i="84" s="1"/>
  <c r="M14" i="9" a="1"/>
  <c r="M14" i="9" s="1"/>
  <c r="L14" i="9" a="1"/>
  <c r="L14" i="9" s="1"/>
  <c r="N14" i="9" a="1"/>
  <c r="N14" i="9" s="1"/>
  <c r="O14" i="9" a="1"/>
  <c r="O14" i="9" s="1"/>
  <c r="CH4" i="69" l="1"/>
  <c r="R27" i="84" a="1"/>
  <c r="R27" i="84" s="1"/>
  <c r="T27" i="84" a="1"/>
  <c r="T27" i="84" s="1"/>
  <c r="W27" i="84" a="1"/>
  <c r="W27" i="84" s="1"/>
  <c r="X27" i="84" a="1"/>
  <c r="X27" i="84" s="1"/>
  <c r="S27" i="84" a="1"/>
  <c r="S27" i="84" s="1"/>
  <c r="V27" i="84" a="1"/>
  <c r="V27" i="84" s="1"/>
  <c r="O14" i="84" a="1"/>
  <c r="O14" i="84" s="1"/>
  <c r="P14" i="84" a="1"/>
  <c r="P14" i="84" s="1"/>
  <c r="N14" i="84" a="1"/>
  <c r="N14" i="84" s="1"/>
  <c r="O13" i="84" a="1"/>
  <c r="O13" i="84" s="1"/>
  <c r="P13" i="84" a="1"/>
  <c r="P13" i="84" s="1"/>
  <c r="N13" i="84" a="1"/>
  <c r="N13" i="84" s="1"/>
  <c r="N51" i="84" a="1"/>
  <c r="N51" i="84" s="1"/>
  <c r="F51" i="84" s="1"/>
  <c r="P51" i="84" a="1"/>
  <c r="P51" i="84" s="1"/>
  <c r="H51" i="84" s="1"/>
  <c r="O51" i="84" a="1"/>
  <c r="O51" i="84" s="1"/>
  <c r="G51" i="84" s="1"/>
  <c r="P43" i="84" a="1"/>
  <c r="P43" i="84" s="1"/>
  <c r="H43" i="84" s="1"/>
  <c r="O43" i="34" s="1"/>
  <c r="N43" i="84" a="1"/>
  <c r="N43" i="84" s="1"/>
  <c r="F43" i="84" s="1"/>
  <c r="V17" i="98" s="1"/>
  <c r="O43" i="84" a="1"/>
  <c r="O43" i="84" s="1"/>
  <c r="G43" i="84" s="1"/>
  <c r="N43" i="34" s="1"/>
  <c r="E75" i="88" a="1"/>
  <c r="E75" i="88" s="1"/>
  <c r="E75" i="90" a="1"/>
  <c r="E75" i="90" s="1"/>
  <c r="E75" i="89" a="1"/>
  <c r="E75" i="89" s="1"/>
  <c r="Z9" i="98"/>
  <c r="E67" i="23"/>
  <c r="E67" i="68"/>
  <c r="E67" i="49"/>
  <c r="E67" i="33"/>
  <c r="E67" i="54"/>
  <c r="E67" i="72"/>
  <c r="E67" i="74"/>
  <c r="E67" i="65"/>
  <c r="E67" i="38"/>
  <c r="E67" i="73"/>
  <c r="D22" i="22"/>
  <c r="E67" i="44"/>
  <c r="E67" i="56"/>
  <c r="BC16" i="98"/>
  <c r="BG16" i="98" s="1"/>
  <c r="BC17" i="98"/>
  <c r="BG17" i="98" s="1"/>
  <c r="BC18" i="98"/>
  <c r="BG18" i="98" s="1"/>
  <c r="BC19" i="98"/>
  <c r="BG19" i="98" s="1"/>
  <c r="ET4" i="69" a="1"/>
  <c r="ET4" i="69" s="1"/>
  <c r="E4" i="70"/>
  <c r="E4" i="72"/>
  <c r="DV4" i="69" a="1"/>
  <c r="E37" i="80" a="1"/>
  <c r="E4" i="49"/>
  <c r="E4" i="30"/>
  <c r="E4" i="73"/>
  <c r="D22" i="81"/>
  <c r="E37" i="81" a="1"/>
  <c r="E4" i="45"/>
  <c r="E50" i="79"/>
  <c r="E50" i="81"/>
  <c r="E37" i="79" a="1"/>
  <c r="E4" i="66"/>
  <c r="E4" i="57" a="1"/>
  <c r="E4" i="65" a="1"/>
  <c r="E4" i="29" a="1"/>
  <c r="E4" i="61" a="1"/>
  <c r="E4" i="19" a="1"/>
  <c r="E4" i="25" a="1"/>
  <c r="E4" i="35" a="1"/>
  <c r="BM4" i="96" a="1"/>
  <c r="BM4" i="96" s="1"/>
  <c r="CP4" i="69" a="1"/>
  <c r="E67" i="22" a="1"/>
  <c r="CD4" i="69" a="1"/>
  <c r="BC4" i="96" a="1"/>
  <c r="BC4" i="96" s="1"/>
  <c r="E4" i="41" a="1"/>
  <c r="E4" i="63" a="1"/>
  <c r="E4" i="62" a="1"/>
  <c r="E4" i="38" a="1"/>
  <c r="E4" i="59" a="1"/>
  <c r="E4" i="55" a="1"/>
  <c r="E4" i="68" a="1"/>
  <c r="E4" i="54" a="1"/>
  <c r="E4" i="24" a="1"/>
  <c r="E4" i="60" a="1"/>
  <c r="E4" i="33" a="1"/>
  <c r="E4" i="32" a="1"/>
  <c r="E4" i="44" a="1"/>
  <c r="E4" i="50" a="1"/>
  <c r="E4" i="31" a="1"/>
  <c r="E41" i="80" a="1"/>
  <c r="E4" i="23" a="1"/>
  <c r="E4" i="71" a="1"/>
  <c r="E4" i="67" a="1"/>
  <c r="E4" i="48" a="1"/>
  <c r="E4" i="56" a="1"/>
  <c r="E4" i="13" a="1"/>
  <c r="E67" i="51"/>
  <c r="E67" i="45"/>
  <c r="E67" i="31"/>
  <c r="E67" i="37"/>
  <c r="E67" i="75"/>
  <c r="E67" i="63"/>
  <c r="E67" i="29"/>
  <c r="E67" i="53"/>
  <c r="E67" i="32"/>
  <c r="E67" i="59"/>
  <c r="E67" i="30"/>
  <c r="E67" i="13"/>
  <c r="E67" i="27"/>
  <c r="E67" i="24"/>
  <c r="E67" i="61"/>
  <c r="E67" i="67"/>
  <c r="E67" i="48"/>
  <c r="E67" i="62"/>
  <c r="E67" i="52"/>
  <c r="E67" i="55"/>
  <c r="E67" i="57"/>
  <c r="E67" i="41"/>
  <c r="E67" i="25"/>
  <c r="E67" i="71"/>
  <c r="E67" i="50"/>
  <c r="E67" i="35"/>
  <c r="E67" i="60"/>
  <c r="E67" i="19"/>
  <c r="D62" i="96" a="1"/>
  <c r="E23" i="99" a="1"/>
  <c r="E23" i="99" s="1"/>
  <c r="E23" i="100" a="1"/>
  <c r="E23" i="100" s="1"/>
  <c r="E41" i="22" a="1"/>
  <c r="E4" i="27" a="1"/>
  <c r="F10" i="99" a="1"/>
  <c r="F10" i="99" s="1"/>
  <c r="AV9" i="98"/>
  <c r="AW9" i="98"/>
  <c r="AO9" i="98"/>
  <c r="AP11" i="98"/>
  <c r="G13" i="85"/>
  <c r="R13" i="34" s="1"/>
  <c r="AX9" i="98"/>
  <c r="AW11" i="98"/>
  <c r="AP9" i="98"/>
  <c r="AP8" i="98"/>
  <c r="AW13" i="98"/>
  <c r="BC15" i="98"/>
  <c r="BD21" i="98"/>
  <c r="BE21" i="98"/>
  <c r="BF21" i="98"/>
  <c r="DU4" i="96" a="1"/>
  <c r="DU4" i="96" s="1"/>
  <c r="L51" i="85"/>
  <c r="AO8" i="98"/>
  <c r="AN11" i="98"/>
  <c r="AX11" i="98"/>
  <c r="AX8" i="98"/>
  <c r="AW8" i="98"/>
  <c r="AN9" i="98"/>
  <c r="AV8" i="98"/>
  <c r="AN8" i="98"/>
  <c r="AO11" i="98"/>
  <c r="AO13" i="98"/>
  <c r="E10" i="100" a="1"/>
  <c r="E10" i="100" s="1"/>
  <c r="E11" i="99" a="1"/>
  <c r="E11" i="99" s="1"/>
  <c r="E7" i="22" a="1"/>
  <c r="E4" i="96" a="1"/>
  <c r="AP13" i="98"/>
  <c r="AN13" i="98"/>
  <c r="AX13" i="98"/>
  <c r="AV13" i="98"/>
  <c r="AV11" i="98"/>
  <c r="E47" i="99" a="1"/>
  <c r="E47" i="99" s="1"/>
  <c r="AM13" i="98" s="1"/>
  <c r="E47" i="100" a="1"/>
  <c r="E47" i="100" s="1"/>
  <c r="AU13" i="98" s="1"/>
  <c r="CU4" i="96" a="1"/>
  <c r="CU4" i="96" s="1"/>
  <c r="E45" i="100" a="1"/>
  <c r="E45" i="100" s="1"/>
  <c r="AU11" i="98" s="1"/>
  <c r="E45" i="99" a="1"/>
  <c r="E45" i="99" s="1"/>
  <c r="AM11" i="98" s="1"/>
  <c r="CM4" i="96" a="1"/>
  <c r="CM4" i="96" s="1"/>
  <c r="E42" i="99" a="1"/>
  <c r="E42" i="99" s="1"/>
  <c r="AM8" i="98" s="1"/>
  <c r="E42" i="100" a="1"/>
  <c r="E42" i="100" s="1"/>
  <c r="AU8" i="98" s="1"/>
  <c r="CA4" i="96" a="1"/>
  <c r="CA4" i="96" s="1"/>
  <c r="E29" i="99" a="1"/>
  <c r="E29" i="99" s="1"/>
  <c r="AN4" i="96" a="1"/>
  <c r="AN4" i="96" s="1"/>
  <c r="E29" i="100" a="1"/>
  <c r="E29" i="100" s="1"/>
  <c r="E26" i="99" a="1"/>
  <c r="E26" i="99" s="1"/>
  <c r="E26" i="100" a="1"/>
  <c r="E26" i="100" s="1"/>
  <c r="Y4" i="96" a="1"/>
  <c r="Y4" i="96" s="1"/>
  <c r="E28" i="99" a="1"/>
  <c r="E28" i="99" s="1"/>
  <c r="AI4" i="96" a="1"/>
  <c r="AI4" i="96" s="1"/>
  <c r="E28" i="100" a="1"/>
  <c r="E28" i="100" s="1"/>
  <c r="E27" i="99" a="1"/>
  <c r="E27" i="99" s="1"/>
  <c r="AD4" i="96" a="1"/>
  <c r="AD4" i="96" s="1"/>
  <c r="E27" i="100" a="1"/>
  <c r="E27" i="100" s="1"/>
  <c r="E43" i="100" a="1"/>
  <c r="E43" i="100" s="1"/>
  <c r="AU9" i="98" s="1"/>
  <c r="E43" i="99" a="1"/>
  <c r="E43" i="99" s="1"/>
  <c r="AM9" i="98" s="1"/>
  <c r="CE4" i="96" a="1"/>
  <c r="K51" i="85"/>
  <c r="O51" i="85"/>
  <c r="E41" i="77"/>
  <c r="E50" i="77" s="1" a="1"/>
  <c r="E4" i="22"/>
  <c r="N51" i="85"/>
  <c r="O43" i="85"/>
  <c r="N43" i="85"/>
  <c r="X17" i="98" s="1"/>
  <c r="L54" i="34"/>
  <c r="P54" i="34"/>
  <c r="AH4" i="69" a="1"/>
  <c r="J51" i="85"/>
  <c r="J43" i="85"/>
  <c r="W17" i="98" s="1"/>
  <c r="L1" i="84"/>
  <c r="K13" i="84"/>
  <c r="J1" i="84"/>
  <c r="C12" i="9" s="1" a="1"/>
  <c r="C12" i="9" s="1"/>
  <c r="H12" i="9" s="1"/>
  <c r="J13" i="84"/>
  <c r="C14" i="9" s="1" a="1"/>
  <c r="C14" i="9" s="1"/>
  <c r="H14" i="9" s="1"/>
  <c r="P43" i="85"/>
  <c r="L13" i="84"/>
  <c r="L43" i="85"/>
  <c r="K1" i="84"/>
  <c r="P51" i="85"/>
  <c r="K43" i="85"/>
  <c r="P1" i="84" a="1"/>
  <c r="P1" i="84" s="1"/>
  <c r="O1" i="84" a="1"/>
  <c r="O1" i="84" s="1"/>
  <c r="N1" i="84" a="1"/>
  <c r="N1" i="84" s="1"/>
  <c r="J12" i="9" s="1" a="1"/>
  <c r="J12" i="9" s="1"/>
  <c r="AP11" i="26" a="1"/>
  <c r="AP11" i="26" s="1"/>
  <c r="AP12" i="26" s="1"/>
  <c r="E12" i="26"/>
  <c r="H1" i="85"/>
  <c r="G1" i="85"/>
  <c r="H13" i="85"/>
  <c r="S13" i="34" s="1"/>
  <c r="E4" i="37" a="1"/>
  <c r="H54" i="34"/>
  <c r="DF4" i="69" a="1"/>
  <c r="DN4" i="69" a="1"/>
  <c r="DB4" i="69" a="1"/>
  <c r="E4" i="74" a="1"/>
  <c r="E4" i="75" a="1"/>
  <c r="E4" i="51" a="1"/>
  <c r="E4" i="52" a="1"/>
  <c r="E4" i="53" a="1"/>
  <c r="E4" i="39"/>
  <c r="DV4" i="69" l="1"/>
  <c r="AJ42" i="85" a="1"/>
  <c r="AJ42" i="85" s="1"/>
  <c r="AB42" i="85" a="1"/>
  <c r="AB42" i="85" s="1"/>
  <c r="X42" i="84" a="1"/>
  <c r="X42" i="84" s="1"/>
  <c r="S42" i="84" a="1"/>
  <c r="S42" i="84" s="1"/>
  <c r="R42" i="84" a="1"/>
  <c r="R42" i="84" s="1"/>
  <c r="AD42" i="85" a="1"/>
  <c r="AD42" i="85" s="1"/>
  <c r="Z42" i="85" a="1"/>
  <c r="Z42" i="85" s="1"/>
  <c r="V42" i="84" a="1"/>
  <c r="V42" i="84" s="1"/>
  <c r="L42" i="84" a="1"/>
  <c r="L42" i="84" s="1"/>
  <c r="AL42" i="85" a="1"/>
  <c r="AL42" i="85" s="1"/>
  <c r="AH42" i="85" a="1"/>
  <c r="AH42" i="85" s="1"/>
  <c r="W42" i="84" a="1"/>
  <c r="W42" i="84" s="1"/>
  <c r="T42" i="84" a="1"/>
  <c r="T42" i="84" s="1"/>
  <c r="AE42" i="85" a="1"/>
  <c r="AE42" i="85" s="1"/>
  <c r="AN42" i="85" a="1"/>
  <c r="AN42" i="85" s="1"/>
  <c r="AF42" i="85" a="1"/>
  <c r="AF42" i="85" s="1"/>
  <c r="X42" i="85" a="1"/>
  <c r="X42" i="85" s="1"/>
  <c r="K42" i="84" a="1"/>
  <c r="K42" i="84" s="1"/>
  <c r="AM42" i="85" a="1"/>
  <c r="AM42" i="85" s="1"/>
  <c r="W42" i="85" a="1"/>
  <c r="W42" i="85" s="1"/>
  <c r="V42" i="85" a="1"/>
  <c r="V42" i="85" s="1"/>
  <c r="AI42" i="85" a="1"/>
  <c r="AI42" i="85" s="1"/>
  <c r="AA42" i="85" a="1"/>
  <c r="AA42" i="85" s="1"/>
  <c r="J42" i="84" a="1"/>
  <c r="J42" i="84" s="1"/>
  <c r="CP4" i="69"/>
  <c r="V29" i="84" a="1"/>
  <c r="V29" i="84" s="1"/>
  <c r="W29" i="84" a="1"/>
  <c r="W29" i="84" s="1"/>
  <c r="R29" i="84" a="1"/>
  <c r="R29" i="84" s="1"/>
  <c r="S29" i="84" a="1"/>
  <c r="S29" i="84" s="1"/>
  <c r="T29" i="84" a="1"/>
  <c r="T29" i="84" s="1"/>
  <c r="X29" i="84" a="1"/>
  <c r="X29" i="84" s="1"/>
  <c r="CD4" i="69"/>
  <c r="V26" i="84" a="1"/>
  <c r="V26" i="84" s="1"/>
  <c r="R26" i="84" a="1"/>
  <c r="R26" i="84" s="1"/>
  <c r="S26" i="84" a="1"/>
  <c r="S26" i="84" s="1"/>
  <c r="T26" i="84" a="1"/>
  <c r="T26" i="84" s="1"/>
  <c r="W26" i="84" a="1"/>
  <c r="W26" i="84" s="1"/>
  <c r="X26" i="84" a="1"/>
  <c r="X26" i="84" s="1"/>
  <c r="R12" i="85" a="1"/>
  <c r="R12" i="85" s="1"/>
  <c r="L12" i="85" a="1"/>
  <c r="L12" i="85" s="1"/>
  <c r="K12" i="85" a="1"/>
  <c r="K12" i="85" s="1"/>
  <c r="N12" i="85" a="1"/>
  <c r="N12" i="85" s="1"/>
  <c r="O12" i="85" a="1"/>
  <c r="O12" i="85" s="1"/>
  <c r="S12" i="85" a="1"/>
  <c r="S12" i="85" s="1"/>
  <c r="J12" i="85" a="1"/>
  <c r="J12" i="85" s="1"/>
  <c r="P12" i="85" a="1"/>
  <c r="P12" i="85" s="1"/>
  <c r="T12" i="85" a="1"/>
  <c r="T12" i="85" s="1"/>
  <c r="L38" i="84" a="1"/>
  <c r="L38" i="84" s="1"/>
  <c r="AI38" i="85" a="1"/>
  <c r="AI38" i="85" s="1"/>
  <c r="X38" i="85" a="1"/>
  <c r="X38" i="85" s="1"/>
  <c r="AF38" i="85" a="1"/>
  <c r="AF38" i="85" s="1"/>
  <c r="T38" i="85" s="1"/>
  <c r="X38" i="84" a="1"/>
  <c r="X38" i="84" s="1"/>
  <c r="W38" i="84" a="1"/>
  <c r="W38" i="84" s="1"/>
  <c r="AD38" i="85" a="1"/>
  <c r="AD38" i="85" s="1"/>
  <c r="R38" i="85" s="1"/>
  <c r="Y12" i="98" s="1"/>
  <c r="W38" i="85" a="1"/>
  <c r="W38" i="85" s="1"/>
  <c r="AJ38" i="85" a="1"/>
  <c r="AJ38" i="85" s="1"/>
  <c r="AA38" i="85" a="1"/>
  <c r="AA38" i="85" s="1"/>
  <c r="K38" i="84" a="1"/>
  <c r="K38" i="84" s="1"/>
  <c r="AH38" i="85" a="1"/>
  <c r="AH38" i="85" s="1"/>
  <c r="AL38" i="85" a="1"/>
  <c r="AL38" i="85" s="1"/>
  <c r="AM38" i="85" a="1"/>
  <c r="AM38" i="85" s="1"/>
  <c r="Z38" i="85" a="1"/>
  <c r="Z38" i="85" s="1"/>
  <c r="T38" i="84" a="1"/>
  <c r="T38" i="84" s="1"/>
  <c r="R38" i="84" a="1"/>
  <c r="R38" i="84" s="1"/>
  <c r="AN38" i="85" a="1"/>
  <c r="AN38" i="85" s="1"/>
  <c r="AE38" i="85" a="1"/>
  <c r="AE38" i="85" s="1"/>
  <c r="S38" i="85" s="1"/>
  <c r="V38" i="85" a="1"/>
  <c r="V38" i="85" s="1"/>
  <c r="S38" i="84" a="1"/>
  <c r="S38" i="84" s="1"/>
  <c r="J38" i="84" a="1"/>
  <c r="J38" i="84" s="1"/>
  <c r="AB38" i="85" a="1"/>
  <c r="AB38" i="85" s="1"/>
  <c r="V38" i="84" a="1"/>
  <c r="V38" i="84" s="1"/>
  <c r="AJ40" i="85" a="1"/>
  <c r="AJ40" i="85" s="1"/>
  <c r="AB40" i="85" a="1"/>
  <c r="AB40" i="85" s="1"/>
  <c r="X40" i="84" a="1"/>
  <c r="X40" i="84" s="1"/>
  <c r="J40" i="84" a="1"/>
  <c r="J40" i="84" s="1"/>
  <c r="AN40" i="85" a="1"/>
  <c r="AN40" i="85" s="1"/>
  <c r="AF40" i="85" a="1"/>
  <c r="AF40" i="85" s="1"/>
  <c r="T40" i="85" s="1"/>
  <c r="X40" i="85" a="1"/>
  <c r="X40" i="85" s="1"/>
  <c r="W40" i="85" a="1"/>
  <c r="W40" i="85" s="1"/>
  <c r="W40" i="84" a="1"/>
  <c r="W40" i="84" s="1"/>
  <c r="R40" i="84" a="1"/>
  <c r="R40" i="84" s="1"/>
  <c r="K40" i="84" a="1"/>
  <c r="K40" i="84" s="1"/>
  <c r="AA40" i="85" a="1"/>
  <c r="AA40" i="85" s="1"/>
  <c r="AI40" i="85" a="1"/>
  <c r="AI40" i="85" s="1"/>
  <c r="Z40" i="85" a="1"/>
  <c r="Z40" i="85" s="1"/>
  <c r="L40" i="84" a="1"/>
  <c r="L40" i="84" s="1"/>
  <c r="AM40" i="85" a="1"/>
  <c r="AM40" i="85" s="1"/>
  <c r="AD40" i="85" a="1"/>
  <c r="AD40" i="85" s="1"/>
  <c r="R40" i="85" s="1"/>
  <c r="Y14" i="98" s="1"/>
  <c r="T40" i="84" a="1"/>
  <c r="T40" i="84" s="1"/>
  <c r="V40" i="84" a="1"/>
  <c r="V40" i="84" s="1"/>
  <c r="V40" i="85" a="1"/>
  <c r="V40" i="85" s="1"/>
  <c r="AH40" i="85" a="1"/>
  <c r="AH40" i="85" s="1"/>
  <c r="AL40" i="85" a="1"/>
  <c r="AL40" i="85" s="1"/>
  <c r="AE40" i="85" a="1"/>
  <c r="AE40" i="85" s="1"/>
  <c r="S40" i="85" s="1"/>
  <c r="S40" i="84" a="1"/>
  <c r="S40" i="84" s="1"/>
  <c r="AE37" i="85" a="1"/>
  <c r="AE37" i="85" s="1"/>
  <c r="S37" i="85" s="1"/>
  <c r="AD37" i="85" a="1"/>
  <c r="AD37" i="85" s="1"/>
  <c r="R37" i="85" s="1"/>
  <c r="Y11" i="98" s="1"/>
  <c r="W37" i="85" a="1"/>
  <c r="W37" i="85" s="1"/>
  <c r="S37" i="84" a="1"/>
  <c r="S37" i="84" s="1"/>
  <c r="W37" i="84" a="1"/>
  <c r="W37" i="84" s="1"/>
  <c r="AH37" i="85" a="1"/>
  <c r="AH37" i="85" s="1"/>
  <c r="AL37" i="85" a="1"/>
  <c r="AL37" i="85" s="1"/>
  <c r="AM37" i="85" a="1"/>
  <c r="AM37" i="85" s="1"/>
  <c r="L37" i="84" a="1"/>
  <c r="L37" i="84" s="1"/>
  <c r="AI37" i="85" a="1"/>
  <c r="AI37" i="85" s="1"/>
  <c r="X37" i="84" a="1"/>
  <c r="X37" i="84" s="1"/>
  <c r="K37" i="84" a="1"/>
  <c r="K37" i="84" s="1"/>
  <c r="AF37" i="85" a="1"/>
  <c r="AF37" i="85" s="1"/>
  <c r="T37" i="84" a="1"/>
  <c r="T37" i="84" s="1"/>
  <c r="AB37" i="85" a="1"/>
  <c r="AB37" i="85" s="1"/>
  <c r="Z37" i="85" a="1"/>
  <c r="Z37" i="85" s="1"/>
  <c r="AN37" i="85" a="1"/>
  <c r="AN37" i="85" s="1"/>
  <c r="R37" i="84" a="1"/>
  <c r="R37" i="84" s="1"/>
  <c r="J37" i="84" a="1"/>
  <c r="J37" i="84" s="1"/>
  <c r="V37" i="85" a="1"/>
  <c r="V37" i="85" s="1"/>
  <c r="X37" i="85" a="1"/>
  <c r="X37" i="85" s="1"/>
  <c r="AA37" i="85" a="1"/>
  <c r="AA37" i="85" s="1"/>
  <c r="AJ37" i="85" a="1"/>
  <c r="AJ37" i="85" s="1"/>
  <c r="V37" i="84" a="1"/>
  <c r="V37" i="84" s="1"/>
  <c r="N20" i="98" a="1"/>
  <c r="N20" i="98" s="1"/>
  <c r="O20" i="98" a="1"/>
  <c r="O20" i="98" s="1"/>
  <c r="P20" i="98" a="1"/>
  <c r="P20" i="98" s="1"/>
  <c r="N21" i="98" a="1"/>
  <c r="N21" i="98" s="1"/>
  <c r="P21" i="98" a="1"/>
  <c r="P21" i="98" s="1"/>
  <c r="M21" i="98" a="1"/>
  <c r="M21" i="98" s="1"/>
  <c r="O21" i="98" a="1"/>
  <c r="O21" i="98" s="1"/>
  <c r="R56" i="80" a="1"/>
  <c r="R56" i="80" s="1"/>
  <c r="AC56" i="80" a="1"/>
  <c r="AC56" i="80" s="1"/>
  <c r="AF56" i="80" a="1"/>
  <c r="AF56" i="80" s="1"/>
  <c r="AG56" i="80" a="1"/>
  <c r="AG56" i="80" s="1"/>
  <c r="AM56" i="80" a="1"/>
  <c r="AM56" i="80" s="1"/>
  <c r="AJ56" i="80" a="1"/>
  <c r="AJ56" i="80" s="1"/>
  <c r="AK56" i="80" a="1"/>
  <c r="AK56" i="80" s="1"/>
  <c r="AD56" i="80" a="1"/>
  <c r="AD56" i="80" s="1"/>
  <c r="W56" i="80" a="1"/>
  <c r="W56" i="80" s="1"/>
  <c r="V56" i="80" a="1"/>
  <c r="V56" i="80" s="1"/>
  <c r="U56" i="80" a="1"/>
  <c r="U56" i="80" s="1"/>
  <c r="T56" i="80" a="1"/>
  <c r="T56" i="80" s="1"/>
  <c r="S56" i="80" a="1"/>
  <c r="S56" i="80" s="1"/>
  <c r="Z56" i="80" a="1"/>
  <c r="Z56" i="80" s="1"/>
  <c r="Q56" i="80" a="1"/>
  <c r="Q56" i="80" s="1"/>
  <c r="P56" i="80" a="1"/>
  <c r="P56" i="80" s="1"/>
  <c r="O56" i="80" a="1"/>
  <c r="O56" i="80" s="1"/>
  <c r="N56" i="80" a="1"/>
  <c r="N56" i="80" s="1"/>
  <c r="M56" i="80" a="1"/>
  <c r="M56" i="80" s="1"/>
  <c r="L56" i="80" a="1"/>
  <c r="L56" i="80" s="1"/>
  <c r="K56" i="80" a="1"/>
  <c r="K56" i="80" s="1"/>
  <c r="J56" i="80" a="1"/>
  <c r="J56" i="80" s="1"/>
  <c r="I56" i="80" a="1"/>
  <c r="I56" i="80" s="1"/>
  <c r="H56" i="80" a="1"/>
  <c r="H56" i="80" s="1"/>
  <c r="G56" i="80" a="1"/>
  <c r="G56" i="80" s="1"/>
  <c r="F56" i="80" a="1"/>
  <c r="F56" i="80" s="1"/>
  <c r="X56" i="80" a="1"/>
  <c r="X56" i="80" s="1"/>
  <c r="AA56" i="80" a="1"/>
  <c r="AA56" i="80" s="1"/>
  <c r="AH56" i="80" a="1"/>
  <c r="AH56" i="80" s="1"/>
  <c r="AB56" i="80" a="1"/>
  <c r="AB56" i="80" s="1"/>
  <c r="AE56" i="80" a="1"/>
  <c r="AE56" i="80" s="1"/>
  <c r="AI56" i="80" a="1"/>
  <c r="AI56" i="80" s="1"/>
  <c r="AN56" i="80" a="1"/>
  <c r="AN56" i="80" s="1"/>
  <c r="AL56" i="80" a="1"/>
  <c r="AL56" i="80" s="1"/>
  <c r="Y56" i="80" a="1"/>
  <c r="Y56" i="80" s="1"/>
  <c r="AE56" i="81" a="1"/>
  <c r="AE56" i="81" s="1"/>
  <c r="V56" i="81" a="1"/>
  <c r="V56" i="81" s="1"/>
  <c r="Q56" i="81" a="1"/>
  <c r="Q56" i="81" s="1"/>
  <c r="J56" i="81" a="1"/>
  <c r="J56" i="81" s="1"/>
  <c r="F56" i="81" a="1"/>
  <c r="F56" i="81" s="1"/>
  <c r="P56" i="81" a="1"/>
  <c r="P56" i="81" s="1"/>
  <c r="M56" i="81" a="1"/>
  <c r="M56" i="81" s="1"/>
  <c r="G56" i="81" a="1"/>
  <c r="G56" i="81" s="1"/>
  <c r="AL56" i="81" a="1"/>
  <c r="AL56" i="81" s="1"/>
  <c r="AG56" i="81" a="1"/>
  <c r="AG56" i="81" s="1"/>
  <c r="AA56" i="81" a="1"/>
  <c r="AA56" i="81" s="1"/>
  <c r="W56" i="81" a="1"/>
  <c r="W56" i="81" s="1"/>
  <c r="R56" i="81" a="1"/>
  <c r="R56" i="81" s="1"/>
  <c r="N56" i="81" a="1"/>
  <c r="N56" i="81" s="1"/>
  <c r="H56" i="81" a="1"/>
  <c r="H56" i="81" s="1"/>
  <c r="K56" i="81" a="1"/>
  <c r="K56" i="81" s="1"/>
  <c r="U56" i="81" a="1"/>
  <c r="U56" i="81" s="1"/>
  <c r="AJ56" i="81" a="1"/>
  <c r="AJ56" i="81" s="1"/>
  <c r="AN56" i="81" a="1"/>
  <c r="AN56" i="81" s="1"/>
  <c r="AI56" i="81" a="1"/>
  <c r="AI56" i="81" s="1"/>
  <c r="AD56" i="81" a="1"/>
  <c r="AD56" i="81" s="1"/>
  <c r="Z56" i="81" a="1"/>
  <c r="Z56" i="81" s="1"/>
  <c r="O56" i="81" a="1"/>
  <c r="O56" i="81" s="1"/>
  <c r="L56" i="81" a="1"/>
  <c r="L56" i="81" s="1"/>
  <c r="I56" i="81" a="1"/>
  <c r="I56" i="81" s="1"/>
  <c r="AK56" i="81" a="1"/>
  <c r="AK56" i="81" s="1"/>
  <c r="AF56" i="81" a="1"/>
  <c r="AF56" i="81" s="1"/>
  <c r="AB56" i="81" a="1"/>
  <c r="AB56" i="81" s="1"/>
  <c r="X56" i="81" a="1"/>
  <c r="X56" i="81" s="1"/>
  <c r="S56" i="81" a="1"/>
  <c r="S56" i="81" s="1"/>
  <c r="AM56" i="81" a="1"/>
  <c r="AM56" i="81" s="1"/>
  <c r="AH56" i="81" a="1"/>
  <c r="AH56" i="81" s="1"/>
  <c r="AC56" i="81" a="1"/>
  <c r="AC56" i="81" s="1"/>
  <c r="Y56" i="81" a="1"/>
  <c r="Y56" i="81" s="1"/>
  <c r="T56" i="81" a="1"/>
  <c r="T56" i="81" s="1"/>
  <c r="AN56" i="79" a="1"/>
  <c r="AN56" i="79" s="1"/>
  <c r="AM56" i="79" a="1"/>
  <c r="AM56" i="79" s="1"/>
  <c r="AL56" i="79" a="1"/>
  <c r="AL56" i="79" s="1"/>
  <c r="AK56" i="79" a="1"/>
  <c r="AK56" i="79" s="1"/>
  <c r="AJ56" i="79" a="1"/>
  <c r="AJ56" i="79" s="1"/>
  <c r="AI56" i="79" a="1"/>
  <c r="AI56" i="79" s="1"/>
  <c r="AH56" i="79" a="1"/>
  <c r="AH56" i="79" s="1"/>
  <c r="AG56" i="79" a="1"/>
  <c r="AG56" i="79" s="1"/>
  <c r="AF56" i="79" a="1"/>
  <c r="AF56" i="79" s="1"/>
  <c r="AE56" i="79" a="1"/>
  <c r="AE56" i="79" s="1"/>
  <c r="AD56" i="79" a="1"/>
  <c r="AD56" i="79" s="1"/>
  <c r="V56" i="79" a="1"/>
  <c r="V56" i="79" s="1"/>
  <c r="W56" i="79" a="1"/>
  <c r="W56" i="79" s="1"/>
  <c r="N56" i="79" a="1"/>
  <c r="N56" i="79" s="1"/>
  <c r="I56" i="79" a="1"/>
  <c r="I56" i="79" s="1"/>
  <c r="H56" i="79" a="1"/>
  <c r="H56" i="79" s="1"/>
  <c r="G56" i="79" a="1"/>
  <c r="G56" i="79" s="1"/>
  <c r="O56" i="79" a="1"/>
  <c r="O56" i="79" s="1"/>
  <c r="P56" i="79" a="1"/>
  <c r="P56" i="79" s="1"/>
  <c r="Q56" i="79" a="1"/>
  <c r="Q56" i="79" s="1"/>
  <c r="R56" i="79" a="1"/>
  <c r="R56" i="79" s="1"/>
  <c r="AA56" i="79" a="1"/>
  <c r="AA56" i="79" s="1"/>
  <c r="X56" i="79" a="1"/>
  <c r="X56" i="79" s="1"/>
  <c r="Y56" i="79" a="1"/>
  <c r="Y56" i="79" s="1"/>
  <c r="Z56" i="79" a="1"/>
  <c r="Z56" i="79" s="1"/>
  <c r="F56" i="79" a="1"/>
  <c r="F56" i="79" s="1"/>
  <c r="M56" i="79" a="1"/>
  <c r="M56" i="79" s="1"/>
  <c r="L56" i="79" a="1"/>
  <c r="L56" i="79" s="1"/>
  <c r="K56" i="79" a="1"/>
  <c r="K56" i="79" s="1"/>
  <c r="J56" i="79" a="1"/>
  <c r="J56" i="79" s="1"/>
  <c r="S56" i="79" a="1"/>
  <c r="S56" i="79" s="1"/>
  <c r="T56" i="79" a="1"/>
  <c r="T56" i="79" s="1"/>
  <c r="AB56" i="79" a="1"/>
  <c r="AB56" i="79" s="1"/>
  <c r="AC56" i="79" a="1"/>
  <c r="AC56" i="79" s="1"/>
  <c r="U56" i="79" a="1"/>
  <c r="U56" i="79" s="1"/>
  <c r="E4" i="71"/>
  <c r="E4" i="67"/>
  <c r="E4" i="27"/>
  <c r="E41" i="80"/>
  <c r="E50" i="80" s="1" a="1"/>
  <c r="E4" i="13"/>
  <c r="E37" i="80"/>
  <c r="E56" i="80" s="1" a="1"/>
  <c r="E56" i="80" s="1"/>
  <c r="E37" i="81"/>
  <c r="E56" i="81" s="1" a="1"/>
  <c r="E56" i="81" s="1"/>
  <c r="E37" i="79"/>
  <c r="E56" i="79" s="1" a="1"/>
  <c r="E56" i="79" s="1"/>
  <c r="E4" i="57"/>
  <c r="E4" i="65"/>
  <c r="E4" i="29"/>
  <c r="E4" i="61"/>
  <c r="E4" i="19"/>
  <c r="E4" i="25"/>
  <c r="E4" i="35"/>
  <c r="E67" i="22"/>
  <c r="Z5" i="98" s="1"/>
  <c r="E4" i="41"/>
  <c r="E4" i="63"/>
  <c r="E4" i="62"/>
  <c r="E4" i="38"/>
  <c r="E4" i="59"/>
  <c r="E4" i="55"/>
  <c r="E4" i="68"/>
  <c r="E4" i="54"/>
  <c r="E4" i="24"/>
  <c r="E4" i="60"/>
  <c r="E4" i="33"/>
  <c r="E4" i="32"/>
  <c r="E4" i="44"/>
  <c r="E4" i="50"/>
  <c r="E4" i="31"/>
  <c r="E4" i="23"/>
  <c r="E4" i="48"/>
  <c r="E4" i="56"/>
  <c r="D62" i="96"/>
  <c r="E41" i="22"/>
  <c r="E50" i="77"/>
  <c r="E4" i="37"/>
  <c r="O19" i="98" a="1"/>
  <c r="O19" i="98" s="1"/>
  <c r="P19" i="98" a="1"/>
  <c r="P19" i="98" s="1"/>
  <c r="P18" i="98" a="1"/>
  <c r="P18" i="98" s="1"/>
  <c r="M18" i="98" a="1"/>
  <c r="M18" i="98" s="1"/>
  <c r="M19" i="98" a="1"/>
  <c r="M19" i="98" s="1"/>
  <c r="O18" i="98" a="1"/>
  <c r="O18" i="98" s="1"/>
  <c r="M20" i="98" a="1"/>
  <c r="M20" i="98" s="1"/>
  <c r="N18" i="98" a="1"/>
  <c r="N18" i="98" s="1"/>
  <c r="N19" i="98" a="1"/>
  <c r="N19" i="98" s="1"/>
  <c r="Y31" i="100" a="1"/>
  <c r="Y31" i="100" s="1"/>
  <c r="AG31" i="100" a="1"/>
  <c r="AG31" i="100" s="1"/>
  <c r="R31" i="100" a="1"/>
  <c r="R31" i="100" s="1"/>
  <c r="AH31" i="100" a="1"/>
  <c r="AH31" i="100" s="1"/>
  <c r="AI31" i="100" a="1"/>
  <c r="AI31" i="100" s="1"/>
  <c r="AC31" i="100" a="1"/>
  <c r="AC31" i="100" s="1"/>
  <c r="AK31" i="100" a="1"/>
  <c r="AK31" i="100" s="1"/>
  <c r="AA31" i="100" a="1"/>
  <c r="AA31" i="100" s="1"/>
  <c r="AM31" i="100" a="1"/>
  <c r="AM31" i="100" s="1"/>
  <c r="W31" i="100" a="1"/>
  <c r="W31" i="100" s="1"/>
  <c r="AB31" i="100" a="1"/>
  <c r="AB31" i="100" s="1"/>
  <c r="Z31" i="100" a="1"/>
  <c r="Z31" i="100" s="1"/>
  <c r="AN31" i="100" a="1"/>
  <c r="AN31" i="100" s="1"/>
  <c r="AE31" i="100" a="1"/>
  <c r="AE31" i="100" s="1"/>
  <c r="S31" i="100" a="1"/>
  <c r="S31" i="100" s="1"/>
  <c r="X31" i="100" a="1"/>
  <c r="X31" i="100" s="1"/>
  <c r="Q31" i="100" a="1"/>
  <c r="Q31" i="100" s="1"/>
  <c r="T31" i="100" a="1"/>
  <c r="T31" i="100" s="1"/>
  <c r="AJ31" i="100" a="1"/>
  <c r="AJ31" i="100" s="1"/>
  <c r="AF31" i="100" a="1"/>
  <c r="AF31" i="100" s="1"/>
  <c r="U31" i="100" a="1"/>
  <c r="U31" i="100" s="1"/>
  <c r="AD31" i="100" a="1"/>
  <c r="AD31" i="100" s="1"/>
  <c r="AL31" i="100" a="1"/>
  <c r="AL31" i="100" s="1"/>
  <c r="AD12" i="100" a="1"/>
  <c r="AD12" i="100" s="1"/>
  <c r="V31" i="100" a="1"/>
  <c r="V31" i="100" s="1"/>
  <c r="I31" i="100" a="1"/>
  <c r="I31" i="100" s="1"/>
  <c r="F31" i="99" a="1"/>
  <c r="F31" i="99" s="1"/>
  <c r="AN31" i="99"/>
  <c r="AM31" i="99"/>
  <c r="AK31" i="99"/>
  <c r="AJ31" i="99"/>
  <c r="AI31" i="99"/>
  <c r="AH31" i="99"/>
  <c r="AG31" i="99"/>
  <c r="AF31" i="99"/>
  <c r="AE31" i="99"/>
  <c r="AD31" i="99"/>
  <c r="AC31" i="99"/>
  <c r="AB31" i="99"/>
  <c r="AA31" i="99"/>
  <c r="Z31" i="99"/>
  <c r="Y31" i="99"/>
  <c r="X31" i="99"/>
  <c r="W31" i="99"/>
  <c r="V31" i="99"/>
  <c r="AK32" i="100" a="1"/>
  <c r="AK32" i="100" s="1"/>
  <c r="AG32" i="100" a="1"/>
  <c r="AG32" i="100" s="1"/>
  <c r="AM32" i="100" a="1"/>
  <c r="AM32" i="100" s="1"/>
  <c r="U31" i="99"/>
  <c r="T31" i="99"/>
  <c r="S31" i="99"/>
  <c r="R31" i="99"/>
  <c r="Q31" i="99"/>
  <c r="AL31" i="99"/>
  <c r="G31" i="99" a="1"/>
  <c r="G31" i="99" s="1"/>
  <c r="H31" i="99" a="1"/>
  <c r="H31" i="99" s="1"/>
  <c r="I31" i="99" a="1"/>
  <c r="I31" i="99" s="1"/>
  <c r="J31" i="99" a="1"/>
  <c r="J31" i="99" s="1"/>
  <c r="K31" i="99" a="1"/>
  <c r="K31" i="99" s="1"/>
  <c r="L31" i="99" a="1"/>
  <c r="L31" i="99" s="1"/>
  <c r="M31" i="99" a="1"/>
  <c r="M31" i="99" s="1"/>
  <c r="N31" i="99" a="1"/>
  <c r="N31" i="99" s="1"/>
  <c r="P31" i="99" a="1"/>
  <c r="P31" i="99" s="1"/>
  <c r="O31" i="100" a="1"/>
  <c r="O31" i="100" s="1"/>
  <c r="P31" i="100" a="1"/>
  <c r="P31" i="100" s="1"/>
  <c r="F31" i="100" a="1"/>
  <c r="F31" i="100" s="1"/>
  <c r="AH32" i="100" a="1"/>
  <c r="AH32" i="100" s="1"/>
  <c r="R32" i="100" a="1"/>
  <c r="R32" i="100" s="1"/>
  <c r="AL32" i="100" a="1"/>
  <c r="AL32" i="100" s="1"/>
  <c r="Y32" i="100" a="1"/>
  <c r="Y32" i="100" s="1"/>
  <c r="U32" i="100" a="1"/>
  <c r="U32" i="100" s="1"/>
  <c r="AJ32" i="100" a="1"/>
  <c r="AJ32" i="100" s="1"/>
  <c r="AF32" i="100" a="1"/>
  <c r="AF32" i="100" s="1"/>
  <c r="O31" i="99" a="1"/>
  <c r="O31" i="99" s="1"/>
  <c r="G31" i="100" a="1"/>
  <c r="G31" i="100" s="1"/>
  <c r="H31" i="100" a="1"/>
  <c r="H31" i="100" s="1"/>
  <c r="J31" i="100" a="1"/>
  <c r="J31" i="100" s="1"/>
  <c r="K31" i="100" a="1"/>
  <c r="K31" i="100" s="1"/>
  <c r="L31" i="100" a="1"/>
  <c r="L31" i="100" s="1"/>
  <c r="AE32" i="100" a="1"/>
  <c r="AE32" i="100" s="1"/>
  <c r="X32" i="100" a="1"/>
  <c r="X32" i="100" s="1"/>
  <c r="T32" i="100" a="1"/>
  <c r="T32" i="100" s="1"/>
  <c r="AC32" i="100" a="1"/>
  <c r="AC32" i="100" s="1"/>
  <c r="R32" i="99"/>
  <c r="Q32" i="99"/>
  <c r="O32" i="100" a="1"/>
  <c r="O32" i="100" s="1"/>
  <c r="L32" i="100" a="1"/>
  <c r="L32" i="100" s="1"/>
  <c r="M32" i="100" a="1"/>
  <c r="M32" i="100" s="1"/>
  <c r="N32" i="100" a="1"/>
  <c r="N32" i="100" s="1"/>
  <c r="P32" i="100" a="1"/>
  <c r="P32" i="100" s="1"/>
  <c r="P32" i="99" a="1"/>
  <c r="P32" i="99" s="1"/>
  <c r="N32" i="99" a="1"/>
  <c r="N32" i="99" s="1"/>
  <c r="L32" i="99" a="1"/>
  <c r="L32" i="99" s="1"/>
  <c r="I32" i="99" a="1"/>
  <c r="I32" i="99" s="1"/>
  <c r="H32" i="99" a="1"/>
  <c r="H32" i="99" s="1"/>
  <c r="G32" i="99" a="1"/>
  <c r="G32" i="99" s="1"/>
  <c r="J32" i="100" a="1"/>
  <c r="J32" i="100" s="1"/>
  <c r="O32" i="99" a="1"/>
  <c r="O32" i="99" s="1"/>
  <c r="M32" i="99" a="1"/>
  <c r="M32" i="99" s="1"/>
  <c r="K32" i="99" a="1"/>
  <c r="K32" i="99" s="1"/>
  <c r="AA32" i="99"/>
  <c r="Z32" i="99"/>
  <c r="Y32" i="99"/>
  <c r="X32" i="99"/>
  <c r="W32" i="99"/>
  <c r="V32" i="99"/>
  <c r="U32" i="99"/>
  <c r="T32" i="99"/>
  <c r="R12" i="100" a="1"/>
  <c r="R12" i="100" s="1"/>
  <c r="M31" i="100" a="1"/>
  <c r="M31" i="100" s="1"/>
  <c r="N31" i="100" a="1"/>
  <c r="N31" i="100" s="1"/>
  <c r="Q32" i="100" a="1"/>
  <c r="Q32" i="100" s="1"/>
  <c r="AI32" i="100" a="1"/>
  <c r="AI32" i="100" s="1"/>
  <c r="S32" i="100" a="1"/>
  <c r="S32" i="100" s="1"/>
  <c r="AA32" i="100" a="1"/>
  <c r="AA32" i="100" s="1"/>
  <c r="W32" i="100" a="1"/>
  <c r="W32" i="100" s="1"/>
  <c r="AB32" i="100" a="1"/>
  <c r="AB32" i="100" s="1"/>
  <c r="AN32" i="100" a="1"/>
  <c r="AN32" i="100" s="1"/>
  <c r="AD32" i="100" a="1"/>
  <c r="AD32" i="100" s="1"/>
  <c r="V32" i="100" a="1"/>
  <c r="V32" i="100" s="1"/>
  <c r="Z32" i="100" a="1"/>
  <c r="Z32" i="100" s="1"/>
  <c r="H32" i="100" a="1"/>
  <c r="H32" i="100" s="1"/>
  <c r="I32" i="100" a="1"/>
  <c r="I32" i="100" s="1"/>
  <c r="F32" i="99" a="1"/>
  <c r="F32" i="99" s="1"/>
  <c r="J32" i="99" a="1"/>
  <c r="J32" i="99" s="1"/>
  <c r="AB32" i="99"/>
  <c r="AC32" i="99"/>
  <c r="AD32" i="99"/>
  <c r="AE32" i="99"/>
  <c r="AF32" i="99"/>
  <c r="AG32" i="99"/>
  <c r="AH32" i="99"/>
  <c r="AI32" i="99"/>
  <c r="AJ32" i="99"/>
  <c r="AK32" i="99"/>
  <c r="AL32" i="99"/>
  <c r="AM32" i="99"/>
  <c r="S32" i="99"/>
  <c r="AN32" i="99"/>
  <c r="K32" i="100" a="1"/>
  <c r="K32" i="100" s="1"/>
  <c r="F32" i="100" a="1"/>
  <c r="F32" i="100" s="1"/>
  <c r="G32" i="100" a="1"/>
  <c r="G32" i="100" s="1"/>
  <c r="V12" i="100" a="1"/>
  <c r="V12" i="100" s="1"/>
  <c r="M12" i="100" a="1"/>
  <c r="M12" i="100" s="1"/>
  <c r="EO4" i="96" a="1"/>
  <c r="EO4" i="96" s="1"/>
  <c r="EJ4" i="96" a="1"/>
  <c r="EJ4" i="96" s="1"/>
  <c r="D12" i="98" s="1" a="1"/>
  <c r="D12" i="98" s="1"/>
  <c r="P34" i="99" a="1"/>
  <c r="P34" i="99" s="1"/>
  <c r="N34" i="99" a="1"/>
  <c r="N34" i="99" s="1"/>
  <c r="AH34" i="100" a="1"/>
  <c r="AH34" i="100" s="1"/>
  <c r="U34" i="100" a="1"/>
  <c r="U34" i="100" s="1"/>
  <c r="AM34" i="100" a="1"/>
  <c r="AM34" i="100" s="1"/>
  <c r="AA34" i="100" a="1"/>
  <c r="AA34" i="100" s="1"/>
  <c r="Y34" i="100" a="1"/>
  <c r="Y34" i="100" s="1"/>
  <c r="W34" i="100" a="1"/>
  <c r="W34" i="100" s="1"/>
  <c r="AF34" i="100" a="1"/>
  <c r="AF34" i="100" s="1"/>
  <c r="T34" i="100" a="1"/>
  <c r="T34" i="100" s="1"/>
  <c r="AE34" i="100" a="1"/>
  <c r="AE34" i="100" s="1"/>
  <c r="S34" i="100" a="1"/>
  <c r="S34" i="100" s="1"/>
  <c r="AK34" i="100" a="1"/>
  <c r="AK34" i="100" s="1"/>
  <c r="AC34" i="100" a="1"/>
  <c r="AC34" i="100" s="1"/>
  <c r="Q34" i="100" a="1"/>
  <c r="Q34" i="100" s="1"/>
  <c r="AL34" i="100" a="1"/>
  <c r="AL34" i="100" s="1"/>
  <c r="Z34" i="100" a="1"/>
  <c r="Z34" i="100" s="1"/>
  <c r="AN34" i="100" a="1"/>
  <c r="AN34" i="100" s="1"/>
  <c r="AB34" i="100" a="1"/>
  <c r="AB34" i="100" s="1"/>
  <c r="AI34" i="100" a="1"/>
  <c r="AI34" i="100" s="1"/>
  <c r="L34" i="99" a="1"/>
  <c r="L34" i="99" s="1"/>
  <c r="U34" i="99"/>
  <c r="J34" i="99" a="1"/>
  <c r="J34" i="99" s="1"/>
  <c r="H34" i="99" a="1"/>
  <c r="H34" i="99" s="1"/>
  <c r="F34" i="99" a="1"/>
  <c r="F34" i="99" s="1"/>
  <c r="O34" i="99" a="1"/>
  <c r="O34" i="99" s="1"/>
  <c r="O34" i="100" a="1"/>
  <c r="O34" i="100" s="1"/>
  <c r="N34" i="100" a="1"/>
  <c r="N34" i="100" s="1"/>
  <c r="M34" i="100" a="1"/>
  <c r="M34" i="100" s="1"/>
  <c r="L34" i="100" a="1"/>
  <c r="L34" i="100" s="1"/>
  <c r="K34" i="100" a="1"/>
  <c r="K34" i="100" s="1"/>
  <c r="J34" i="100" a="1"/>
  <c r="J34" i="100" s="1"/>
  <c r="I34" i="100" a="1"/>
  <c r="I34" i="100" s="1"/>
  <c r="AJ34" i="99"/>
  <c r="H34" i="100" a="1"/>
  <c r="H34" i="100" s="1"/>
  <c r="G34" i="100" a="1"/>
  <c r="G34" i="100" s="1"/>
  <c r="F34" i="100" a="1"/>
  <c r="F34" i="100" s="1"/>
  <c r="S34" i="99"/>
  <c r="AN34" i="99"/>
  <c r="AM34" i="99"/>
  <c r="AL34" i="99"/>
  <c r="AK34" i="99"/>
  <c r="Y34" i="99"/>
  <c r="AI34" i="99"/>
  <c r="AH34" i="99"/>
  <c r="AG34" i="99"/>
  <c r="AF34" i="99"/>
  <c r="AE34" i="99"/>
  <c r="AD34" i="99"/>
  <c r="AC34" i="99"/>
  <c r="AB34" i="99"/>
  <c r="AA34" i="99"/>
  <c r="Z34" i="99"/>
  <c r="X34" i="99"/>
  <c r="W34" i="99"/>
  <c r="V34" i="99"/>
  <c r="T34" i="99"/>
  <c r="R34" i="99"/>
  <c r="Q34" i="99"/>
  <c r="P34" i="100" a="1"/>
  <c r="P34" i="100" s="1"/>
  <c r="M34" i="99" a="1"/>
  <c r="M34" i="99" s="1"/>
  <c r="K34" i="99" a="1"/>
  <c r="K34" i="99" s="1"/>
  <c r="I34" i="99" a="1"/>
  <c r="I34" i="99" s="1"/>
  <c r="G34" i="99" a="1"/>
  <c r="G34" i="99" s="1"/>
  <c r="T12" i="100" a="1"/>
  <c r="T12" i="100" s="1"/>
  <c r="AH12" i="100" a="1"/>
  <c r="AH12" i="100" s="1"/>
  <c r="AY9" i="98"/>
  <c r="E7" i="22"/>
  <c r="E33" i="22" s="1" a="1"/>
  <c r="E33" i="22" s="1"/>
  <c r="E8" i="99" a="1"/>
  <c r="E8" i="99" s="1"/>
  <c r="AN8" i="99" a="1"/>
  <c r="AN8" i="99" s="1"/>
  <c r="AB8" i="99" a="1"/>
  <c r="AB8" i="99" s="1"/>
  <c r="P8" i="99" a="1"/>
  <c r="P8" i="99" s="1"/>
  <c r="AM7" i="99" a="1"/>
  <c r="AM7" i="99" s="1"/>
  <c r="AA7" i="99" a="1"/>
  <c r="AA7" i="99" s="1"/>
  <c r="O7" i="99" a="1"/>
  <c r="O7" i="99" s="1"/>
  <c r="AL8" i="100" a="1"/>
  <c r="AL8" i="100" s="1"/>
  <c r="Z8" i="100" a="1"/>
  <c r="Z8" i="100" s="1"/>
  <c r="N8" i="100" a="1"/>
  <c r="N8" i="100" s="1"/>
  <c r="AK7" i="100" a="1"/>
  <c r="AK7" i="100" s="1"/>
  <c r="Y7" i="100" a="1"/>
  <c r="Y7" i="100" s="1"/>
  <c r="M7" i="100" a="1"/>
  <c r="M7" i="100" s="1"/>
  <c r="AM8" i="99" a="1"/>
  <c r="AM8" i="99" s="1"/>
  <c r="AA8" i="99" a="1"/>
  <c r="AA8" i="99" s="1"/>
  <c r="O8" i="99" a="1"/>
  <c r="O8" i="99" s="1"/>
  <c r="AL7" i="99" a="1"/>
  <c r="AL7" i="99" s="1"/>
  <c r="Z7" i="99" a="1"/>
  <c r="Z7" i="99" s="1"/>
  <c r="N7" i="99" a="1"/>
  <c r="N7" i="99" s="1"/>
  <c r="AK8" i="100" a="1"/>
  <c r="AK8" i="100" s="1"/>
  <c r="Y8" i="100" a="1"/>
  <c r="Y8" i="100" s="1"/>
  <c r="M8" i="100" a="1"/>
  <c r="M8" i="100" s="1"/>
  <c r="AJ7" i="100" a="1"/>
  <c r="AJ7" i="100" s="1"/>
  <c r="X7" i="100" a="1"/>
  <c r="X7" i="100" s="1"/>
  <c r="L7" i="100" a="1"/>
  <c r="L7" i="100" s="1"/>
  <c r="AF8" i="99" a="1"/>
  <c r="AF8" i="99" s="1"/>
  <c r="F8" i="100" a="1"/>
  <c r="F8" i="100" s="1"/>
  <c r="G8" i="99" a="1"/>
  <c r="G8" i="99" s="1"/>
  <c r="R8" i="99" a="1"/>
  <c r="R8" i="99" s="1"/>
  <c r="AC7" i="99" a="1"/>
  <c r="AC7" i="99" s="1"/>
  <c r="AN8" i="100" a="1"/>
  <c r="AN8" i="100" s="1"/>
  <c r="P8" i="100" a="1"/>
  <c r="P8" i="100" s="1"/>
  <c r="AA7" i="100" a="1"/>
  <c r="AA7" i="100" s="1"/>
  <c r="Q8" i="99" a="1"/>
  <c r="Q8" i="99" s="1"/>
  <c r="AL8" i="99" a="1"/>
  <c r="AL8" i="99" s="1"/>
  <c r="Z8" i="99" a="1"/>
  <c r="Z8" i="99" s="1"/>
  <c r="N8" i="99" a="1"/>
  <c r="N8" i="99" s="1"/>
  <c r="AK7" i="99" a="1"/>
  <c r="AK7" i="99" s="1"/>
  <c r="Y7" i="99" a="1"/>
  <c r="Y7" i="99" s="1"/>
  <c r="M7" i="99" a="1"/>
  <c r="M7" i="99" s="1"/>
  <c r="AJ8" i="100" a="1"/>
  <c r="AJ8" i="100" s="1"/>
  <c r="X8" i="100" a="1"/>
  <c r="X8" i="100" s="1"/>
  <c r="L8" i="100" a="1"/>
  <c r="L8" i="100" s="1"/>
  <c r="AI7" i="100" a="1"/>
  <c r="AI7" i="100" s="1"/>
  <c r="W7" i="100" a="1"/>
  <c r="W7" i="100" s="1"/>
  <c r="K7" i="100" a="1"/>
  <c r="K7" i="100" s="1"/>
  <c r="T8" i="99" a="1"/>
  <c r="T8" i="99" s="1"/>
  <c r="G7" i="99" a="1"/>
  <c r="G7" i="99" s="1"/>
  <c r="AC7" i="100" a="1"/>
  <c r="AC7" i="100" s="1"/>
  <c r="S8" i="99" a="1"/>
  <c r="S8" i="99" s="1"/>
  <c r="AD7" i="99" a="1"/>
  <c r="AD7" i="99" s="1"/>
  <c r="F7" i="99" a="1"/>
  <c r="F7" i="99" s="1"/>
  <c r="Q8" i="100" a="1"/>
  <c r="Q8" i="100" s="1"/>
  <c r="AB7" i="100" a="1"/>
  <c r="AB7" i="100" s="1"/>
  <c r="AK8" i="99" a="1"/>
  <c r="AK8" i="99" s="1"/>
  <c r="Y8" i="99" a="1"/>
  <c r="Y8" i="99" s="1"/>
  <c r="M8" i="99" a="1"/>
  <c r="M8" i="99" s="1"/>
  <c r="AJ7" i="99" a="1"/>
  <c r="AJ7" i="99" s="1"/>
  <c r="X7" i="99" a="1"/>
  <c r="X7" i="99" s="1"/>
  <c r="L7" i="99" a="1"/>
  <c r="L7" i="99" s="1"/>
  <c r="AI8" i="100" a="1"/>
  <c r="AI8" i="100" s="1"/>
  <c r="W8" i="100" a="1"/>
  <c r="W8" i="100" s="1"/>
  <c r="K8" i="100" a="1"/>
  <c r="K8" i="100" s="1"/>
  <c r="AH7" i="100" a="1"/>
  <c r="AH7" i="100" s="1"/>
  <c r="V7" i="100" a="1"/>
  <c r="V7" i="100" s="1"/>
  <c r="J7" i="100" a="1"/>
  <c r="J7" i="100" s="1"/>
  <c r="AE7" i="99" a="1"/>
  <c r="AE7" i="99" s="1"/>
  <c r="P7" i="99" a="1"/>
  <c r="P7" i="99" s="1"/>
  <c r="AJ8" i="99" a="1"/>
  <c r="AJ8" i="99" s="1"/>
  <c r="X8" i="99" a="1"/>
  <c r="X8" i="99" s="1"/>
  <c r="L8" i="99" a="1"/>
  <c r="L8" i="99" s="1"/>
  <c r="AI7" i="99" a="1"/>
  <c r="AI7" i="99" s="1"/>
  <c r="W7" i="99" a="1"/>
  <c r="W7" i="99" s="1"/>
  <c r="K7" i="99" a="1"/>
  <c r="K7" i="99" s="1"/>
  <c r="AH8" i="100" a="1"/>
  <c r="AH8" i="100" s="1"/>
  <c r="V8" i="100" a="1"/>
  <c r="V8" i="100" s="1"/>
  <c r="J8" i="100" a="1"/>
  <c r="J8" i="100" s="1"/>
  <c r="AG7" i="100" a="1"/>
  <c r="AG7" i="100" s="1"/>
  <c r="U7" i="100" a="1"/>
  <c r="U7" i="100" s="1"/>
  <c r="I7" i="100" a="1"/>
  <c r="I7" i="100" s="1"/>
  <c r="AI8" i="99" a="1"/>
  <c r="AI8" i="99" s="1"/>
  <c r="W8" i="99" a="1"/>
  <c r="W8" i="99" s="1"/>
  <c r="K8" i="99" a="1"/>
  <c r="K8" i="99" s="1"/>
  <c r="AH7" i="99" a="1"/>
  <c r="AH7" i="99" s="1"/>
  <c r="V7" i="99" a="1"/>
  <c r="V7" i="99" s="1"/>
  <c r="J7" i="99" a="1"/>
  <c r="J7" i="99" s="1"/>
  <c r="AG8" i="100" a="1"/>
  <c r="AG8" i="100" s="1"/>
  <c r="U8" i="100" a="1"/>
  <c r="U8" i="100" s="1"/>
  <c r="I8" i="100" a="1"/>
  <c r="I8" i="100" s="1"/>
  <c r="AF7" i="100" a="1"/>
  <c r="AF7" i="100" s="1"/>
  <c r="T7" i="100" a="1"/>
  <c r="T7" i="100" s="1"/>
  <c r="H7" i="100" a="1"/>
  <c r="H7" i="100" s="1"/>
  <c r="S7" i="99" a="1"/>
  <c r="S7" i="99" s="1"/>
  <c r="AD8" i="100" a="1"/>
  <c r="AD8" i="100" s="1"/>
  <c r="Q7" i="100" a="1"/>
  <c r="Q7" i="100" s="1"/>
  <c r="AH8" i="99" a="1"/>
  <c r="AH8" i="99" s="1"/>
  <c r="V8" i="99" a="1"/>
  <c r="V8" i="99" s="1"/>
  <c r="J8" i="99" a="1"/>
  <c r="J8" i="99" s="1"/>
  <c r="AG7" i="99" a="1"/>
  <c r="AG7" i="99" s="1"/>
  <c r="U7" i="99" a="1"/>
  <c r="U7" i="99" s="1"/>
  <c r="I7" i="99" a="1"/>
  <c r="I7" i="99" s="1"/>
  <c r="AF8" i="100" a="1"/>
  <c r="AF8" i="100" s="1"/>
  <c r="T8" i="100" a="1"/>
  <c r="T8" i="100" s="1"/>
  <c r="H8" i="100" a="1"/>
  <c r="H8" i="100" s="1"/>
  <c r="AE7" i="100" a="1"/>
  <c r="AE7" i="100" s="1"/>
  <c r="S7" i="100" a="1"/>
  <c r="S7" i="100" s="1"/>
  <c r="G7" i="100" a="1"/>
  <c r="G7" i="100" s="1"/>
  <c r="H8" i="99" a="1"/>
  <c r="H8" i="99" s="1"/>
  <c r="R8" i="100" a="1"/>
  <c r="R8" i="100" s="1"/>
  <c r="E8" i="100" a="1"/>
  <c r="E8" i="100" s="1"/>
  <c r="AE8" i="99" a="1"/>
  <c r="AE8" i="99" s="1"/>
  <c r="R7" i="99" a="1"/>
  <c r="R7" i="99" s="1"/>
  <c r="AC8" i="100" a="1"/>
  <c r="AC8" i="100" s="1"/>
  <c r="AN7" i="100" a="1"/>
  <c r="AN7" i="100" s="1"/>
  <c r="P7" i="100" a="1"/>
  <c r="P7" i="100" s="1"/>
  <c r="AD8" i="99" a="1"/>
  <c r="AD8" i="99" s="1"/>
  <c r="F8" i="99" a="1"/>
  <c r="F8" i="99" s="1"/>
  <c r="Q7" i="99" a="1"/>
  <c r="Q7" i="99" s="1"/>
  <c r="AB8" i="100" a="1"/>
  <c r="AB8" i="100" s="1"/>
  <c r="AM7" i="100" a="1"/>
  <c r="AM7" i="100" s="1"/>
  <c r="O7" i="100" a="1"/>
  <c r="O7" i="100" s="1"/>
  <c r="AC8" i="99" a="1"/>
  <c r="AC8" i="99" s="1"/>
  <c r="AN7" i="99" a="1"/>
  <c r="AN7" i="99" s="1"/>
  <c r="AB7" i="99" a="1"/>
  <c r="AB7" i="99" s="1"/>
  <c r="AM8" i="100" a="1"/>
  <c r="AM8" i="100" s="1"/>
  <c r="O8" i="100" a="1"/>
  <c r="O8" i="100" s="1"/>
  <c r="AL7" i="100" a="1"/>
  <c r="AL7" i="100" s="1"/>
  <c r="N7" i="100" a="1"/>
  <c r="N7" i="100" s="1"/>
  <c r="AG8" i="99" a="1"/>
  <c r="AG8" i="99" s="1"/>
  <c r="U8" i="99" a="1"/>
  <c r="U8" i="99" s="1"/>
  <c r="I8" i="99" a="1"/>
  <c r="I8" i="99" s="1"/>
  <c r="AF7" i="99" a="1"/>
  <c r="AF7" i="99" s="1"/>
  <c r="T7" i="99" a="1"/>
  <c r="T7" i="99" s="1"/>
  <c r="H7" i="99" a="1"/>
  <c r="H7" i="99" s="1"/>
  <c r="AE8" i="100" a="1"/>
  <c r="AE8" i="100" s="1"/>
  <c r="S8" i="100" a="1"/>
  <c r="S8" i="100" s="1"/>
  <c r="G8" i="100" a="1"/>
  <c r="G8" i="100" s="1"/>
  <c r="AD7" i="100" a="1"/>
  <c r="AD7" i="100" s="1"/>
  <c r="R7" i="100" a="1"/>
  <c r="R7" i="100" s="1"/>
  <c r="F7" i="100" a="1"/>
  <c r="F7" i="100" s="1"/>
  <c r="AA8" i="100" a="1"/>
  <c r="AA8" i="100" s="1"/>
  <c r="Z7" i="100" a="1"/>
  <c r="Z7" i="100" s="1"/>
  <c r="FB4" i="69" a="1"/>
  <c r="AY11" i="98"/>
  <c r="G51" i="85"/>
  <c r="F51" i="85"/>
  <c r="P12" i="100" a="1"/>
  <c r="P12" i="100" s="1"/>
  <c r="AB12" i="100" a="1"/>
  <c r="AB12" i="100" s="1"/>
  <c r="Z12" i="100" a="1"/>
  <c r="Z12" i="100" s="1"/>
  <c r="I12" i="100" a="1"/>
  <c r="I12" i="100" s="1"/>
  <c r="K12" i="100" a="1"/>
  <c r="K12" i="100" s="1"/>
  <c r="N12" i="100" a="1"/>
  <c r="N12" i="100" s="1"/>
  <c r="AN12" i="100" a="1"/>
  <c r="AN12" i="100" s="1"/>
  <c r="AL12" i="100" a="1"/>
  <c r="AL12" i="100" s="1"/>
  <c r="U12" i="100" a="1"/>
  <c r="U12" i="100" s="1"/>
  <c r="W12" i="100" a="1"/>
  <c r="W12" i="100" s="1"/>
  <c r="AF12" i="100" a="1"/>
  <c r="AF12" i="100" s="1"/>
  <c r="AK12" i="100" a="1"/>
  <c r="AK12" i="100" s="1"/>
  <c r="AY8" i="98"/>
  <c r="AA12" i="100" a="1"/>
  <c r="AA12" i="100" s="1"/>
  <c r="AG12" i="100" a="1"/>
  <c r="AG12" i="100" s="1"/>
  <c r="AI12" i="100" a="1"/>
  <c r="AI12" i="100" s="1"/>
  <c r="G12" i="100" a="1"/>
  <c r="G12" i="100" s="1"/>
  <c r="L12" i="100" a="1"/>
  <c r="L12" i="100" s="1"/>
  <c r="X12" i="100" a="1"/>
  <c r="X12" i="100" s="1"/>
  <c r="S12" i="100" a="1"/>
  <c r="S12" i="100" s="1"/>
  <c r="AJ12" i="100" a="1"/>
  <c r="AJ12" i="100" s="1"/>
  <c r="Y12" i="100" a="1"/>
  <c r="Y12" i="100" s="1"/>
  <c r="Q12" i="100" a="1"/>
  <c r="Q12" i="100" s="1"/>
  <c r="AE12" i="100" a="1"/>
  <c r="AE12" i="100" s="1"/>
  <c r="O12" i="100" a="1"/>
  <c r="O12" i="100" s="1"/>
  <c r="AQ9" i="98"/>
  <c r="AC12" i="100" a="1"/>
  <c r="AC12" i="100" s="1"/>
  <c r="AM12" i="100" a="1"/>
  <c r="AM12" i="100" s="1"/>
  <c r="J12" i="100" a="1"/>
  <c r="J12" i="100" s="1"/>
  <c r="F12" i="100" a="1"/>
  <c r="F12" i="100" s="1"/>
  <c r="H12" i="100" a="1"/>
  <c r="H12" i="100" s="1"/>
  <c r="R34" i="100" a="1"/>
  <c r="R34" i="100" s="1"/>
  <c r="AG34" i="100" a="1"/>
  <c r="AG34" i="100" s="1"/>
  <c r="BC21" i="98"/>
  <c r="BG15" i="98"/>
  <c r="BG21" i="98" s="1"/>
  <c r="AQ8" i="98"/>
  <c r="AQ11" i="98"/>
  <c r="AD34" i="100" a="1"/>
  <c r="AD34" i="100" s="1"/>
  <c r="X34" i="100" a="1"/>
  <c r="X34" i="100" s="1"/>
  <c r="AA17" i="98"/>
  <c r="AJ34" i="100" a="1"/>
  <c r="AJ34" i="100" s="1"/>
  <c r="V34" i="100" a="1"/>
  <c r="V34" i="100" s="1"/>
  <c r="H51" i="85"/>
  <c r="AY13" i="98"/>
  <c r="AQ13" i="98"/>
  <c r="H43" i="85"/>
  <c r="S43" i="34" s="1"/>
  <c r="G43" i="34" s="1"/>
  <c r="E4" i="96"/>
  <c r="D26" i="98" s="1" a="1"/>
  <c r="D29" i="98" a="1"/>
  <c r="D28" i="98" a="1"/>
  <c r="D27" i="98" a="1"/>
  <c r="F30" i="100" a="1"/>
  <c r="F30" i="100" s="1"/>
  <c r="G30" i="100" a="1"/>
  <c r="G30" i="100" s="1"/>
  <c r="H30" i="100" a="1"/>
  <c r="H30" i="100" s="1"/>
  <c r="I30" i="100" a="1"/>
  <c r="I30" i="100" s="1"/>
  <c r="J30" i="100" a="1"/>
  <c r="J30" i="100" s="1"/>
  <c r="K30" i="100" a="1"/>
  <c r="K30" i="100" s="1"/>
  <c r="P30" i="100" a="1"/>
  <c r="P30" i="100" s="1"/>
  <c r="O30" i="100" a="1"/>
  <c r="O30" i="100" s="1"/>
  <c r="L30" i="100" a="1"/>
  <c r="L30" i="100" s="1"/>
  <c r="N30" i="100" a="1"/>
  <c r="N30" i="100" s="1"/>
  <c r="V30" i="99"/>
  <c r="Z30" i="99"/>
  <c r="AC30" i="99"/>
  <c r="X30" i="99"/>
  <c r="AA30" i="99"/>
  <c r="AD30" i="99"/>
  <c r="Q30" i="99"/>
  <c r="T30" i="99"/>
  <c r="W30" i="99"/>
  <c r="Y30" i="99"/>
  <c r="AB30" i="99"/>
  <c r="R30" i="99"/>
  <c r="S30" i="99"/>
  <c r="U30" i="99"/>
  <c r="M30" i="100" a="1"/>
  <c r="M30" i="100" s="1"/>
  <c r="AE30" i="99"/>
  <c r="AF30" i="99"/>
  <c r="AG30" i="99"/>
  <c r="AH30" i="99"/>
  <c r="AI30" i="99"/>
  <c r="AJ30" i="99"/>
  <c r="AK30" i="99"/>
  <c r="AL30" i="99"/>
  <c r="AM30" i="99"/>
  <c r="AN30" i="99"/>
  <c r="F30" i="99" a="1"/>
  <c r="F30" i="99" s="1"/>
  <c r="G30" i="99" a="1"/>
  <c r="G30" i="99" s="1"/>
  <c r="H30" i="99" a="1"/>
  <c r="H30" i="99" s="1"/>
  <c r="I30" i="99" a="1"/>
  <c r="I30" i="99" s="1"/>
  <c r="J30" i="99" a="1"/>
  <c r="J30" i="99" s="1"/>
  <c r="K30" i="99" a="1"/>
  <c r="K30" i="99" s="1"/>
  <c r="L30" i="99" a="1"/>
  <c r="L30" i="99" s="1"/>
  <c r="M30" i="99" a="1"/>
  <c r="M30" i="99" s="1"/>
  <c r="N30" i="99" a="1"/>
  <c r="N30" i="99" s="1"/>
  <c r="O30" i="99" a="1"/>
  <c r="O30" i="99" s="1"/>
  <c r="P30" i="99" a="1"/>
  <c r="P30" i="99" s="1"/>
  <c r="V41" i="100"/>
  <c r="U41" i="100"/>
  <c r="T41" i="100"/>
  <c r="S41" i="100"/>
  <c r="R41" i="100"/>
  <c r="Q41" i="100"/>
  <c r="P41" i="99" a="1"/>
  <c r="P41" i="99" s="1"/>
  <c r="N41" i="99" a="1"/>
  <c r="N41" i="99" s="1"/>
  <c r="L41" i="99" a="1"/>
  <c r="L41" i="99" s="1"/>
  <c r="I41" i="99" a="1"/>
  <c r="I41" i="99" s="1"/>
  <c r="G41" i="99" a="1"/>
  <c r="G41" i="99" s="1"/>
  <c r="Z41" i="100"/>
  <c r="O41" i="99" a="1"/>
  <c r="O41" i="99" s="1"/>
  <c r="M41" i="99" a="1"/>
  <c r="M41" i="99" s="1"/>
  <c r="K41" i="99" a="1"/>
  <c r="K41" i="99" s="1"/>
  <c r="J41" i="99" a="1"/>
  <c r="J41" i="99" s="1"/>
  <c r="H41" i="99" a="1"/>
  <c r="H41" i="99" s="1"/>
  <c r="F41" i="99" a="1"/>
  <c r="F41" i="99" s="1"/>
  <c r="AN41" i="99"/>
  <c r="AM41" i="99"/>
  <c r="AL41" i="99"/>
  <c r="AK41" i="99"/>
  <c r="AJ41" i="99"/>
  <c r="AI41" i="99"/>
  <c r="AG41" i="99"/>
  <c r="AF41" i="99"/>
  <c r="AE41" i="99"/>
  <c r="AD41" i="99"/>
  <c r="AC41" i="99"/>
  <c r="AB41" i="99"/>
  <c r="AA41" i="99"/>
  <c r="Z41" i="99"/>
  <c r="Y41" i="99"/>
  <c r="X41" i="99"/>
  <c r="W41" i="99"/>
  <c r="V41" i="99"/>
  <c r="U41" i="99"/>
  <c r="T41" i="99"/>
  <c r="S41" i="99"/>
  <c r="R41" i="99"/>
  <c r="Q41" i="99"/>
  <c r="P41" i="100" a="1"/>
  <c r="P41" i="100" s="1"/>
  <c r="O41" i="100" a="1"/>
  <c r="O41" i="100" s="1"/>
  <c r="N41" i="100" a="1"/>
  <c r="N41" i="100" s="1"/>
  <c r="M41" i="100" a="1"/>
  <c r="M41" i="100" s="1"/>
  <c r="L41" i="100" a="1"/>
  <c r="L41" i="100" s="1"/>
  <c r="K41" i="100" a="1"/>
  <c r="K41" i="100" s="1"/>
  <c r="J41" i="100" a="1"/>
  <c r="J41" i="100" s="1"/>
  <c r="AH41" i="99"/>
  <c r="I41" i="100" a="1"/>
  <c r="I41" i="100" s="1"/>
  <c r="H41" i="100" a="1"/>
  <c r="H41" i="100" s="1"/>
  <c r="G41" i="100" a="1"/>
  <c r="G41" i="100" s="1"/>
  <c r="F41" i="100" a="1"/>
  <c r="F41" i="100" s="1"/>
  <c r="AN41" i="100"/>
  <c r="AM41" i="100"/>
  <c r="AL41" i="100"/>
  <c r="AK41" i="100"/>
  <c r="AJ41" i="100"/>
  <c r="AI41" i="100"/>
  <c r="AH41" i="100"/>
  <c r="AG41" i="100"/>
  <c r="AF41" i="100"/>
  <c r="AE41" i="100"/>
  <c r="AD41" i="100"/>
  <c r="AC41" i="100"/>
  <c r="AB41" i="100"/>
  <c r="AA41" i="100"/>
  <c r="Y41" i="100"/>
  <c r="X41" i="100"/>
  <c r="W41" i="100"/>
  <c r="CE4" i="96"/>
  <c r="F43" i="85"/>
  <c r="Q43" i="34" s="1"/>
  <c r="M43" i="34"/>
  <c r="G43" i="85"/>
  <c r="R43" i="34" s="1"/>
  <c r="F43" i="34" s="1"/>
  <c r="R4" i="69" a="1"/>
  <c r="W12" i="85" a="1"/>
  <c r="W12" i="85" s="1"/>
  <c r="AI12" i="85" a="1"/>
  <c r="AI12" i="85" s="1"/>
  <c r="AE12" i="85" a="1"/>
  <c r="AE12" i="85" s="1"/>
  <c r="AH12" i="85" a="1"/>
  <c r="AH12" i="85" s="1"/>
  <c r="V12" i="85" a="1"/>
  <c r="V12" i="85" s="1"/>
  <c r="W12" i="84" a="1"/>
  <c r="W12" i="84" s="1"/>
  <c r="V12" i="84" a="1"/>
  <c r="V12" i="84" s="1"/>
  <c r="AF12" i="85" a="1"/>
  <c r="AF12" i="85" s="1"/>
  <c r="AN12" i="85" a="1"/>
  <c r="AN12" i="85" s="1"/>
  <c r="AB12" i="85" a="1"/>
  <c r="AB12" i="85" s="1"/>
  <c r="AH4" i="69"/>
  <c r="AL12" i="85" a="1"/>
  <c r="AL12" i="85" s="1"/>
  <c r="Z12" i="85" a="1"/>
  <c r="Z12" i="85" s="1"/>
  <c r="AD12" i="85" a="1"/>
  <c r="AD12" i="85" s="1"/>
  <c r="X12" i="84" a="1"/>
  <c r="X12" i="84" s="1"/>
  <c r="AJ12" i="85" a="1"/>
  <c r="AJ12" i="85" s="1"/>
  <c r="AM12" i="85" a="1"/>
  <c r="AM12" i="85" s="1"/>
  <c r="AA12" i="85" a="1"/>
  <c r="AA12" i="85" s="1"/>
  <c r="X12" i="85" a="1"/>
  <c r="X12" i="85" s="1"/>
  <c r="S1" i="34"/>
  <c r="R1" i="34"/>
  <c r="H1" i="84"/>
  <c r="G13" i="84"/>
  <c r="N13" i="34" s="1"/>
  <c r="F13" i="34" s="1"/>
  <c r="F1" i="84"/>
  <c r="F13" i="84"/>
  <c r="M13" i="34" s="1"/>
  <c r="H13" i="84"/>
  <c r="O13" i="34" s="1"/>
  <c r="G13" i="34" s="1"/>
  <c r="G1" i="84"/>
  <c r="T37" i="85"/>
  <c r="O13" i="9" a="1"/>
  <c r="O13" i="9" s="1"/>
  <c r="T12" i="84" a="1"/>
  <c r="T12" i="84" s="1"/>
  <c r="N13" i="9" a="1"/>
  <c r="N13" i="9" s="1"/>
  <c r="R12" i="84" a="1"/>
  <c r="R12" i="84" s="1"/>
  <c r="L13" i="9" a="1"/>
  <c r="L13" i="9" s="1"/>
  <c r="S12" i="84" a="1"/>
  <c r="S12" i="84" s="1"/>
  <c r="M13" i="9" a="1"/>
  <c r="M13" i="9" s="1"/>
  <c r="T14" i="84" a="1"/>
  <c r="T14" i="84" s="1"/>
  <c r="L14" i="84" s="1"/>
  <c r="H14" i="84" s="1"/>
  <c r="O14" i="34" s="1"/>
  <c r="G14" i="34" s="1"/>
  <c r="M15" i="9" a="1"/>
  <c r="M15" i="9" s="1"/>
  <c r="L15" i="9" a="1"/>
  <c r="L15" i="9" s="1"/>
  <c r="O15" i="9" a="1"/>
  <c r="O15" i="9" s="1"/>
  <c r="S14" i="84" a="1"/>
  <c r="S14" i="84" s="1"/>
  <c r="K14" i="84" s="1"/>
  <c r="G14" i="84" s="1"/>
  <c r="N14" i="34" s="1"/>
  <c r="F14" i="34" s="1"/>
  <c r="R14" i="84" a="1"/>
  <c r="R14" i="84" s="1"/>
  <c r="J14" i="84" s="1"/>
  <c r="F14" i="84" s="1"/>
  <c r="M14" i="34" s="1"/>
  <c r="E14" i="34" s="1"/>
  <c r="N15" i="9" a="1"/>
  <c r="N15" i="9" s="1"/>
  <c r="DF4" i="69"/>
  <c r="DN4" i="69"/>
  <c r="DB4" i="69"/>
  <c r="E4" i="74"/>
  <c r="E4" i="75"/>
  <c r="E4" i="52"/>
  <c r="E4" i="53"/>
  <c r="E4" i="51"/>
  <c r="O22" i="98" l="1"/>
  <c r="O42" i="84" a="1"/>
  <c r="O42" i="84" s="1"/>
  <c r="P42" i="84" a="1"/>
  <c r="P42" i="84" s="1"/>
  <c r="N42" i="84" a="1"/>
  <c r="N42" i="84" s="1"/>
  <c r="K4" i="85" a="1"/>
  <c r="K4" i="85" s="1"/>
  <c r="M10" i="9" a="1"/>
  <c r="M10" i="9" s="1"/>
  <c r="P4" i="85" a="1"/>
  <c r="P4" i="85" s="1"/>
  <c r="L10" i="9" a="1"/>
  <c r="L10" i="9" s="1"/>
  <c r="R4" i="85" a="1"/>
  <c r="R4" i="85" s="1"/>
  <c r="T4" i="85" a="1"/>
  <c r="T4" i="85" s="1"/>
  <c r="N4" i="85" a="1"/>
  <c r="N4" i="85" s="1"/>
  <c r="O10" i="9" a="1"/>
  <c r="O10" i="9" s="1"/>
  <c r="S4" i="85" a="1"/>
  <c r="S4" i="85" s="1"/>
  <c r="O4" i="85" a="1"/>
  <c r="O4" i="85" s="1"/>
  <c r="N10" i="9" a="1"/>
  <c r="N10" i="9" s="1"/>
  <c r="L4" i="85" a="1"/>
  <c r="L4" i="85" s="1"/>
  <c r="J4" i="85" a="1"/>
  <c r="J4" i="85" s="1"/>
  <c r="N12" i="84" a="1"/>
  <c r="N12" i="84" s="1"/>
  <c r="O12" i="84" a="1"/>
  <c r="O12" i="84" s="1"/>
  <c r="P12" i="84" a="1"/>
  <c r="P12" i="84" s="1"/>
  <c r="N38" i="84" a="1"/>
  <c r="N38" i="84" s="1"/>
  <c r="F38" i="84" s="1"/>
  <c r="V12" i="98" s="1"/>
  <c r="P38" i="84" a="1"/>
  <c r="P38" i="84" s="1"/>
  <c r="H38" i="84" s="1"/>
  <c r="O38" i="34" s="1"/>
  <c r="O38" i="84" a="1"/>
  <c r="O38" i="84" s="1"/>
  <c r="G38" i="84" s="1"/>
  <c r="N38" i="34" s="1"/>
  <c r="N40" i="84" a="1"/>
  <c r="N40" i="84" s="1"/>
  <c r="F40" i="84" s="1"/>
  <c r="V14" i="98" s="1"/>
  <c r="O40" i="84" a="1"/>
  <c r="O40" i="84" s="1"/>
  <c r="G40" i="84" s="1"/>
  <c r="N40" i="34" s="1"/>
  <c r="P40" i="84" a="1"/>
  <c r="P40" i="84" s="1"/>
  <c r="H40" i="84" s="1"/>
  <c r="O40" i="34" s="1"/>
  <c r="O37" i="84" a="1"/>
  <c r="O37" i="84" s="1"/>
  <c r="G37" i="84" s="1"/>
  <c r="N37" i="34" s="1"/>
  <c r="N37" i="84" a="1"/>
  <c r="N37" i="84" s="1"/>
  <c r="F37" i="84" s="1"/>
  <c r="V11" i="98" s="1"/>
  <c r="P37" i="84" a="1"/>
  <c r="P37" i="84" s="1"/>
  <c r="H37" i="84" s="1"/>
  <c r="O37" i="34" s="1"/>
  <c r="Q21" i="98"/>
  <c r="E50" i="80"/>
  <c r="E44" i="22" a="1"/>
  <c r="E40" i="22" a="1"/>
  <c r="E46" i="22" a="1"/>
  <c r="E75" i="59" a="1"/>
  <c r="E75" i="59" s="1"/>
  <c r="E75" i="41" a="1"/>
  <c r="E75" i="41" s="1"/>
  <c r="E75" i="57" a="1"/>
  <c r="E75" i="57" s="1"/>
  <c r="E75" i="73" a="1"/>
  <c r="E75" i="73" s="1"/>
  <c r="N22" i="98"/>
  <c r="P22" i="98"/>
  <c r="Q18" i="98"/>
  <c r="M22" i="98"/>
  <c r="N4" i="69" a="1"/>
  <c r="E75" i="39" a="1"/>
  <c r="E75" i="39" s="1"/>
  <c r="E75" i="66" a="1"/>
  <c r="E75" i="66" s="1"/>
  <c r="E75" i="70" a="1"/>
  <c r="E75" i="70" s="1"/>
  <c r="Q19" i="98"/>
  <c r="Q20" i="98"/>
  <c r="D29" i="98"/>
  <c r="H29" i="98" s="1"/>
  <c r="D28" i="98"/>
  <c r="H28" i="98" s="1"/>
  <c r="D27" i="98"/>
  <c r="H27" i="98" s="1"/>
  <c r="E75" i="31" a="1"/>
  <c r="E75" i="31" s="1"/>
  <c r="DG4" i="96" a="1"/>
  <c r="DG4" i="96" s="1"/>
  <c r="G7" i="98"/>
  <c r="F7" i="98"/>
  <c r="E7" i="98"/>
  <c r="G6" i="98"/>
  <c r="F6" i="98"/>
  <c r="E6" i="98"/>
  <c r="G5" i="98"/>
  <c r="F5" i="98"/>
  <c r="E5" i="98"/>
  <c r="D7" i="98"/>
  <c r="D6" i="98"/>
  <c r="D5" i="98"/>
  <c r="G4" i="98"/>
  <c r="F4" i="98"/>
  <c r="E4" i="98"/>
  <c r="D4" i="98"/>
  <c r="E32" i="100" a="1"/>
  <c r="E32" i="100" s="1"/>
  <c r="E32" i="99" a="1"/>
  <c r="E32" i="99" s="1"/>
  <c r="E41" i="100" a="1"/>
  <c r="E41" i="100" s="1"/>
  <c r="AU7" i="98" s="1"/>
  <c r="E12" i="100" a="1"/>
  <c r="E12" i="100" s="1"/>
  <c r="E6" i="22" a="1"/>
  <c r="E21" i="22" a="1"/>
  <c r="E7" i="100" a="1"/>
  <c r="E7" i="100" s="1"/>
  <c r="E7" i="99" a="1"/>
  <c r="E7" i="99" s="1"/>
  <c r="EE4" i="96" a="1"/>
  <c r="EE4" i="96" s="1"/>
  <c r="D11" i="98" s="1" a="1"/>
  <c r="D11" i="98" s="1"/>
  <c r="FB4" i="69"/>
  <c r="FE13" i="69"/>
  <c r="FE14" i="69"/>
  <c r="FE15" i="69"/>
  <c r="FE11" i="69"/>
  <c r="E43" i="34"/>
  <c r="AO7" i="98"/>
  <c r="P38" i="85"/>
  <c r="AN7" i="98"/>
  <c r="AV7" i="98"/>
  <c r="E41" i="99" a="1"/>
  <c r="E41" i="99" s="1"/>
  <c r="AM7" i="98" s="1"/>
  <c r="AW7" i="98"/>
  <c r="AX7" i="98"/>
  <c r="AP7" i="98"/>
  <c r="D26" i="98"/>
  <c r="E30" i="98"/>
  <c r="F30" i="98"/>
  <c r="G30" i="98"/>
  <c r="E31" i="99" a="1"/>
  <c r="E31" i="99" s="1"/>
  <c r="E31" i="100" a="1"/>
  <c r="E31" i="100" s="1"/>
  <c r="AX4" i="96" a="1"/>
  <c r="AX4" i="96" s="1"/>
  <c r="E75" i="23" a="1"/>
  <c r="E75" i="23" s="1"/>
  <c r="E75" i="13" a="1"/>
  <c r="E75" i="13" s="1"/>
  <c r="E30" i="100" a="1"/>
  <c r="E30" i="100" s="1"/>
  <c r="E22" i="100" s="1" a="1"/>
  <c r="E22" i="100" s="1"/>
  <c r="AS4" i="96" a="1"/>
  <c r="AS4" i="96" s="1"/>
  <c r="J4" i="96" s="1" a="1"/>
  <c r="E30" i="99" a="1"/>
  <c r="E30" i="99" s="1"/>
  <c r="E22" i="99" s="1" a="1"/>
  <c r="E22" i="99" s="1"/>
  <c r="N38" i="85"/>
  <c r="X12" i="98" s="1"/>
  <c r="O37" i="85"/>
  <c r="N40" i="85"/>
  <c r="X14" i="98" s="1"/>
  <c r="X4" i="84" a="1"/>
  <c r="X4" i="84" s="1"/>
  <c r="AH4" i="85" a="1"/>
  <c r="AH4" i="85" s="1"/>
  <c r="X4" i="85" a="1"/>
  <c r="X4" i="85" s="1"/>
  <c r="AE4" i="85" a="1"/>
  <c r="AE4" i="85" s="1"/>
  <c r="AI4" i="85" a="1"/>
  <c r="AI4" i="85" s="1"/>
  <c r="Z4" i="85" a="1"/>
  <c r="Z4" i="85" s="1"/>
  <c r="AD4" i="85" a="1"/>
  <c r="AD4" i="85" s="1"/>
  <c r="AF4" i="85" a="1"/>
  <c r="AF4" i="85" s="1"/>
  <c r="AB4" i="85" a="1"/>
  <c r="AB4" i="85" s="1"/>
  <c r="AM4" i="85" a="1"/>
  <c r="AM4" i="85" s="1"/>
  <c r="V4" i="84" a="1"/>
  <c r="V4" i="84" s="1"/>
  <c r="V4" i="85" a="1"/>
  <c r="V4" i="85" s="1"/>
  <c r="AJ4" i="85" a="1"/>
  <c r="AJ4" i="85" s="1"/>
  <c r="W4" i="85" a="1"/>
  <c r="W4" i="85" s="1"/>
  <c r="AN4" i="85" a="1"/>
  <c r="AN4" i="85" s="1"/>
  <c r="AA4" i="85" a="1"/>
  <c r="AA4" i="85" s="1"/>
  <c r="AL4" i="85" a="1"/>
  <c r="AL4" i="85" s="1"/>
  <c r="W4" i="84" a="1"/>
  <c r="W4" i="84" s="1"/>
  <c r="R4" i="69"/>
  <c r="T4" i="84" a="1"/>
  <c r="T4" i="84" s="1"/>
  <c r="S4" i="84" a="1"/>
  <c r="S4" i="84" s="1"/>
  <c r="R4" i="84" a="1"/>
  <c r="R4" i="84" s="1"/>
  <c r="G12" i="85"/>
  <c r="R12" i="34" s="1"/>
  <c r="K38" i="85"/>
  <c r="O38" i="85"/>
  <c r="K12" i="84"/>
  <c r="O1" i="34"/>
  <c r="M1" i="34"/>
  <c r="P37" i="85"/>
  <c r="J12" i="84"/>
  <c r="L12" i="84"/>
  <c r="L40" i="85"/>
  <c r="O40" i="85"/>
  <c r="N1" i="34"/>
  <c r="L37" i="85"/>
  <c r="N37" i="85"/>
  <c r="X11" i="98" s="1"/>
  <c r="J38" i="85"/>
  <c r="W12" i="98" s="1"/>
  <c r="L38" i="85"/>
  <c r="K40" i="85"/>
  <c r="J37" i="85"/>
  <c r="W11" i="98" s="1"/>
  <c r="K37" i="85"/>
  <c r="J40" i="85"/>
  <c r="W14" i="98" s="1"/>
  <c r="P40" i="85"/>
  <c r="H12" i="85"/>
  <c r="S12" i="34" s="1"/>
  <c r="J4" i="69" a="1"/>
  <c r="N4" i="84" l="1" a="1"/>
  <c r="N4" i="84" s="1"/>
  <c r="O4" i="84" a="1"/>
  <c r="O4" i="84" s="1"/>
  <c r="P4" i="84" a="1"/>
  <c r="P4" i="84" s="1"/>
  <c r="AA18" i="85" a="1"/>
  <c r="AA18" i="85" s="1"/>
  <c r="AI18" i="85" a="1"/>
  <c r="AI18" i="85" s="1"/>
  <c r="X18" i="85" a="1"/>
  <c r="X18" i="85" s="1"/>
  <c r="AB18" i="85" a="1"/>
  <c r="AB18" i="85" s="1"/>
  <c r="W18" i="85" a="1"/>
  <c r="W18" i="85" s="1"/>
  <c r="AL18" i="85" a="1"/>
  <c r="AL18" i="85" s="1"/>
  <c r="AJ18" i="85" a="1"/>
  <c r="AJ18" i="85" s="1"/>
  <c r="AM18" i="85" a="1"/>
  <c r="AM18" i="85" s="1"/>
  <c r="AE18" i="85" a="1"/>
  <c r="AE18" i="85" s="1"/>
  <c r="V18" i="85" a="1"/>
  <c r="V18" i="85" s="1"/>
  <c r="AN18" i="85" a="1"/>
  <c r="AN18" i="85" s="1"/>
  <c r="AF18" i="85" a="1"/>
  <c r="AF18" i="85" s="1"/>
  <c r="AH18" i="85" a="1"/>
  <c r="AH18" i="85" s="1"/>
  <c r="AD18" i="85" a="1"/>
  <c r="AD18" i="85" s="1"/>
  <c r="Z18" i="85" a="1"/>
  <c r="Z18" i="85" s="1"/>
  <c r="Q22" i="98"/>
  <c r="E44" i="22"/>
  <c r="CI4" i="96" s="1" a="1"/>
  <c r="E40" i="22"/>
  <c r="E46" i="22"/>
  <c r="G8" i="98"/>
  <c r="AE3" i="85" a="1"/>
  <c r="AE3" i="85" s="1"/>
  <c r="AL3" i="85" a="1"/>
  <c r="AL3" i="85" s="1"/>
  <c r="AN3" i="85" a="1"/>
  <c r="AN3" i="85" s="1"/>
  <c r="X3" i="85" a="1"/>
  <c r="X3" i="85" s="1"/>
  <c r="AA3" i="85" a="1"/>
  <c r="AA3" i="85" s="1"/>
  <c r="AI3" i="85" a="1"/>
  <c r="AI3" i="85" s="1"/>
  <c r="AJ3" i="85" a="1"/>
  <c r="AJ3" i="85" s="1"/>
  <c r="AF3" i="85" a="1"/>
  <c r="AF3" i="85" s="1"/>
  <c r="W3" i="85" a="1"/>
  <c r="W3" i="85" s="1"/>
  <c r="V3" i="85" a="1"/>
  <c r="V3" i="85" s="1"/>
  <c r="X3" i="84" a="1"/>
  <c r="X3" i="84" s="1"/>
  <c r="N4" i="69"/>
  <c r="N3" i="84" s="1" a="1"/>
  <c r="N3" i="84" s="1"/>
  <c r="T3" i="84" a="1"/>
  <c r="T3" i="84" s="1"/>
  <c r="L3" i="84" s="1"/>
  <c r="R3" i="84" a="1"/>
  <c r="R3" i="84" s="1"/>
  <c r="P3" i="85" a="1"/>
  <c r="P3" i="85" s="1"/>
  <c r="L9" i="9" a="1"/>
  <c r="L9" i="9" s="1"/>
  <c r="S3" i="85" a="1"/>
  <c r="S3" i="85" s="1"/>
  <c r="N9" i="9" a="1"/>
  <c r="N9" i="9" s="1"/>
  <c r="F8" i="98"/>
  <c r="E8" i="98"/>
  <c r="D8" i="98"/>
  <c r="V3" i="84" a="1"/>
  <c r="V3" i="84" s="1"/>
  <c r="J3" i="84" s="1"/>
  <c r="C6" i="9" s="1" a="1"/>
  <c r="C6" i="9" s="1"/>
  <c r="H6" i="9" s="1"/>
  <c r="W3" i="84" a="1"/>
  <c r="W3" i="84" s="1"/>
  <c r="AH3" i="85" a="1"/>
  <c r="AH3" i="85" s="1"/>
  <c r="AB3" i="85" a="1"/>
  <c r="AB3" i="85" s="1"/>
  <c r="AD3" i="85" a="1"/>
  <c r="AD3" i="85" s="1"/>
  <c r="AM3" i="85" a="1"/>
  <c r="AM3" i="85" s="1"/>
  <c r="Z3" i="85" a="1"/>
  <c r="Z3" i="85" s="1"/>
  <c r="L3" i="85" a="1"/>
  <c r="L3" i="85" s="1"/>
  <c r="K3" i="85" a="1"/>
  <c r="K3" i="85" s="1"/>
  <c r="S3" i="84" a="1"/>
  <c r="S3" i="84" s="1"/>
  <c r="K3" i="84" s="1"/>
  <c r="T3" i="85" a="1"/>
  <c r="T3" i="85" s="1"/>
  <c r="O9" i="9" a="1"/>
  <c r="O9" i="9" s="1"/>
  <c r="O3" i="85" a="1"/>
  <c r="O3" i="85" s="1"/>
  <c r="M9" i="9" a="1"/>
  <c r="M9" i="9" s="1"/>
  <c r="H12" i="84"/>
  <c r="O12" i="34" s="1"/>
  <c r="G12" i="34" s="1"/>
  <c r="E75" i="61" a="1"/>
  <c r="E75" i="61" s="1"/>
  <c r="E75" i="35" a="1"/>
  <c r="E75" i="35" s="1"/>
  <c r="E75" i="45" a="1"/>
  <c r="E75" i="45" s="1"/>
  <c r="E75" i="49" a="1"/>
  <c r="E75" i="49" s="1"/>
  <c r="E75" i="38" a="1"/>
  <c r="E75" i="38" s="1"/>
  <c r="E75" i="72" a="1"/>
  <c r="E75" i="72" s="1"/>
  <c r="E75" i="55" a="1"/>
  <c r="E75" i="55" s="1"/>
  <c r="E75" i="54" a="1"/>
  <c r="E75" i="54" s="1"/>
  <c r="E75" i="60" a="1"/>
  <c r="E75" i="60" s="1"/>
  <c r="E75" i="44" a="1"/>
  <c r="E75" i="44" s="1"/>
  <c r="E75" i="75" a="1"/>
  <c r="E75" i="75" s="1"/>
  <c r="E75" i="51" a="1"/>
  <c r="E75" i="51" s="1"/>
  <c r="E75" i="52" a="1"/>
  <c r="E75" i="52" s="1"/>
  <c r="E75" i="53" a="1"/>
  <c r="E75" i="53" s="1"/>
  <c r="E75" i="67" a="1"/>
  <c r="E75" i="67" s="1"/>
  <c r="E75" i="56" a="1"/>
  <c r="E75" i="56" s="1"/>
  <c r="E75" i="32" a="1"/>
  <c r="E75" i="32" s="1"/>
  <c r="E75" i="30" a="1"/>
  <c r="E75" i="30" s="1"/>
  <c r="E75" i="27" a="1"/>
  <c r="E75" i="27" s="1"/>
  <c r="E75" i="25" a="1"/>
  <c r="E75" i="25" s="1"/>
  <c r="E75" i="65" a="1"/>
  <c r="E75" i="65" s="1"/>
  <c r="E75" i="63" a="1"/>
  <c r="E75" i="63" s="1"/>
  <c r="E75" i="62" a="1"/>
  <c r="E75" i="62" s="1"/>
  <c r="E75" i="68" a="1"/>
  <c r="E75" i="68" s="1"/>
  <c r="E75" i="33" a="1"/>
  <c r="E75" i="33" s="1"/>
  <c r="E75" i="50" a="1"/>
  <c r="E75" i="50" s="1"/>
  <c r="E75" i="74" a="1"/>
  <c r="E75" i="74" s="1"/>
  <c r="E75" i="71" a="1"/>
  <c r="E75" i="71" s="1"/>
  <c r="E75" i="48" a="1"/>
  <c r="E75" i="48" s="1"/>
  <c r="E75" i="37" a="1"/>
  <c r="E75" i="37" s="1"/>
  <c r="E75" i="24" a="1"/>
  <c r="E75" i="24" s="1"/>
  <c r="E75" i="19" a="1"/>
  <c r="E75" i="19" s="1"/>
  <c r="E75" i="29" a="1"/>
  <c r="E75" i="29" s="1"/>
  <c r="V33" i="99"/>
  <c r="AE33" i="100" a="1"/>
  <c r="AE33" i="100" s="1"/>
  <c r="Q33" i="100" a="1"/>
  <c r="Q33" i="100" s="1"/>
  <c r="AB33" i="100" a="1"/>
  <c r="AB33" i="100" s="1"/>
  <c r="X33" i="100" a="1"/>
  <c r="X33" i="100" s="1"/>
  <c r="N33" i="99" a="1"/>
  <c r="N33" i="99" s="1"/>
  <c r="Z33" i="99"/>
  <c r="U33" i="99"/>
  <c r="W33" i="99"/>
  <c r="AK33" i="99"/>
  <c r="N33" i="100" a="1"/>
  <c r="N33" i="100" s="1"/>
  <c r="AF33" i="99"/>
  <c r="I33" i="99" a="1"/>
  <c r="I33" i="99" s="1"/>
  <c r="F33" i="100" a="1"/>
  <c r="F33" i="100" s="1"/>
  <c r="AG33" i="99"/>
  <c r="J33" i="99" a="1"/>
  <c r="J33" i="99" s="1"/>
  <c r="H33" i="99" a="1"/>
  <c r="H33" i="99" s="1"/>
  <c r="H33" i="100" a="1"/>
  <c r="H33" i="100" s="1"/>
  <c r="AA33" i="99"/>
  <c r="G33" i="99" a="1"/>
  <c r="G33" i="99" s="1"/>
  <c r="AB33" i="99"/>
  <c r="AM33" i="100" a="1"/>
  <c r="AM33" i="100" s="1"/>
  <c r="W33" i="100" a="1"/>
  <c r="W33" i="100" s="1"/>
  <c r="S33" i="100" a="1"/>
  <c r="S33" i="100" s="1"/>
  <c r="AN33" i="100" a="1"/>
  <c r="AN33" i="100" s="1"/>
  <c r="Y33" i="100" a="1"/>
  <c r="Y33" i="100" s="1"/>
  <c r="Q33" i="99"/>
  <c r="AE33" i="99"/>
  <c r="AN33" i="99"/>
  <c r="R33" i="99"/>
  <c r="AD33" i="99"/>
  <c r="M33" i="99" a="1"/>
  <c r="M33" i="99" s="1"/>
  <c r="S33" i="99"/>
  <c r="P33" i="100" a="1"/>
  <c r="P33" i="100" s="1"/>
  <c r="K33" i="99" a="1"/>
  <c r="K33" i="99" s="1"/>
  <c r="X33" i="99"/>
  <c r="L33" i="100" a="1"/>
  <c r="L33" i="100" s="1"/>
  <c r="F33" i="99" a="1"/>
  <c r="F33" i="99" s="1"/>
  <c r="T33" i="99"/>
  <c r="AJ33" i="99"/>
  <c r="AH33" i="99"/>
  <c r="AM33" i="99"/>
  <c r="G33" i="100" a="1"/>
  <c r="G33" i="100" s="1"/>
  <c r="Y33" i="99"/>
  <c r="AL33" i="99"/>
  <c r="L33" i="99" a="1"/>
  <c r="L33" i="99" s="1"/>
  <c r="O33" i="100" a="1"/>
  <c r="O33" i="100" s="1"/>
  <c r="M33" i="100" a="1"/>
  <c r="M33" i="100" s="1"/>
  <c r="AC33" i="99"/>
  <c r="J33" i="100" a="1"/>
  <c r="J33" i="100" s="1"/>
  <c r="P33" i="99" a="1"/>
  <c r="P33" i="99" s="1"/>
  <c r="K33" i="100" a="1"/>
  <c r="K33" i="100" s="1"/>
  <c r="O33" i="99" a="1"/>
  <c r="O33" i="99" s="1"/>
  <c r="I33" i="100" a="1"/>
  <c r="I33" i="100" s="1"/>
  <c r="AI33" i="99"/>
  <c r="AK33" i="100" a="1"/>
  <c r="AK33" i="100" s="1"/>
  <c r="AJ33" i="100" a="1"/>
  <c r="AJ33" i="100" s="1"/>
  <c r="AI33" i="100" a="1"/>
  <c r="AI33" i="100" s="1"/>
  <c r="AG33" i="100" a="1"/>
  <c r="AG33" i="100" s="1"/>
  <c r="AL33" i="100" a="1"/>
  <c r="AL33" i="100" s="1"/>
  <c r="AF33" i="100" a="1"/>
  <c r="AF33" i="100" s="1"/>
  <c r="AH33" i="100" a="1"/>
  <c r="AH33" i="100" s="1"/>
  <c r="T33" i="100" a="1"/>
  <c r="T33" i="100" s="1"/>
  <c r="U33" i="100" a="1"/>
  <c r="U33" i="100" s="1"/>
  <c r="AD33" i="100" a="1"/>
  <c r="AD33" i="100" s="1"/>
  <c r="R33" i="100" a="1"/>
  <c r="R33" i="100" s="1"/>
  <c r="V33" i="100" a="1"/>
  <c r="V33" i="100" s="1"/>
  <c r="AC33" i="100" a="1"/>
  <c r="AC33" i="100" s="1"/>
  <c r="AA33" i="100" a="1"/>
  <c r="AA33" i="100" s="1"/>
  <c r="Z33" i="100" a="1"/>
  <c r="Z33" i="100" s="1"/>
  <c r="V4" i="100" a="1"/>
  <c r="V4" i="100" s="1"/>
  <c r="Y4" i="99" a="1"/>
  <c r="Y4" i="99" s="1"/>
  <c r="M4" i="100" a="1"/>
  <c r="M4" i="100" s="1"/>
  <c r="W4" i="99" a="1"/>
  <c r="W4" i="99" s="1"/>
  <c r="G4" i="99" a="1"/>
  <c r="G4" i="99" s="1"/>
  <c r="F4" i="100" a="1"/>
  <c r="F4" i="100" s="1"/>
  <c r="AI4" i="99" a="1"/>
  <c r="AI4" i="99" s="1"/>
  <c r="P4" i="100" a="1"/>
  <c r="P4" i="100" s="1"/>
  <c r="AD4" i="99" a="1"/>
  <c r="AD4" i="99" s="1"/>
  <c r="K4" i="99" a="1"/>
  <c r="K4" i="99" s="1"/>
  <c r="AF5" i="99" a="1"/>
  <c r="AF5" i="99" s="1"/>
  <c r="AG5" i="100" a="1"/>
  <c r="AG5" i="100" s="1"/>
  <c r="AM5" i="99" a="1"/>
  <c r="AM5" i="99" s="1"/>
  <c r="AA5" i="99" a="1"/>
  <c r="AA5" i="99" s="1"/>
  <c r="O5" i="99" a="1"/>
  <c r="O5" i="99" s="1"/>
  <c r="AL5" i="100" a="1"/>
  <c r="AL5" i="100" s="1"/>
  <c r="R5" i="99" a="1"/>
  <c r="R5" i="99" s="1"/>
  <c r="T5" i="99" a="1"/>
  <c r="T5" i="99" s="1"/>
  <c r="H5" i="99" a="1"/>
  <c r="H5" i="99" s="1"/>
  <c r="AE5" i="100" a="1"/>
  <c r="AE5" i="100" s="1"/>
  <c r="S5" i="100" a="1"/>
  <c r="S5" i="100" s="1"/>
  <c r="G5" i="100" a="1"/>
  <c r="G5" i="100" s="1"/>
  <c r="Z5" i="100" a="1"/>
  <c r="Z5" i="100" s="1"/>
  <c r="Q5" i="100" a="1"/>
  <c r="Q5" i="100" s="1"/>
  <c r="AG5" i="99" a="1"/>
  <c r="AG5" i="99" s="1"/>
  <c r="U5" i="99" a="1"/>
  <c r="U5" i="99" s="1"/>
  <c r="I5" i="99" a="1"/>
  <c r="I5" i="99" s="1"/>
  <c r="AF5" i="100" a="1"/>
  <c r="AF5" i="100" s="1"/>
  <c r="T5" i="100" a="1"/>
  <c r="T5" i="100" s="1"/>
  <c r="H5" i="100" a="1"/>
  <c r="H5" i="100" s="1"/>
  <c r="AE5" i="99" a="1"/>
  <c r="AE5" i="99" s="1"/>
  <c r="S5" i="99" a="1"/>
  <c r="S5" i="99" s="1"/>
  <c r="G5" i="99" a="1"/>
  <c r="G5" i="99" s="1"/>
  <c r="AD5" i="100" a="1"/>
  <c r="AD5" i="100" s="1"/>
  <c r="R5" i="100" a="1"/>
  <c r="R5" i="100" s="1"/>
  <c r="F5" i="100" a="1"/>
  <c r="F5" i="100" s="1"/>
  <c r="AD5" i="99" a="1"/>
  <c r="AD5" i="99" s="1"/>
  <c r="F5" i="99" a="1"/>
  <c r="F5" i="99" s="1"/>
  <c r="AC5" i="100" a="1"/>
  <c r="AC5" i="100" s="1"/>
  <c r="AC5" i="99" a="1"/>
  <c r="AC5" i="99" s="1"/>
  <c r="Q5" i="99" a="1"/>
  <c r="Q5" i="99" s="1"/>
  <c r="AN5" i="100" a="1"/>
  <c r="AN5" i="100" s="1"/>
  <c r="AB5" i="100" a="1"/>
  <c r="AB5" i="100" s="1"/>
  <c r="P5" i="100" a="1"/>
  <c r="P5" i="100" s="1"/>
  <c r="W5" i="99" a="1"/>
  <c r="W5" i="99" s="1"/>
  <c r="J5" i="100" a="1"/>
  <c r="J5" i="100" s="1"/>
  <c r="V5" i="99" a="1"/>
  <c r="V5" i="99" s="1"/>
  <c r="I5" i="100" a="1"/>
  <c r="I5" i="100" s="1"/>
  <c r="AN5" i="99" a="1"/>
  <c r="AN5" i="99" s="1"/>
  <c r="AB5" i="99" a="1"/>
  <c r="AB5" i="99" s="1"/>
  <c r="P5" i="99" a="1"/>
  <c r="P5" i="99" s="1"/>
  <c r="AM5" i="100" a="1"/>
  <c r="AM5" i="100" s="1"/>
  <c r="AA5" i="100" a="1"/>
  <c r="AA5" i="100" s="1"/>
  <c r="O5" i="100" a="1"/>
  <c r="O5" i="100" s="1"/>
  <c r="K5" i="99" a="1"/>
  <c r="K5" i="99" s="1"/>
  <c r="V5" i="100" a="1"/>
  <c r="V5" i="100" s="1"/>
  <c r="AN4" i="100" a="1"/>
  <c r="AN4" i="100" s="1"/>
  <c r="R4" i="100" a="1"/>
  <c r="R4" i="100" s="1"/>
  <c r="W4" i="100" a="1"/>
  <c r="W4" i="100" s="1"/>
  <c r="R4" i="99" a="1"/>
  <c r="R4" i="99" s="1"/>
  <c r="AI4" i="100" a="1"/>
  <c r="AI4" i="100" s="1"/>
  <c r="Y4" i="100" a="1"/>
  <c r="Y4" i="100" s="1"/>
  <c r="E6" i="22"/>
  <c r="AH5" i="100" a="1"/>
  <c r="AH5" i="100" s="1"/>
  <c r="N5" i="100" a="1"/>
  <c r="N5" i="100" s="1"/>
  <c r="AI5" i="99" a="1"/>
  <c r="AI5" i="99" s="1"/>
  <c r="U5" i="100" a="1"/>
  <c r="U5" i="100" s="1"/>
  <c r="AL5" i="99" a="1"/>
  <c r="AL5" i="99" s="1"/>
  <c r="Z5" i="99" a="1"/>
  <c r="Z5" i="99" s="1"/>
  <c r="N5" i="99" a="1"/>
  <c r="N5" i="99" s="1"/>
  <c r="AK5" i="100" a="1"/>
  <c r="AK5" i="100" s="1"/>
  <c r="Y5" i="100" a="1"/>
  <c r="Y5" i="100" s="1"/>
  <c r="M5" i="100" a="1"/>
  <c r="M5" i="100" s="1"/>
  <c r="J5" i="99" a="1"/>
  <c r="J5" i="99" s="1"/>
  <c r="AK5" i="99" a="1"/>
  <c r="AK5" i="99" s="1"/>
  <c r="Y5" i="99" a="1"/>
  <c r="Y5" i="99" s="1"/>
  <c r="M5" i="99" a="1"/>
  <c r="M5" i="99" s="1"/>
  <c r="AJ5" i="100" a="1"/>
  <c r="AJ5" i="100" s="1"/>
  <c r="X5" i="100" a="1"/>
  <c r="X5" i="100" s="1"/>
  <c r="L5" i="100" a="1"/>
  <c r="L5" i="100" s="1"/>
  <c r="AH5" i="99" a="1"/>
  <c r="AH5" i="99" s="1"/>
  <c r="AJ5" i="99" a="1"/>
  <c r="AJ5" i="99" s="1"/>
  <c r="X5" i="99" a="1"/>
  <c r="X5" i="99" s="1"/>
  <c r="L5" i="99" a="1"/>
  <c r="L5" i="99" s="1"/>
  <c r="AI5" i="100" a="1"/>
  <c r="AI5" i="100" s="1"/>
  <c r="W5" i="100" a="1"/>
  <c r="W5" i="100" s="1"/>
  <c r="K5" i="100" a="1"/>
  <c r="K5" i="100" s="1"/>
  <c r="AH4" i="100" a="1"/>
  <c r="AH4" i="100" s="1"/>
  <c r="Z4" i="99" a="1"/>
  <c r="Z4" i="99" s="1"/>
  <c r="O4" i="100" a="1"/>
  <c r="O4" i="100" s="1"/>
  <c r="L4" i="99" a="1"/>
  <c r="L4" i="99" s="1"/>
  <c r="AL4" i="99" a="1"/>
  <c r="AL4" i="99" s="1"/>
  <c r="AA4" i="100" a="1"/>
  <c r="AA4" i="100" s="1"/>
  <c r="AB4" i="100" a="1"/>
  <c r="AB4" i="100" s="1"/>
  <c r="AG4" i="99" a="1"/>
  <c r="AG4" i="99" s="1"/>
  <c r="X4" i="99" a="1"/>
  <c r="X4" i="99" s="1"/>
  <c r="J4" i="99" a="1"/>
  <c r="J4" i="99" s="1"/>
  <c r="AM4" i="100" a="1"/>
  <c r="AM4" i="100" s="1"/>
  <c r="F4" i="99" a="1"/>
  <c r="F4" i="99" s="1"/>
  <c r="AJ4" i="99" a="1"/>
  <c r="AJ4" i="99" s="1"/>
  <c r="AH4" i="99" a="1"/>
  <c r="AH4" i="99" s="1"/>
  <c r="AJ4" i="100" a="1"/>
  <c r="AJ4" i="100" s="1"/>
  <c r="N4" i="100" a="1"/>
  <c r="N4" i="100" s="1"/>
  <c r="AN4" i="99" a="1"/>
  <c r="AN4" i="99" s="1"/>
  <c r="I4" i="99" a="1"/>
  <c r="I4" i="99" s="1"/>
  <c r="H4" i="99" a="1"/>
  <c r="H4" i="99" s="1"/>
  <c r="M4" i="99" a="1"/>
  <c r="M4" i="99" s="1"/>
  <c r="Z4" i="100" a="1"/>
  <c r="Z4" i="100" s="1"/>
  <c r="AC4" i="100" a="1"/>
  <c r="AC4" i="100" s="1"/>
  <c r="AK4" i="100" a="1"/>
  <c r="AK4" i="100" s="1"/>
  <c r="AD4" i="100" a="1"/>
  <c r="AD4" i="100" s="1"/>
  <c r="Q4" i="100" a="1"/>
  <c r="Q4" i="100" s="1"/>
  <c r="AK4" i="99" a="1"/>
  <c r="AK4" i="99" s="1"/>
  <c r="AF4" i="100" a="1"/>
  <c r="AF4" i="100" s="1"/>
  <c r="P4" i="99" a="1"/>
  <c r="P4" i="99" s="1"/>
  <c r="H4" i="100" a="1"/>
  <c r="H4" i="100" s="1"/>
  <c r="AL4" i="100" a="1"/>
  <c r="AL4" i="100" s="1"/>
  <c r="S4" i="99" a="1"/>
  <c r="S4" i="99" s="1"/>
  <c r="I4" i="100" a="1"/>
  <c r="I4" i="100" s="1"/>
  <c r="U4" i="100" a="1"/>
  <c r="U4" i="100" s="1"/>
  <c r="AB4" i="99" a="1"/>
  <c r="AB4" i="99" s="1"/>
  <c r="AG4" i="100" a="1"/>
  <c r="AG4" i="100" s="1"/>
  <c r="G4" i="100" a="1"/>
  <c r="G4" i="100" s="1"/>
  <c r="K4" i="100" a="1"/>
  <c r="K4" i="100" s="1"/>
  <c r="O4" i="99" a="1"/>
  <c r="O4" i="99" s="1"/>
  <c r="J4" i="100" a="1"/>
  <c r="J4" i="100" s="1"/>
  <c r="N4" i="99" a="1"/>
  <c r="N4" i="99" s="1"/>
  <c r="V4" i="99" a="1"/>
  <c r="V4" i="99" s="1"/>
  <c r="U4" i="99" a="1"/>
  <c r="U4" i="99" s="1"/>
  <c r="E21" i="22"/>
  <c r="AE4" i="99" a="1"/>
  <c r="AE4" i="99" s="1"/>
  <c r="L4" i="100" a="1"/>
  <c r="L4" i="100" s="1"/>
  <c r="AA4" i="99" a="1"/>
  <c r="AA4" i="99" s="1"/>
  <c r="Q4" i="99" a="1"/>
  <c r="Q4" i="99" s="1"/>
  <c r="S4" i="100" a="1"/>
  <c r="S4" i="100" s="1"/>
  <c r="T4" i="99" a="1"/>
  <c r="T4" i="99" s="1"/>
  <c r="T4" i="100" a="1"/>
  <c r="T4" i="100" s="1"/>
  <c r="X4" i="100" a="1"/>
  <c r="X4" i="100" s="1"/>
  <c r="AM4" i="99" a="1"/>
  <c r="AM4" i="99" s="1"/>
  <c r="AC4" i="99" a="1"/>
  <c r="AC4" i="99" s="1"/>
  <c r="AE4" i="100" a="1"/>
  <c r="AE4" i="100" s="1"/>
  <c r="AF4" i="99" a="1"/>
  <c r="AF4" i="99" s="1"/>
  <c r="H38" i="85"/>
  <c r="S38" i="34" s="1"/>
  <c r="G38" i="34" s="1"/>
  <c r="AQ7" i="98"/>
  <c r="AA11" i="98"/>
  <c r="G12" i="84"/>
  <c r="N12" i="34" s="1"/>
  <c r="F12" i="34" s="1"/>
  <c r="L4" i="84"/>
  <c r="AA12" i="98"/>
  <c r="AA14" i="98"/>
  <c r="AY7" i="98"/>
  <c r="D30" i="98"/>
  <c r="H26" i="98"/>
  <c r="H30" i="98" s="1"/>
  <c r="J4" i="96"/>
  <c r="M4" i="98" s="1" a="1"/>
  <c r="M7" i="98" a="1"/>
  <c r="M6" i="98" a="1"/>
  <c r="M5" i="98" a="1"/>
  <c r="J4" i="84"/>
  <c r="C7" i="9" s="1" a="1"/>
  <c r="C7" i="9" s="1"/>
  <c r="H7" i="9" s="1"/>
  <c r="G37" i="85"/>
  <c r="R37" i="34" s="1"/>
  <c r="F37" i="34" s="1"/>
  <c r="K4" i="84"/>
  <c r="P40" i="100" a="1"/>
  <c r="P40" i="100" s="1"/>
  <c r="O40" i="100" a="1"/>
  <c r="O40" i="100" s="1"/>
  <c r="H40" i="99" a="1"/>
  <c r="H40" i="99" s="1"/>
  <c r="I40" i="99" a="1"/>
  <c r="I40" i="99" s="1"/>
  <c r="K40" i="99" a="1"/>
  <c r="K40" i="99" s="1"/>
  <c r="F40" i="99" a="1"/>
  <c r="F40" i="99" s="1"/>
  <c r="P40" i="99" a="1"/>
  <c r="P40" i="99" s="1"/>
  <c r="N40" i="99" a="1"/>
  <c r="N40" i="99" s="1"/>
  <c r="L40" i="99" a="1"/>
  <c r="L40" i="99" s="1"/>
  <c r="J40" i="99" a="1"/>
  <c r="J40" i="99" s="1"/>
  <c r="G40" i="99" a="1"/>
  <c r="G40" i="99" s="1"/>
  <c r="Q40" i="99"/>
  <c r="AN40" i="99"/>
  <c r="AM40" i="99"/>
  <c r="AL40" i="99"/>
  <c r="AK40" i="99"/>
  <c r="AJ40" i="99"/>
  <c r="AI40" i="99"/>
  <c r="AH40" i="99"/>
  <c r="AG40" i="99"/>
  <c r="AF40" i="99"/>
  <c r="AE40" i="99"/>
  <c r="AD40" i="99"/>
  <c r="AC40" i="99"/>
  <c r="AB40" i="99"/>
  <c r="AA40" i="99"/>
  <c r="Z40" i="99"/>
  <c r="Y40" i="99"/>
  <c r="X40" i="99"/>
  <c r="W40" i="99"/>
  <c r="V40" i="99"/>
  <c r="U40" i="99"/>
  <c r="T40" i="99"/>
  <c r="S40" i="99"/>
  <c r="R40" i="99"/>
  <c r="M40" i="99" a="1"/>
  <c r="M40" i="99" s="1"/>
  <c r="O40" i="99" a="1"/>
  <c r="O40" i="99" s="1"/>
  <c r="Q40" i="100"/>
  <c r="R40" i="100"/>
  <c r="S40" i="100"/>
  <c r="T40" i="100"/>
  <c r="U40" i="100"/>
  <c r="V40" i="100"/>
  <c r="W40" i="100"/>
  <c r="X40" i="100"/>
  <c r="Y40" i="100"/>
  <c r="Z40" i="100"/>
  <c r="AA40" i="100"/>
  <c r="AB40" i="100"/>
  <c r="AC40" i="100"/>
  <c r="AD40" i="100"/>
  <c r="AE40" i="100"/>
  <c r="AF40" i="100"/>
  <c r="AH40" i="100"/>
  <c r="AG40" i="100"/>
  <c r="AI40" i="100"/>
  <c r="AJ40" i="100"/>
  <c r="AK40" i="100"/>
  <c r="AL40" i="100"/>
  <c r="AM40" i="100"/>
  <c r="AN40" i="100"/>
  <c r="F40" i="100" a="1"/>
  <c r="F40" i="100" s="1"/>
  <c r="G40" i="100" a="1"/>
  <c r="G40" i="100" s="1"/>
  <c r="H40" i="100" a="1"/>
  <c r="H40" i="100" s="1"/>
  <c r="I40" i="100" a="1"/>
  <c r="I40" i="100" s="1"/>
  <c r="J40" i="100" a="1"/>
  <c r="J40" i="100" s="1"/>
  <c r="K40" i="100" a="1"/>
  <c r="K40" i="100" s="1"/>
  <c r="L40" i="100" a="1"/>
  <c r="L40" i="100" s="1"/>
  <c r="M40" i="100" a="1"/>
  <c r="M40" i="100" s="1"/>
  <c r="N40" i="100" a="1"/>
  <c r="N40" i="100" s="1"/>
  <c r="G38" i="85"/>
  <c r="R38" i="34" s="1"/>
  <c r="F38" i="34" s="1"/>
  <c r="Y44" i="100"/>
  <c r="AK44" i="100"/>
  <c r="X44" i="99"/>
  <c r="AG44" i="100"/>
  <c r="M44" i="99" a="1"/>
  <c r="M44" i="99" s="1"/>
  <c r="N44" i="99" a="1"/>
  <c r="N44" i="99" s="1"/>
  <c r="AJ44" i="99"/>
  <c r="Q44" i="99"/>
  <c r="AL44" i="100"/>
  <c r="L44" i="100" a="1"/>
  <c r="L44" i="100" s="1"/>
  <c r="AN44" i="100"/>
  <c r="AB44" i="99"/>
  <c r="AH44" i="100"/>
  <c r="K44" i="99" a="1"/>
  <c r="K44" i="99" s="1"/>
  <c r="L44" i="99" a="1"/>
  <c r="L44" i="99" s="1"/>
  <c r="AG44" i="99"/>
  <c r="AJ44" i="100"/>
  <c r="G44" i="99" a="1"/>
  <c r="G44" i="99" s="1"/>
  <c r="N44" i="100" a="1"/>
  <c r="N44" i="100" s="1"/>
  <c r="Z44" i="99"/>
  <c r="AK44" i="99"/>
  <c r="W44" i="99"/>
  <c r="G44" i="100" a="1"/>
  <c r="G44" i="100" s="1"/>
  <c r="R44" i="100"/>
  <c r="H44" i="99" a="1"/>
  <c r="H44" i="99" s="1"/>
  <c r="J44" i="99" a="1"/>
  <c r="J44" i="99" s="1"/>
  <c r="J44" i="100" a="1"/>
  <c r="J44" i="100" s="1"/>
  <c r="V44" i="99"/>
  <c r="I44" i="100" a="1"/>
  <c r="I44" i="100" s="1"/>
  <c r="AD44" i="100"/>
  <c r="M44" i="100" a="1"/>
  <c r="M44" i="100" s="1"/>
  <c r="AF44" i="99"/>
  <c r="AM44" i="100"/>
  <c r="S44" i="100"/>
  <c r="F44" i="99" a="1"/>
  <c r="F44" i="99" s="1"/>
  <c r="AL44" i="99"/>
  <c r="AD44" i="99"/>
  <c r="K44" i="100" a="1"/>
  <c r="K44" i="100" s="1"/>
  <c r="AE44" i="99"/>
  <c r="AN44" i="99"/>
  <c r="F44" i="100" a="1"/>
  <c r="F44" i="100" s="1"/>
  <c r="AF44" i="100"/>
  <c r="T44" i="99"/>
  <c r="O44" i="99" a="1"/>
  <c r="O44" i="99" s="1"/>
  <c r="P44" i="99" a="1"/>
  <c r="P44" i="99" s="1"/>
  <c r="AC44" i="100"/>
  <c r="O44" i="100" a="1"/>
  <c r="O44" i="100" s="1"/>
  <c r="Y44" i="99"/>
  <c r="S44" i="99"/>
  <c r="P44" i="100" a="1"/>
  <c r="P44" i="100" s="1"/>
  <c r="U44" i="99"/>
  <c r="AH44" i="99"/>
  <c r="R44" i="99"/>
  <c r="AC44" i="99"/>
  <c r="AA44" i="99"/>
  <c r="AB44" i="100"/>
  <c r="AA44" i="100"/>
  <c r="Z44" i="100"/>
  <c r="X44" i="100"/>
  <c r="W44" i="100"/>
  <c r="V44" i="100"/>
  <c r="U44" i="100"/>
  <c r="T44" i="100"/>
  <c r="Q44" i="100"/>
  <c r="I44" i="99" a="1"/>
  <c r="I44" i="99" s="1"/>
  <c r="AM44" i="99"/>
  <c r="H44" i="100" a="1"/>
  <c r="H44" i="100" s="1"/>
  <c r="AE44" i="100"/>
  <c r="AI44" i="99"/>
  <c r="AI44" i="100"/>
  <c r="V46" i="99"/>
  <c r="I46" i="100" a="1"/>
  <c r="I46" i="100" s="1"/>
  <c r="AK46" i="100"/>
  <c r="U46" i="100"/>
  <c r="T46" i="100"/>
  <c r="S46" i="100"/>
  <c r="P46" i="99" a="1"/>
  <c r="P46" i="99" s="1"/>
  <c r="O46" i="99" a="1"/>
  <c r="O46" i="99" s="1"/>
  <c r="N46" i="99" a="1"/>
  <c r="N46" i="99" s="1"/>
  <c r="M46" i="99" a="1"/>
  <c r="M46" i="99" s="1"/>
  <c r="L46" i="99" a="1"/>
  <c r="L46" i="99" s="1"/>
  <c r="K46" i="99" a="1"/>
  <c r="K46" i="99" s="1"/>
  <c r="J46" i="99" a="1"/>
  <c r="J46" i="99" s="1"/>
  <c r="I46" i="99" a="1"/>
  <c r="I46" i="99" s="1"/>
  <c r="G46" i="99" a="1"/>
  <c r="G46" i="99" s="1"/>
  <c r="F46" i="99" a="1"/>
  <c r="F46" i="99" s="1"/>
  <c r="Q46" i="100"/>
  <c r="Z46" i="100"/>
  <c r="Y46" i="100"/>
  <c r="X46" i="100"/>
  <c r="S46" i="99"/>
  <c r="V46" i="100"/>
  <c r="P46" i="100" a="1"/>
  <c r="P46" i="100" s="1"/>
  <c r="O46" i="100" a="1"/>
  <c r="O46" i="100" s="1"/>
  <c r="N46" i="100" a="1"/>
  <c r="N46" i="100" s="1"/>
  <c r="M46" i="100" a="1"/>
  <c r="M46" i="100" s="1"/>
  <c r="L46" i="100" a="1"/>
  <c r="L46" i="100" s="1"/>
  <c r="K46" i="100" a="1"/>
  <c r="K46" i="100" s="1"/>
  <c r="J46" i="100" a="1"/>
  <c r="J46" i="100" s="1"/>
  <c r="F46" i="100" a="1"/>
  <c r="F46" i="100" s="1"/>
  <c r="AN46" i="100"/>
  <c r="AJ46" i="100"/>
  <c r="AF46" i="100"/>
  <c r="AB46" i="100"/>
  <c r="AK46" i="99"/>
  <c r="AG46" i="99"/>
  <c r="AC46" i="99"/>
  <c r="Y46" i="99"/>
  <c r="T46" i="99"/>
  <c r="Q46" i="99"/>
  <c r="G46" i="100" a="1"/>
  <c r="G46" i="100" s="1"/>
  <c r="W46" i="100"/>
  <c r="AI46" i="100"/>
  <c r="AE46" i="100"/>
  <c r="AN46" i="99"/>
  <c r="AJ46" i="99"/>
  <c r="AF46" i="99"/>
  <c r="AB46" i="99"/>
  <c r="W46" i="99"/>
  <c r="AA46" i="100"/>
  <c r="R46" i="99"/>
  <c r="H46" i="100" a="1"/>
  <c r="H46" i="100" s="1"/>
  <c r="AM46" i="100"/>
  <c r="AG46" i="100"/>
  <c r="AC46" i="100"/>
  <c r="R46" i="100"/>
  <c r="AL46" i="99"/>
  <c r="AH46" i="99"/>
  <c r="AD46" i="99"/>
  <c r="Z46" i="99"/>
  <c r="U46" i="99"/>
  <c r="X46" i="99"/>
  <c r="H46" i="99" a="1"/>
  <c r="H46" i="99" s="1"/>
  <c r="AL46" i="100"/>
  <c r="AH46" i="100"/>
  <c r="AD46" i="100"/>
  <c r="AM46" i="99"/>
  <c r="AI46" i="99"/>
  <c r="AE46" i="99"/>
  <c r="AA46" i="99"/>
  <c r="F38" i="85"/>
  <c r="Q38" i="34" s="1"/>
  <c r="F40" i="85"/>
  <c r="Q40" i="34" s="1"/>
  <c r="M38" i="34"/>
  <c r="M40" i="34"/>
  <c r="M37" i="34"/>
  <c r="G4" i="85"/>
  <c r="R4" i="34" s="1"/>
  <c r="H4" i="85"/>
  <c r="S4" i="34" s="1"/>
  <c r="F5" i="78"/>
  <c r="S5" i="78"/>
  <c r="U5" i="78"/>
  <c r="X5" i="78"/>
  <c r="Z5" i="78"/>
  <c r="AA5" i="78"/>
  <c r="AK5" i="78"/>
  <c r="AC5" i="78"/>
  <c r="AD5" i="78"/>
  <c r="AE5" i="78"/>
  <c r="AF5" i="78"/>
  <c r="AG5" i="78"/>
  <c r="AH5" i="78"/>
  <c r="AI5" i="78"/>
  <c r="AJ5" i="78"/>
  <c r="N5" i="78"/>
  <c r="AB5" i="78"/>
  <c r="AM5" i="78"/>
  <c r="AN5" i="78"/>
  <c r="Q5" i="78"/>
  <c r="V5" i="78"/>
  <c r="W5" i="78"/>
  <c r="Y5" i="78"/>
  <c r="M5" i="78"/>
  <c r="G5" i="78"/>
  <c r="H5" i="78"/>
  <c r="I5" i="78"/>
  <c r="J5" i="78"/>
  <c r="K5" i="78"/>
  <c r="L5" i="78"/>
  <c r="O5" i="78"/>
  <c r="P5" i="78"/>
  <c r="R5" i="78"/>
  <c r="T5" i="78"/>
  <c r="AL5" i="78"/>
  <c r="AE4" i="78"/>
  <c r="S4" i="78"/>
  <c r="T4" i="78"/>
  <c r="W4" i="78"/>
  <c r="X4" i="78"/>
  <c r="Y4" i="78"/>
  <c r="AD4" i="78"/>
  <c r="Z4" i="78"/>
  <c r="AA4" i="78"/>
  <c r="AB4" i="78"/>
  <c r="AC4" i="78"/>
  <c r="AF4" i="78"/>
  <c r="AN4" i="78"/>
  <c r="U4" i="78"/>
  <c r="AG4" i="78"/>
  <c r="AH4" i="78"/>
  <c r="AI4" i="78"/>
  <c r="AJ4" i="78"/>
  <c r="AK4" i="78"/>
  <c r="AL4" i="78"/>
  <c r="AM4" i="78"/>
  <c r="I4" i="78"/>
  <c r="L4" i="78"/>
  <c r="N4" i="78"/>
  <c r="Q4" i="78"/>
  <c r="V4" i="78"/>
  <c r="F4" i="78"/>
  <c r="G4" i="78"/>
  <c r="H4" i="78"/>
  <c r="J4" i="78"/>
  <c r="K4" i="78"/>
  <c r="M4" i="78"/>
  <c r="O4" i="78"/>
  <c r="P4" i="78"/>
  <c r="R4" i="78"/>
  <c r="G40" i="85"/>
  <c r="R40" i="34" s="1"/>
  <c r="F40" i="34" s="1"/>
  <c r="F37" i="85"/>
  <c r="Q37" i="34" s="1"/>
  <c r="H37" i="85"/>
  <c r="S37" i="34" s="1"/>
  <c r="G37" i="34" s="1"/>
  <c r="H40" i="85"/>
  <c r="S40" i="34" s="1"/>
  <c r="G40" i="34" s="1"/>
  <c r="F12" i="84"/>
  <c r="M12" i="34" s="1"/>
  <c r="C13" i="9" a="1"/>
  <c r="C13" i="9" s="1"/>
  <c r="H13" i="9" s="1"/>
  <c r="X18" i="84" a="1"/>
  <c r="X18" i="84" s="1"/>
  <c r="T18" i="84" a="1"/>
  <c r="T18" i="84" s="1"/>
  <c r="R18" i="84" a="1"/>
  <c r="R18" i="84" s="1"/>
  <c r="W18" i="84" a="1"/>
  <c r="W18" i="84" s="1"/>
  <c r="V18" i="84" a="1"/>
  <c r="V18" i="84" s="1"/>
  <c r="S18" i="84" a="1"/>
  <c r="S18" i="84" s="1"/>
  <c r="C15" i="9" a="1"/>
  <c r="C15" i="9" s="1"/>
  <c r="H15" i="9" s="1"/>
  <c r="R18" i="85" a="1"/>
  <c r="R18" i="85" s="1"/>
  <c r="J18" i="85" a="1"/>
  <c r="J18" i="85" s="1"/>
  <c r="O18" i="85" a="1"/>
  <c r="O18" i="85" s="1"/>
  <c r="S18" i="85" a="1"/>
  <c r="S18" i="85" s="1"/>
  <c r="P18" i="85" a="1"/>
  <c r="P18" i="85" s="1"/>
  <c r="N18" i="85" a="1"/>
  <c r="N18" i="85" s="1"/>
  <c r="T18" i="85" a="1"/>
  <c r="T18" i="85" s="1"/>
  <c r="L18" i="85" a="1"/>
  <c r="L18" i="85" s="1"/>
  <c r="K18" i="85" a="1"/>
  <c r="K18" i="85" s="1"/>
  <c r="J4" i="69"/>
  <c r="L22" i="9" s="1" a="1"/>
  <c r="DR4" i="69" l="1" a="1"/>
  <c r="CQ4" i="96" a="1"/>
  <c r="CQ4" i="96" s="1"/>
  <c r="E75" i="22" a="1"/>
  <c r="E75" i="22" s="1"/>
  <c r="Z10" i="98"/>
  <c r="Z20" i="98" s="1"/>
  <c r="Z22" i="98" s="1"/>
  <c r="E33" i="99" a="1"/>
  <c r="E33" i="99" s="1"/>
  <c r="BH4" i="96" a="1"/>
  <c r="BH4" i="96" s="1"/>
  <c r="E35" i="22" a="1"/>
  <c r="E33" i="100" a="1"/>
  <c r="E33" i="100" s="1"/>
  <c r="P3" i="84" a="1"/>
  <c r="P3" i="84" s="1"/>
  <c r="H3" i="84" s="1"/>
  <c r="O3" i="34" s="1"/>
  <c r="O3" i="84" a="1"/>
  <c r="O3" i="84" s="1"/>
  <c r="G3" i="84" s="1"/>
  <c r="N3" i="34" s="1"/>
  <c r="H3" i="85"/>
  <c r="S3" i="34" s="1"/>
  <c r="G3" i="85"/>
  <c r="R3" i="34" s="1"/>
  <c r="DJ4" i="69" a="1"/>
  <c r="FH5" i="69" a="1"/>
  <c r="M7" i="98"/>
  <c r="Q7" i="98" s="1"/>
  <c r="M6" i="98"/>
  <c r="Q6" i="98" s="1"/>
  <c r="M5" i="98"/>
  <c r="Q5" i="98" s="1"/>
  <c r="L22" i="9"/>
  <c r="E5" i="99" a="1"/>
  <c r="E5" i="99" s="1"/>
  <c r="E5" i="100" a="1"/>
  <c r="E5" i="100" s="1"/>
  <c r="E4" i="100" a="1"/>
  <c r="E4" i="100" s="1"/>
  <c r="E4" i="99" a="1"/>
  <c r="E4" i="99" s="1"/>
  <c r="AW12" i="98"/>
  <c r="AN12" i="98"/>
  <c r="H4" i="84"/>
  <c r="O4" i="34" s="1"/>
  <c r="G4" i="34" s="1"/>
  <c r="E40" i="34"/>
  <c r="G18" i="85"/>
  <c r="R18" i="34" s="1"/>
  <c r="AV10" i="98"/>
  <c r="F4" i="84"/>
  <c r="M4" i="34" s="1"/>
  <c r="AW10" i="98"/>
  <c r="AO12" i="98"/>
  <c r="AX12" i="98"/>
  <c r="AP12" i="98"/>
  <c r="AV12" i="98"/>
  <c r="AX6" i="98"/>
  <c r="D13" i="98" a="1"/>
  <c r="D13" i="98" s="1"/>
  <c r="AN10" i="98"/>
  <c r="AX10" i="98"/>
  <c r="AO10" i="98"/>
  <c r="AP10" i="98"/>
  <c r="AW6" i="98"/>
  <c r="AV6" i="98"/>
  <c r="AP6" i="98"/>
  <c r="AO6" i="98"/>
  <c r="AN6" i="98"/>
  <c r="M4" i="98"/>
  <c r="N8" i="98"/>
  <c r="O8" i="98"/>
  <c r="P8" i="98"/>
  <c r="E38" i="34"/>
  <c r="G4" i="84"/>
  <c r="N4" i="34" s="1"/>
  <c r="F4" i="34" s="1"/>
  <c r="Z4" i="69" a="1"/>
  <c r="E5" i="78"/>
  <c r="E4" i="78"/>
  <c r="V4" i="69" a="1"/>
  <c r="V4" i="69" s="1"/>
  <c r="CX4" i="69" a="1"/>
  <c r="E40" i="100" a="1"/>
  <c r="E40" i="100" s="1"/>
  <c r="AU6" i="98" s="1"/>
  <c r="E40" i="99" a="1"/>
  <c r="E40" i="99" s="1"/>
  <c r="AM6" i="98" s="1"/>
  <c r="BV4" i="96" a="1"/>
  <c r="BV4" i="96" s="1"/>
  <c r="E37" i="34"/>
  <c r="CI4" i="96"/>
  <c r="E44" i="99" a="1"/>
  <c r="E44" i="99" s="1"/>
  <c r="AM10" i="98" s="1"/>
  <c r="E44" i="100" a="1"/>
  <c r="E44" i="100" s="1"/>
  <c r="AU10" i="98" s="1"/>
  <c r="E46" i="100" a="1"/>
  <c r="E46" i="100" s="1"/>
  <c r="AU12" i="98" s="1"/>
  <c r="E46" i="99" a="1"/>
  <c r="E46" i="99" s="1"/>
  <c r="AM12" i="98" s="1"/>
  <c r="F3" i="84"/>
  <c r="M3" i="34" s="1"/>
  <c r="K18" i="84"/>
  <c r="J18" i="84"/>
  <c r="L18" i="84"/>
  <c r="O18" i="84" a="1"/>
  <c r="O18" i="84" s="1"/>
  <c r="N18" i="84" a="1"/>
  <c r="N18" i="84" s="1"/>
  <c r="P18" i="84" a="1"/>
  <c r="P18" i="84" s="1"/>
  <c r="F18" i="85"/>
  <c r="Q18" i="34" s="1"/>
  <c r="H18" i="85"/>
  <c r="S18" i="34" s="1"/>
  <c r="J22" i="9" a="1"/>
  <c r="J22" i="9" s="1"/>
  <c r="AJ41" i="85" l="1" a="1"/>
  <c r="AJ41" i="85" s="1"/>
  <c r="AB41" i="85" a="1"/>
  <c r="AB41" i="85" s="1"/>
  <c r="X41" i="84" a="1"/>
  <c r="X41" i="84" s="1"/>
  <c r="Z41" i="85" a="1"/>
  <c r="Z41" i="85" s="1"/>
  <c r="AH41" i="85" a="1"/>
  <c r="AH41" i="85" s="1"/>
  <c r="L41" i="84" a="1"/>
  <c r="L41" i="84" s="1"/>
  <c r="AI41" i="85" a="1"/>
  <c r="AI41" i="85" s="1"/>
  <c r="AL41" i="85" a="1"/>
  <c r="AL41" i="85" s="1"/>
  <c r="AA41" i="85" a="1"/>
  <c r="AA41" i="85" s="1"/>
  <c r="V41" i="84" a="1"/>
  <c r="V41" i="84" s="1"/>
  <c r="AN41" i="85" a="1"/>
  <c r="AN41" i="85" s="1"/>
  <c r="AF41" i="85" a="1"/>
  <c r="AF41" i="85" s="1"/>
  <c r="T41" i="85" s="1"/>
  <c r="X41" i="85" a="1"/>
  <c r="X41" i="85" s="1"/>
  <c r="L41" i="85" s="1"/>
  <c r="AE41" i="85" a="1"/>
  <c r="AE41" i="85" s="1"/>
  <c r="S41" i="85" s="1"/>
  <c r="K41" i="84" a="1"/>
  <c r="K41" i="84" s="1"/>
  <c r="W41" i="84" a="1"/>
  <c r="W41" i="84" s="1"/>
  <c r="AD41" i="85" a="1"/>
  <c r="AD41" i="85" s="1"/>
  <c r="R41" i="85" s="1"/>
  <c r="Y15" i="98" s="1"/>
  <c r="W41" i="85" a="1"/>
  <c r="W41" i="85" s="1"/>
  <c r="T41" i="84" a="1"/>
  <c r="T41" i="84" s="1"/>
  <c r="S41" i="84" a="1"/>
  <c r="S41" i="84" s="1"/>
  <c r="V41" i="85" a="1"/>
  <c r="V41" i="85" s="1"/>
  <c r="R41" i="84" a="1"/>
  <c r="R41" i="84" s="1"/>
  <c r="J41" i="84" a="1"/>
  <c r="J41" i="84" s="1"/>
  <c r="AM41" i="85" a="1"/>
  <c r="AM41" i="85" s="1"/>
  <c r="AL39" i="85" a="1"/>
  <c r="AL39" i="85" s="1"/>
  <c r="AN39" i="85" a="1"/>
  <c r="AN39" i="85" s="1"/>
  <c r="AE39" i="85" a="1"/>
  <c r="AE39" i="85" s="1"/>
  <c r="S39" i="85" s="1"/>
  <c r="S39" i="84" a="1"/>
  <c r="S39" i="84" s="1"/>
  <c r="J39" i="84" a="1"/>
  <c r="J39" i="84" s="1"/>
  <c r="AH39" i="85" a="1"/>
  <c r="AH39" i="85" s="1"/>
  <c r="V39" i="84" a="1"/>
  <c r="V39" i="84" s="1"/>
  <c r="K39" i="84" a="1"/>
  <c r="K39" i="84" s="1"/>
  <c r="AD39" i="85" a="1"/>
  <c r="AD39" i="85" s="1"/>
  <c r="R39" i="85" s="1"/>
  <c r="Y13" i="98" s="1"/>
  <c r="AB39" i="85" a="1"/>
  <c r="AB39" i="85" s="1"/>
  <c r="AA39" i="85" a="1"/>
  <c r="AA39" i="85" s="1"/>
  <c r="Z39" i="85" a="1"/>
  <c r="Z39" i="85" s="1"/>
  <c r="AM39" i="85" a="1"/>
  <c r="AM39" i="85" s="1"/>
  <c r="W39" i="85" a="1"/>
  <c r="W39" i="85" s="1"/>
  <c r="V39" i="85" a="1"/>
  <c r="V39" i="85" s="1"/>
  <c r="X39" i="84" a="1"/>
  <c r="X39" i="84" s="1"/>
  <c r="R39" i="84" a="1"/>
  <c r="R39" i="84" s="1"/>
  <c r="T39" i="84" a="1"/>
  <c r="T39" i="84" s="1"/>
  <c r="X39" i="85" a="1"/>
  <c r="X39" i="85" s="1"/>
  <c r="AI39" i="85" a="1"/>
  <c r="AI39" i="85" s="1"/>
  <c r="AJ39" i="85" a="1"/>
  <c r="AJ39" i="85" s="1"/>
  <c r="L39" i="84" a="1"/>
  <c r="L39" i="84" s="1"/>
  <c r="W39" i="84" a="1"/>
  <c r="W39" i="84" s="1"/>
  <c r="AF39" i="85" a="1"/>
  <c r="AF39" i="85" s="1"/>
  <c r="T39" i="85" s="1"/>
  <c r="R35" i="84" a="1"/>
  <c r="R35" i="84" s="1"/>
  <c r="V35" i="84" a="1"/>
  <c r="V35" i="84" s="1"/>
  <c r="Z35" i="85" a="1"/>
  <c r="Z35" i="85" s="1"/>
  <c r="AH35" i="85" a="1"/>
  <c r="AH35" i="85" s="1"/>
  <c r="J35" i="84" a="1"/>
  <c r="J35" i="84" s="1"/>
  <c r="W35" i="85" a="1"/>
  <c r="W35" i="85" s="1"/>
  <c r="AM35" i="85" a="1"/>
  <c r="AM35" i="85" s="1"/>
  <c r="K35" i="84" a="1"/>
  <c r="K35" i="84" s="1"/>
  <c r="L35" i="84" a="1"/>
  <c r="L35" i="84" s="1"/>
  <c r="AD35" i="85" a="1"/>
  <c r="AD35" i="85" s="1"/>
  <c r="R35" i="85" s="1"/>
  <c r="Y9" i="98" s="1"/>
  <c r="AL35" i="85" a="1"/>
  <c r="AL35" i="85" s="1"/>
  <c r="AE35" i="85" a="1"/>
  <c r="AE35" i="85" s="1"/>
  <c r="S35" i="85" s="1"/>
  <c r="AJ35" i="85" a="1"/>
  <c r="AJ35" i="85" s="1"/>
  <c r="V35" i="85" a="1"/>
  <c r="V35" i="85" s="1"/>
  <c r="X35" i="85" a="1"/>
  <c r="X35" i="85" s="1"/>
  <c r="AA35" i="85" a="1"/>
  <c r="AA35" i="85" s="1"/>
  <c r="T35" i="84" a="1"/>
  <c r="T35" i="84" s="1"/>
  <c r="AB35" i="85" a="1"/>
  <c r="AB35" i="85" s="1"/>
  <c r="S35" i="84" a="1"/>
  <c r="S35" i="84" s="1"/>
  <c r="AN35" i="85" a="1"/>
  <c r="AN35" i="85" s="1"/>
  <c r="AF35" i="85" a="1"/>
  <c r="AF35" i="85" s="1"/>
  <c r="T35" i="85" s="1"/>
  <c r="W35" i="84" a="1"/>
  <c r="W35" i="84" s="1"/>
  <c r="X35" i="84" a="1"/>
  <c r="X35" i="84" s="1"/>
  <c r="AI35" i="85" a="1"/>
  <c r="AI35" i="85" s="1"/>
  <c r="DR4" i="69"/>
  <c r="FN3" i="69" a="1"/>
  <c r="FN3" i="69" s="1"/>
  <c r="FP3" i="69" a="1"/>
  <c r="FP3" i="69" s="1"/>
  <c r="FO3" i="69" a="1"/>
  <c r="FO3" i="69" s="1"/>
  <c r="Z23" i="98"/>
  <c r="Z26" i="98"/>
  <c r="Z27" i="98" s="1"/>
  <c r="M11" i="98" a="1"/>
  <c r="M13" i="98" a="1"/>
  <c r="M13" i="98" s="1"/>
  <c r="Q13" i="98" s="1"/>
  <c r="M12" i="98" a="1"/>
  <c r="M12" i="98" s="1"/>
  <c r="Q12" i="98" s="1"/>
  <c r="M14" i="98" a="1"/>
  <c r="E35" i="22"/>
  <c r="E37" i="22" s="1" a="1"/>
  <c r="G3" i="34"/>
  <c r="F3" i="34"/>
  <c r="FM1" i="69" a="1"/>
  <c r="FM1" i="69" s="1"/>
  <c r="FN2" i="69" a="1"/>
  <c r="FN2" i="69" s="1"/>
  <c r="FN1" i="69" a="1"/>
  <c r="FN1" i="69" s="1"/>
  <c r="FP2" i="69" a="1"/>
  <c r="FP2" i="69" s="1"/>
  <c r="DJ4" i="69"/>
  <c r="FH5" i="69"/>
  <c r="FO1" i="69" a="1"/>
  <c r="FO1" i="69" s="1"/>
  <c r="FO2" i="69" a="1"/>
  <c r="FO2" i="69" s="1"/>
  <c r="FP1" i="69" a="1"/>
  <c r="FP1" i="69" s="1"/>
  <c r="AY12" i="98"/>
  <c r="AY10" i="98"/>
  <c r="AQ12" i="98"/>
  <c r="AQ10" i="98"/>
  <c r="M8" i="98"/>
  <c r="Q4" i="98"/>
  <c r="Q8" i="98" s="1"/>
  <c r="AQ6" i="98"/>
  <c r="AY6" i="98"/>
  <c r="K5" i="85" a="1"/>
  <c r="K5" i="85" s="1"/>
  <c r="K7" i="85" s="1"/>
  <c r="P5" i="85" a="1"/>
  <c r="P5" i="85" s="1"/>
  <c r="P7" i="85" s="1"/>
  <c r="T5" i="85" a="1"/>
  <c r="T5" i="85" s="1"/>
  <c r="T7" i="85" s="1"/>
  <c r="S5" i="84" a="1"/>
  <c r="S5" i="84" s="1"/>
  <c r="S7" i="84" s="1"/>
  <c r="X5" i="84" a="1"/>
  <c r="X5" i="84" s="1"/>
  <c r="X7" i="84" s="1"/>
  <c r="R5" i="84" a="1"/>
  <c r="R5" i="84" s="1"/>
  <c r="R7" i="84" s="1"/>
  <c r="M7" i="9" a="1"/>
  <c r="M7" i="9" s="1"/>
  <c r="T5" i="84" a="1"/>
  <c r="T5" i="84" s="1"/>
  <c r="O7" i="9" a="1"/>
  <c r="O7" i="9" s="1"/>
  <c r="N7" i="9" a="1"/>
  <c r="N7" i="9" s="1"/>
  <c r="L7" i="9" a="1"/>
  <c r="L7" i="9" s="1"/>
  <c r="O5" i="85" a="1"/>
  <c r="O5" i="85" s="1"/>
  <c r="L5" i="85" a="1"/>
  <c r="L5" i="85" s="1"/>
  <c r="S5" i="85" a="1"/>
  <c r="S5" i="85" s="1"/>
  <c r="S7" i="85" s="1"/>
  <c r="AE5" i="85" a="1"/>
  <c r="AE5" i="85" s="1"/>
  <c r="AE7" i="85" s="1"/>
  <c r="Z4" i="69"/>
  <c r="AD5" i="85" a="1"/>
  <c r="AD5" i="85" s="1"/>
  <c r="AD7" i="85" s="1"/>
  <c r="AH5" i="85" a="1"/>
  <c r="AH5" i="85" s="1"/>
  <c r="AH7" i="85" s="1"/>
  <c r="X5" i="85" a="1"/>
  <c r="X5" i="85" s="1"/>
  <c r="X7" i="85" s="1"/>
  <c r="AM5" i="85" a="1"/>
  <c r="AM5" i="85" s="1"/>
  <c r="AM7" i="85" s="1"/>
  <c r="AN5" i="85" a="1"/>
  <c r="AN5" i="85" s="1"/>
  <c r="AN7" i="85" s="1"/>
  <c r="AL5" i="85" a="1"/>
  <c r="AL5" i="85" s="1"/>
  <c r="AL7" i="85" s="1"/>
  <c r="Z5" i="85" a="1"/>
  <c r="Z5" i="85" s="1"/>
  <c r="Z7" i="85" s="1"/>
  <c r="V5" i="85" a="1"/>
  <c r="V5" i="85" s="1"/>
  <c r="V7" i="85" s="1"/>
  <c r="AI5" i="85" a="1"/>
  <c r="AI5" i="85" s="1"/>
  <c r="AI7" i="85" s="1"/>
  <c r="AB5" i="85" a="1"/>
  <c r="AB5" i="85" s="1"/>
  <c r="AB7" i="85" s="1"/>
  <c r="AF5" i="85" a="1"/>
  <c r="AF5" i="85" s="1"/>
  <c r="AF7" i="85" s="1"/>
  <c r="W5" i="84" a="1"/>
  <c r="W5" i="84" s="1"/>
  <c r="W5" i="85" a="1"/>
  <c r="W5" i="85" s="1"/>
  <c r="W7" i="85" s="1"/>
  <c r="V5" i="84" a="1"/>
  <c r="V5" i="84" s="1"/>
  <c r="AJ5" i="85" a="1"/>
  <c r="AJ5" i="85" s="1"/>
  <c r="AJ7" i="85" s="1"/>
  <c r="AA5" i="85" a="1"/>
  <c r="AA5" i="85" s="1"/>
  <c r="AA7" i="85" s="1"/>
  <c r="L6" i="9" a="1"/>
  <c r="L6" i="9" s="1"/>
  <c r="O6" i="9" a="1"/>
  <c r="O6" i="9" s="1"/>
  <c r="N6" i="9" a="1"/>
  <c r="N6" i="9" s="1"/>
  <c r="M6" i="9" a="1"/>
  <c r="M6" i="9" s="1"/>
  <c r="CX4" i="69"/>
  <c r="G18" i="84"/>
  <c r="N18" i="34" s="1"/>
  <c r="F18" i="34" s="1"/>
  <c r="F18" i="84"/>
  <c r="H18" i="84"/>
  <c r="O18" i="34" s="1"/>
  <c r="G18" i="34" s="1"/>
  <c r="AN56" i="22" l="1" a="1"/>
  <c r="AN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F56" i="22" a="1"/>
  <c r="AF56" i="22" s="1"/>
  <c r="AE56" i="22" a="1"/>
  <c r="AE56" i="22" s="1"/>
  <c r="AC56" i="22" a="1"/>
  <c r="AC56" i="22" s="1"/>
  <c r="AA56" i="22" a="1"/>
  <c r="AA56" i="22" s="1"/>
  <c r="Y56" i="22" a="1"/>
  <c r="Y56" i="22" s="1"/>
  <c r="W56" i="22" a="1"/>
  <c r="W56" i="22" s="1"/>
  <c r="U56" i="22" a="1"/>
  <c r="U56" i="22" s="1"/>
  <c r="T56" i="22" a="1"/>
  <c r="T56" i="22" s="1"/>
  <c r="R56" i="22" a="1"/>
  <c r="R56" i="22" s="1"/>
  <c r="P56" i="22" a="1"/>
  <c r="P56" i="22" s="1"/>
  <c r="O56" i="22" a="1"/>
  <c r="O56" i="22" s="1"/>
  <c r="M56" i="22" a="1"/>
  <c r="M56" i="22" s="1"/>
  <c r="K56" i="22" a="1"/>
  <c r="K56" i="22" s="1"/>
  <c r="AM56" i="22" a="1"/>
  <c r="AM56" i="22" s="1"/>
  <c r="AG56" i="22" a="1"/>
  <c r="AG56" i="22" s="1"/>
  <c r="AD56" i="22" a="1"/>
  <c r="AD56" i="22" s="1"/>
  <c r="AB56" i="22" a="1"/>
  <c r="AB56" i="22" s="1"/>
  <c r="Z56" i="22" a="1"/>
  <c r="Z56" i="22" s="1"/>
  <c r="X56" i="22" a="1"/>
  <c r="X56" i="22" s="1"/>
  <c r="V56" i="22" a="1"/>
  <c r="V56" i="22" s="1"/>
  <c r="S56" i="22" a="1"/>
  <c r="S56" i="22" s="1"/>
  <c r="Q56" i="22" a="1"/>
  <c r="Q56" i="22" s="1"/>
  <c r="N56" i="22" a="1"/>
  <c r="N56" i="22" s="1"/>
  <c r="L56" i="22" a="1"/>
  <c r="L56" i="22" s="1"/>
  <c r="N41" i="85"/>
  <c r="X15" i="98" s="1"/>
  <c r="K41" i="85"/>
  <c r="O41" i="84" a="1"/>
  <c r="O41" i="84" s="1"/>
  <c r="G41" i="84" s="1"/>
  <c r="N41" i="34" s="1"/>
  <c r="P41" i="84" a="1"/>
  <c r="P41" i="84" s="1"/>
  <c r="H41" i="84" s="1"/>
  <c r="O41" i="34" s="1"/>
  <c r="N41" i="84" a="1"/>
  <c r="N41" i="84" s="1"/>
  <c r="F41" i="84" s="1"/>
  <c r="O39" i="84" a="1"/>
  <c r="O39" i="84" s="1"/>
  <c r="G39" i="84" s="1"/>
  <c r="N39" i="34" s="1"/>
  <c r="N39" i="84" a="1"/>
  <c r="N39" i="84" s="1"/>
  <c r="F39" i="84" s="1"/>
  <c r="P39" i="84" a="1"/>
  <c r="P39" i="84" s="1"/>
  <c r="H39" i="84" s="1"/>
  <c r="O39" i="34" s="1"/>
  <c r="N35" i="84" a="1"/>
  <c r="N35" i="84" s="1"/>
  <c r="F35" i="84" s="1"/>
  <c r="V9" i="98" s="1"/>
  <c r="O35" i="84" a="1"/>
  <c r="O35" i="84" s="1"/>
  <c r="G35" i="84" s="1"/>
  <c r="N35" i="34" s="1"/>
  <c r="P35" i="84" a="1"/>
  <c r="P35" i="84" s="1"/>
  <c r="H35" i="84" s="1"/>
  <c r="O35" i="34" s="1"/>
  <c r="M14" i="98"/>
  <c r="Q14" i="98" s="1"/>
  <c r="P41" i="85"/>
  <c r="H41" i="85" s="1"/>
  <c r="S41" i="34" s="1"/>
  <c r="O41" i="85"/>
  <c r="J41" i="85"/>
  <c r="FM2" i="69" a="1"/>
  <c r="FM2" i="69" s="1"/>
  <c r="FM3" i="69" a="1"/>
  <c r="FM3" i="69" s="1"/>
  <c r="E37" i="22"/>
  <c r="L39" i="85"/>
  <c r="N15" i="98"/>
  <c r="N24" i="98" s="1"/>
  <c r="P15" i="98"/>
  <c r="P24" i="98" s="1"/>
  <c r="M11" i="98"/>
  <c r="O15" i="98"/>
  <c r="O24" i="98" s="1"/>
  <c r="FI1" i="69"/>
  <c r="O39" i="85"/>
  <c r="FK1" i="69"/>
  <c r="J39" i="85"/>
  <c r="W13" i="98" s="1"/>
  <c r="FJ1" i="69"/>
  <c r="N39" i="85"/>
  <c r="P39" i="85"/>
  <c r="K39" i="85"/>
  <c r="M18" i="34"/>
  <c r="E18" i="34" s="1"/>
  <c r="C22" i="9" a="1"/>
  <c r="C22" i="9" s="1"/>
  <c r="P35" i="85"/>
  <c r="N35" i="85"/>
  <c r="X9" i="98" s="1"/>
  <c r="L5" i="84"/>
  <c r="L7" i="84" s="1"/>
  <c r="T7" i="84"/>
  <c r="O7" i="85"/>
  <c r="G5" i="85"/>
  <c r="L7" i="85"/>
  <c r="H5" i="85"/>
  <c r="N5" i="84" a="1"/>
  <c r="N5" i="84" s="1"/>
  <c r="N7" i="84" s="1"/>
  <c r="O5" i="84" a="1"/>
  <c r="O5" i="84" s="1"/>
  <c r="O7" i="84" s="1"/>
  <c r="P5" i="84" a="1"/>
  <c r="P5" i="84" s="1"/>
  <c r="O35" i="85"/>
  <c r="W7" i="84"/>
  <c r="K5" i="84"/>
  <c r="V7" i="84"/>
  <c r="J5" i="84"/>
  <c r="K35" i="85"/>
  <c r="L35" i="85"/>
  <c r="J35" i="85"/>
  <c r="G41" i="85" l="1"/>
  <c r="R41" i="34" s="1"/>
  <c r="I56" i="22" a="1"/>
  <c r="I56" i="22" s="1"/>
  <c r="H56" i="22" a="1"/>
  <c r="H56" i="22" s="1"/>
  <c r="F56" i="22" a="1"/>
  <c r="F56" i="22" s="1"/>
  <c r="J56" i="22" a="1"/>
  <c r="J56" i="22" s="1"/>
  <c r="G56" i="22" a="1"/>
  <c r="G56" i="22" s="1"/>
  <c r="E56" i="22" a="1"/>
  <c r="E56" i="22" s="1"/>
  <c r="W15" i="98"/>
  <c r="F41" i="85"/>
  <c r="Q41" i="34" s="1"/>
  <c r="V15" i="98"/>
  <c r="M41" i="34"/>
  <c r="FH1" i="69"/>
  <c r="H39" i="85"/>
  <c r="S39" i="34" s="1"/>
  <c r="M15" i="98"/>
  <c r="M24" i="98" s="1"/>
  <c r="Q11" i="98"/>
  <c r="Q15" i="98" s="1"/>
  <c r="Q24" i="98" s="1"/>
  <c r="G39" i="85"/>
  <c r="R39" i="34" s="1"/>
  <c r="X13" i="98"/>
  <c r="F39" i="85"/>
  <c r="Q39" i="34" s="1"/>
  <c r="V13" i="98"/>
  <c r="M39" i="34"/>
  <c r="H35" i="85"/>
  <c r="S35" i="34" s="1"/>
  <c r="F35" i="85"/>
  <c r="Q35" i="34" s="1"/>
  <c r="W9" i="98"/>
  <c r="G7" i="85"/>
  <c r="R5" i="34"/>
  <c r="R7" i="34" s="1"/>
  <c r="H7" i="85"/>
  <c r="S5" i="34"/>
  <c r="S7" i="34" s="1"/>
  <c r="G35" i="85"/>
  <c r="R35" i="34" s="1"/>
  <c r="P7" i="84"/>
  <c r="H5" i="84"/>
  <c r="K7" i="84"/>
  <c r="G5" i="84"/>
  <c r="C8" i="9" a="1"/>
  <c r="C8" i="9" s="1"/>
  <c r="H8" i="9" s="1"/>
  <c r="F5" i="84"/>
  <c r="J7" i="84"/>
  <c r="M35" i="34"/>
  <c r="AC7" i="78"/>
  <c r="E1" i="17"/>
  <c r="E3" i="17" a="1"/>
  <c r="AA8" i="17"/>
  <c r="G10" i="78"/>
  <c r="G10" i="26" s="1"/>
  <c r="J10" i="78"/>
  <c r="J10" i="26" s="1"/>
  <c r="X8" i="17"/>
  <c r="N8" i="17"/>
  <c r="AM10" i="78"/>
  <c r="AM10" i="26" s="1"/>
  <c r="J8" i="17"/>
  <c r="V10" i="78"/>
  <c r="V10" i="26" s="1"/>
  <c r="AN8" i="17"/>
  <c r="AH10" i="78"/>
  <c r="AH10" i="26" s="1"/>
  <c r="AA10" i="78"/>
  <c r="AA10" i="26" s="1"/>
  <c r="AF8" i="17"/>
  <c r="AM8" i="17"/>
  <c r="E8" i="17"/>
  <c r="L28" i="78"/>
  <c r="L28" i="26" s="1"/>
  <c r="Y5" i="17"/>
  <c r="G8" i="78"/>
  <c r="AD8" i="78"/>
  <c r="AC6" i="17"/>
  <c r="AA5" i="17"/>
  <c r="AM7" i="78"/>
  <c r="S8" i="78"/>
  <c r="AF6" i="17"/>
  <c r="AE7" i="78"/>
  <c r="L6" i="17"/>
  <c r="AI5" i="17"/>
  <c r="M5" i="17"/>
  <c r="T8" i="78"/>
  <c r="AK6" i="17"/>
  <c r="Q6" i="17"/>
  <c r="AL6" i="17"/>
  <c r="T7" i="78"/>
  <c r="AM8" i="78"/>
  <c r="P8" i="78"/>
  <c r="AJ7" i="78"/>
  <c r="Y6" i="17"/>
  <c r="L8" i="78"/>
  <c r="I8" i="78"/>
  <c r="AB7" i="78"/>
  <c r="L5" i="17"/>
  <c r="S6" i="17"/>
  <c r="P5" i="17"/>
  <c r="L7" i="78"/>
  <c r="V5" i="17"/>
  <c r="T6" i="17"/>
  <c r="G6" i="17"/>
  <c r="U7" i="78"/>
  <c r="AI6" i="17"/>
  <c r="AC5" i="17"/>
  <c r="V7" i="78"/>
  <c r="W6" i="17"/>
  <c r="W5" i="17"/>
  <c r="AE5" i="17"/>
  <c r="R7" i="78"/>
  <c r="AG5" i="17"/>
  <c r="M7" i="78"/>
  <c r="M6" i="17"/>
  <c r="F6" i="17"/>
  <c r="O8" i="78"/>
  <c r="Z6" i="17"/>
  <c r="AM6" i="17"/>
  <c r="G5" i="17"/>
  <c r="AK8" i="78"/>
  <c r="R5" i="17"/>
  <c r="O6" i="17"/>
  <c r="O5" i="17"/>
  <c r="X5" i="17"/>
  <c r="M8" i="78"/>
  <c r="AA7" i="78"/>
  <c r="AE8" i="78"/>
  <c r="H8" i="78"/>
  <c r="AJ5" i="17"/>
  <c r="U5" i="17"/>
  <c r="E6" i="17"/>
  <c r="AJ8" i="78"/>
  <c r="G7" i="78"/>
  <c r="E41" i="17" l="1" a="1"/>
  <c r="E41" i="17" s="1"/>
  <c r="E40" i="17" a="1"/>
  <c r="E40" i="17" s="1"/>
  <c r="AE6" i="98" s="1"/>
  <c r="G14" i="98"/>
  <c r="G15" i="98" s="1"/>
  <c r="F14" i="98"/>
  <c r="F15" i="98" s="1"/>
  <c r="E14" i="98"/>
  <c r="E15" i="98" s="1"/>
  <c r="D14" i="98"/>
  <c r="D15" i="98" s="1"/>
  <c r="H7" i="84"/>
  <c r="O5" i="34"/>
  <c r="G7" i="84"/>
  <c r="N5" i="34"/>
  <c r="N7" i="34" s="1"/>
  <c r="F7" i="84"/>
  <c r="M5" i="34"/>
  <c r="M7" i="34" s="1"/>
  <c r="E3" i="17"/>
  <c r="AN42" i="78"/>
  <c r="AN42" i="26" s="1"/>
  <c r="AF42" i="78"/>
  <c r="AF42" i="26" s="1"/>
  <c r="AE42" i="78"/>
  <c r="AE42" i="26" s="1"/>
  <c r="AD42" i="78"/>
  <c r="AD42" i="26" s="1"/>
  <c r="AC42" i="78"/>
  <c r="AB42" i="78"/>
  <c r="AB42" i="26" s="1"/>
  <c r="AA42" i="78"/>
  <c r="AA42" i="26" s="1"/>
  <c r="Z42" i="78"/>
  <c r="Z42" i="26" s="1"/>
  <c r="X42" i="78"/>
  <c r="X42" i="26" s="1"/>
  <c r="AM42" i="78"/>
  <c r="AM42" i="26" s="1"/>
  <c r="W42" i="78"/>
  <c r="W42" i="26" s="1"/>
  <c r="I42" i="78"/>
  <c r="I42" i="26" s="1"/>
  <c r="J42" i="78"/>
  <c r="J42" i="26" s="1"/>
  <c r="K42" i="78"/>
  <c r="K42" i="26" s="1"/>
  <c r="L42" i="78"/>
  <c r="L42" i="26" s="1"/>
  <c r="M42" i="78"/>
  <c r="M42" i="26" s="1"/>
  <c r="N42" i="78"/>
  <c r="N42" i="26" s="1"/>
  <c r="O42" i="78"/>
  <c r="O42" i="26" s="1"/>
  <c r="P42" i="78"/>
  <c r="P42" i="26" s="1"/>
  <c r="Q42" i="78"/>
  <c r="R42" i="78"/>
  <c r="R42" i="26" s="1"/>
  <c r="S42" i="78"/>
  <c r="S42" i="26" s="1"/>
  <c r="T42" i="78"/>
  <c r="T42" i="26" s="1"/>
  <c r="U42" i="78"/>
  <c r="U42" i="26" s="1"/>
  <c r="V42" i="78"/>
  <c r="V42" i="26" s="1"/>
  <c r="H42" i="78"/>
  <c r="H42" i="26" s="1"/>
  <c r="AH42" i="78"/>
  <c r="AH42" i="26" s="1"/>
  <c r="F42" i="78"/>
  <c r="F42" i="26" s="1"/>
  <c r="G42" i="78"/>
  <c r="G42" i="26" s="1"/>
  <c r="AG42" i="78"/>
  <c r="AG42" i="26" s="1"/>
  <c r="AI42" i="78"/>
  <c r="AI42" i="26" s="1"/>
  <c r="AJ42" i="78"/>
  <c r="AJ42" i="26" s="1"/>
  <c r="AK42" i="78"/>
  <c r="AK42" i="26" s="1"/>
  <c r="AL42" i="78"/>
  <c r="AL42" i="26" s="1"/>
  <c r="Y42" i="78"/>
  <c r="Y42" i="26" s="1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K45" i="78"/>
  <c r="J45" i="78"/>
  <c r="I45" i="78"/>
  <c r="H45" i="78"/>
  <c r="G45" i="78"/>
  <c r="F45" i="78"/>
  <c r="L45" i="78"/>
  <c r="T43" i="78"/>
  <c r="T43" i="26" s="1"/>
  <c r="AI43" i="78"/>
  <c r="AI43" i="26" s="1"/>
  <c r="AG43" i="78"/>
  <c r="AF43" i="78"/>
  <c r="AF43" i="26" s="1"/>
  <c r="AE43" i="78"/>
  <c r="AE43" i="26" s="1"/>
  <c r="AD43" i="78"/>
  <c r="AD43" i="26" s="1"/>
  <c r="AC43" i="78"/>
  <c r="AB43" i="78"/>
  <c r="AB43" i="26" s="1"/>
  <c r="AA43" i="78"/>
  <c r="AA43" i="26" s="1"/>
  <c r="Z43" i="78"/>
  <c r="Z43" i="26" s="1"/>
  <c r="Y43" i="78"/>
  <c r="Y43" i="26" s="1"/>
  <c r="X43" i="78"/>
  <c r="X43" i="26" s="1"/>
  <c r="W43" i="78"/>
  <c r="W43" i="26" s="1"/>
  <c r="V43" i="78"/>
  <c r="V43" i="26" s="1"/>
  <c r="U43" i="78"/>
  <c r="U43" i="26" s="1"/>
  <c r="R43" i="78"/>
  <c r="R43" i="26" s="1"/>
  <c r="Q43" i="78"/>
  <c r="P43" i="78"/>
  <c r="P43" i="26" s="1"/>
  <c r="O43" i="78"/>
  <c r="O43" i="26" s="1"/>
  <c r="N43" i="78"/>
  <c r="N43" i="26" s="1"/>
  <c r="M43" i="78"/>
  <c r="M43" i="26" s="1"/>
  <c r="L43" i="78"/>
  <c r="L43" i="26" s="1"/>
  <c r="K43" i="78"/>
  <c r="K43" i="26" s="1"/>
  <c r="J43" i="78"/>
  <c r="J43" i="26" s="1"/>
  <c r="I43" i="78"/>
  <c r="I43" i="26" s="1"/>
  <c r="H43" i="78"/>
  <c r="H43" i="26" s="1"/>
  <c r="G43" i="78"/>
  <c r="G43" i="26" s="1"/>
  <c r="F43" i="78"/>
  <c r="F43" i="26" s="1"/>
  <c r="AH43" i="78"/>
  <c r="AH43" i="26" s="1"/>
  <c r="S43" i="78"/>
  <c r="S43" i="26" s="1"/>
  <c r="AN43" i="78"/>
  <c r="AN43" i="26" s="1"/>
  <c r="AM43" i="78"/>
  <c r="AM43" i="26" s="1"/>
  <c r="AL43" i="78"/>
  <c r="AL43" i="26" s="1"/>
  <c r="AK43" i="78"/>
  <c r="AK43" i="26" s="1"/>
  <c r="AJ43" i="78"/>
  <c r="AJ43" i="26" s="1"/>
  <c r="AG47" i="78"/>
  <c r="AG47" i="26" s="1"/>
  <c r="F47" i="78"/>
  <c r="F47" i="26" s="1"/>
  <c r="G47" i="78"/>
  <c r="G47" i="26" s="1"/>
  <c r="N47" i="78"/>
  <c r="N47" i="26" s="1"/>
  <c r="Q47" i="78"/>
  <c r="Q47" i="26" s="1"/>
  <c r="U47" i="78"/>
  <c r="U47" i="26" s="1"/>
  <c r="X47" i="78"/>
  <c r="X47" i="26" s="1"/>
  <c r="AB47" i="78"/>
  <c r="AB47" i="26" s="1"/>
  <c r="AH47" i="78"/>
  <c r="AH47" i="26" s="1"/>
  <c r="AL47" i="78"/>
  <c r="AL47" i="26" s="1"/>
  <c r="H47" i="78"/>
  <c r="H47" i="26" s="1"/>
  <c r="O47" i="78"/>
  <c r="O47" i="26" s="1"/>
  <c r="S47" i="78"/>
  <c r="S47" i="26" s="1"/>
  <c r="V47" i="78"/>
  <c r="V47" i="26" s="1"/>
  <c r="Y47" i="78"/>
  <c r="Y47" i="26" s="1"/>
  <c r="AC47" i="78"/>
  <c r="AC47" i="26" s="1"/>
  <c r="I47" i="78"/>
  <c r="I47" i="26" s="1"/>
  <c r="J47" i="78"/>
  <c r="J47" i="26" s="1"/>
  <c r="K47" i="78"/>
  <c r="K47" i="26" s="1"/>
  <c r="L47" i="78"/>
  <c r="L47" i="26" s="1"/>
  <c r="M47" i="78"/>
  <c r="M47" i="26" s="1"/>
  <c r="T47" i="78"/>
  <c r="T47" i="26" s="1"/>
  <c r="P47" i="78"/>
  <c r="P47" i="26" s="1"/>
  <c r="Z47" i="78"/>
  <c r="Z47" i="26" s="1"/>
  <c r="AD47" i="78"/>
  <c r="AD47" i="26" s="1"/>
  <c r="AF47" i="78"/>
  <c r="AF47" i="26" s="1"/>
  <c r="AJ47" i="78"/>
  <c r="AJ47" i="26" s="1"/>
  <c r="AM47" i="78"/>
  <c r="AM47" i="26" s="1"/>
  <c r="R47" i="78"/>
  <c r="R47" i="26" s="1"/>
  <c r="W47" i="78"/>
  <c r="W47" i="26" s="1"/>
  <c r="AA47" i="78"/>
  <c r="AA47" i="26" s="1"/>
  <c r="AE47" i="78"/>
  <c r="AE47" i="26" s="1"/>
  <c r="AI47" i="78"/>
  <c r="AI47" i="26" s="1"/>
  <c r="AK47" i="78"/>
  <c r="AK47" i="26" s="1"/>
  <c r="AN47" i="78"/>
  <c r="AN47" i="26" s="1"/>
  <c r="AD31" i="78"/>
  <c r="AD31" i="26" s="1"/>
  <c r="AN48" i="26"/>
  <c r="AM48" i="26"/>
  <c r="AL48" i="26"/>
  <c r="AK48" i="26"/>
  <c r="AJ48" i="26"/>
  <c r="AI48" i="26"/>
  <c r="AH48" i="26"/>
  <c r="AG48" i="26"/>
  <c r="AF48" i="26"/>
  <c r="AE48" i="26"/>
  <c r="AD48" i="26"/>
  <c r="AB48" i="26"/>
  <c r="AA48" i="26"/>
  <c r="Z48" i="26"/>
  <c r="Y48" i="26"/>
  <c r="X48" i="26"/>
  <c r="W48" i="26"/>
  <c r="V48" i="26"/>
  <c r="U48" i="26"/>
  <c r="T48" i="26"/>
  <c r="S48" i="26"/>
  <c r="R48" i="26"/>
  <c r="P48" i="26"/>
  <c r="N48" i="26"/>
  <c r="M48" i="26"/>
  <c r="L48" i="26"/>
  <c r="K48" i="26"/>
  <c r="J48" i="26"/>
  <c r="I48" i="26"/>
  <c r="H48" i="26"/>
  <c r="O48" i="26"/>
  <c r="F48" i="26"/>
  <c r="G48" i="26"/>
  <c r="Z27" i="78"/>
  <c r="Z27" i="26" s="1"/>
  <c r="N27" i="78"/>
  <c r="N27" i="26" s="1"/>
  <c r="AG27" i="78"/>
  <c r="AG27" i="26" s="1"/>
  <c r="AK34" i="78"/>
  <c r="AK34" i="26" s="1"/>
  <c r="Z31" i="78"/>
  <c r="Z31" i="26" s="1"/>
  <c r="K31" i="78"/>
  <c r="K31" i="26" s="1"/>
  <c r="AN31" i="78"/>
  <c r="AN31" i="26" s="1"/>
  <c r="P27" i="78"/>
  <c r="P27" i="26" s="1"/>
  <c r="I29" i="78"/>
  <c r="I29" i="26" s="1"/>
  <c r="BV4" i="69" a="1"/>
  <c r="H28" i="78"/>
  <c r="H28" i="26" s="1"/>
  <c r="AA29" i="78"/>
  <c r="AA29" i="26" s="1"/>
  <c r="G28" i="78"/>
  <c r="G28" i="26" s="1"/>
  <c r="N29" i="78"/>
  <c r="N29" i="26" s="1"/>
  <c r="W28" i="78"/>
  <c r="W28" i="26" s="1"/>
  <c r="E10" i="78"/>
  <c r="E10" i="26" s="1"/>
  <c r="AC8" i="78"/>
  <c r="E8" i="78"/>
  <c r="Q8" i="78"/>
  <c r="Q7" i="78"/>
  <c r="K6" i="17"/>
  <c r="AL5" i="17"/>
  <c r="AF5" i="17"/>
  <c r="T5" i="17"/>
  <c r="Q5" i="17"/>
  <c r="N8" i="78"/>
  <c r="AN5" i="17"/>
  <c r="K5" i="17"/>
  <c r="AK7" i="78"/>
  <c r="AM5" i="17"/>
  <c r="Z8" i="78"/>
  <c r="V6" i="17"/>
  <c r="J6" i="17"/>
  <c r="AF7" i="78"/>
  <c r="H5" i="17"/>
  <c r="K8" i="78"/>
  <c r="F7" i="78"/>
  <c r="AJ6" i="17"/>
  <c r="Y8" i="78"/>
  <c r="N5" i="17"/>
  <c r="AB6" i="17"/>
  <c r="AH8" i="78"/>
  <c r="Z5" i="17"/>
  <c r="AL7" i="78"/>
  <c r="X8" i="78"/>
  <c r="AK5" i="17"/>
  <c r="X7" i="78"/>
  <c r="Y7" i="78"/>
  <c r="Z7" i="78"/>
  <c r="W7" i="78"/>
  <c r="I5" i="17"/>
  <c r="J5" i="17"/>
  <c r="P7" i="78"/>
  <c r="AF8" i="78"/>
  <c r="AA8" i="78"/>
  <c r="S7" i="78"/>
  <c r="AI8" i="78"/>
  <c r="AN7" i="78"/>
  <c r="AB5" i="17"/>
  <c r="AH7" i="78"/>
  <c r="AI7" i="78"/>
  <c r="AB8" i="78"/>
  <c r="J8" i="78"/>
  <c r="N7" i="78"/>
  <c r="I7" i="78"/>
  <c r="R8" i="78"/>
  <c r="AA6" i="17"/>
  <c r="AG7" i="78"/>
  <c r="H6" i="17"/>
  <c r="X6" i="17"/>
  <c r="Z28" i="78"/>
  <c r="Z28" i="26" s="1"/>
  <c r="R31" i="78"/>
  <c r="R31" i="26" s="1"/>
  <c r="AC31" i="78"/>
  <c r="Q31" i="78"/>
  <c r="AG31" i="78"/>
  <c r="AG31" i="26" s="1"/>
  <c r="U31" i="78"/>
  <c r="U31" i="26" s="1"/>
  <c r="AL31" i="78"/>
  <c r="AL31" i="26" s="1"/>
  <c r="L31" i="78"/>
  <c r="L31" i="26" s="1"/>
  <c r="N31" i="78"/>
  <c r="N31" i="26" s="1"/>
  <c r="AJ31" i="78"/>
  <c r="AJ31" i="26" s="1"/>
  <c r="AM31" i="78"/>
  <c r="AM31" i="26" s="1"/>
  <c r="AK31" i="78"/>
  <c r="AK31" i="26" s="1"/>
  <c r="F31" i="78"/>
  <c r="F31" i="26" s="1"/>
  <c r="S31" i="78"/>
  <c r="S31" i="26" s="1"/>
  <c r="AF31" i="78"/>
  <c r="AF31" i="26" s="1"/>
  <c r="AH31" i="78"/>
  <c r="AH31" i="26" s="1"/>
  <c r="P31" i="78"/>
  <c r="P31" i="26" s="1"/>
  <c r="M31" i="78"/>
  <c r="M31" i="26" s="1"/>
  <c r="O31" i="78"/>
  <c r="O31" i="26" s="1"/>
  <c r="AI31" i="78"/>
  <c r="AI31" i="26" s="1"/>
  <c r="X31" i="78"/>
  <c r="X31" i="26" s="1"/>
  <c r="W31" i="78"/>
  <c r="W31" i="26" s="1"/>
  <c r="Y31" i="78"/>
  <c r="Y31" i="26" s="1"/>
  <c r="G31" i="78"/>
  <c r="G31" i="26" s="1"/>
  <c r="I31" i="78"/>
  <c r="I31" i="26" s="1"/>
  <c r="AE31" i="78"/>
  <c r="AE31" i="26" s="1"/>
  <c r="P28" i="78"/>
  <c r="P28" i="26" s="1"/>
  <c r="AN6" i="17"/>
  <c r="AN8" i="78"/>
  <c r="U6" i="17"/>
  <c r="U8" i="78"/>
  <c r="AL8" i="78"/>
  <c r="AD7" i="78"/>
  <c r="O7" i="78"/>
  <c r="AD5" i="17"/>
  <c r="Q34" i="78"/>
  <c r="AC34" i="78"/>
  <c r="K34" i="78"/>
  <c r="K34" i="26" s="1"/>
  <c r="AG34" i="78"/>
  <c r="AG34" i="26" s="1"/>
  <c r="R34" i="78"/>
  <c r="R34" i="26" s="1"/>
  <c r="T34" i="78"/>
  <c r="T34" i="26" s="1"/>
  <c r="V34" i="78"/>
  <c r="V34" i="26" s="1"/>
  <c r="G34" i="78"/>
  <c r="G34" i="26" s="1"/>
  <c r="X34" i="78"/>
  <c r="X34" i="26" s="1"/>
  <c r="L34" i="78"/>
  <c r="L34" i="26" s="1"/>
  <c r="AH34" i="78"/>
  <c r="AH34" i="26" s="1"/>
  <c r="AI34" i="78"/>
  <c r="AI34" i="26" s="1"/>
  <c r="AL34" i="78"/>
  <c r="AL34" i="26" s="1"/>
  <c r="O34" i="78"/>
  <c r="O34" i="26" s="1"/>
  <c r="AA34" i="78"/>
  <c r="AA34" i="26" s="1"/>
  <c r="P34" i="78"/>
  <c r="P34" i="26" s="1"/>
  <c r="N34" i="78"/>
  <c r="N34" i="26" s="1"/>
  <c r="M34" i="78"/>
  <c r="M34" i="26" s="1"/>
  <c r="AB34" i="78"/>
  <c r="AB34" i="26" s="1"/>
  <c r="S34" i="78"/>
  <c r="S34" i="26" s="1"/>
  <c r="U34" i="78"/>
  <c r="U34" i="26" s="1"/>
  <c r="F34" i="78"/>
  <c r="F34" i="26" s="1"/>
  <c r="H34" i="78"/>
  <c r="H34" i="26" s="1"/>
  <c r="J34" i="78"/>
  <c r="J34" i="26" s="1"/>
  <c r="Y34" i="78"/>
  <c r="Y34" i="26" s="1"/>
  <c r="AN34" i="78"/>
  <c r="AN34" i="26" s="1"/>
  <c r="AE34" i="78"/>
  <c r="AE34" i="26" s="1"/>
  <c r="AM34" i="78"/>
  <c r="AM34" i="26" s="1"/>
  <c r="Z34" i="78"/>
  <c r="Z34" i="26" s="1"/>
  <c r="AF34" i="78"/>
  <c r="AF34" i="26" s="1"/>
  <c r="AJ34" i="78"/>
  <c r="AJ34" i="26" s="1"/>
  <c r="AD34" i="78"/>
  <c r="AD34" i="26" s="1"/>
  <c r="I34" i="78"/>
  <c r="I34" i="26" s="1"/>
  <c r="V8" i="78"/>
  <c r="I6" i="17"/>
  <c r="F5" i="17"/>
  <c r="N6" i="17"/>
  <c r="S5" i="17"/>
  <c r="AG8" i="78"/>
  <c r="J7" i="78"/>
  <c r="F8" i="78"/>
  <c r="AE6" i="17"/>
  <c r="T31" i="78"/>
  <c r="T31" i="26" s="1"/>
  <c r="AB31" i="78"/>
  <c r="AB31" i="26" s="1"/>
  <c r="AH28" i="78"/>
  <c r="AH28" i="26" s="1"/>
  <c r="AM28" i="78"/>
  <c r="AM28" i="26" s="1"/>
  <c r="W34" i="78"/>
  <c r="W34" i="26" s="1"/>
  <c r="AA31" i="78"/>
  <c r="AA31" i="26" s="1"/>
  <c r="AL28" i="78"/>
  <c r="AL28" i="26" s="1"/>
  <c r="V31" i="78"/>
  <c r="V31" i="26" s="1"/>
  <c r="Q28" i="78"/>
  <c r="AC28" i="78"/>
  <c r="BR4" i="69" a="1"/>
  <c r="O28" i="78"/>
  <c r="O28" i="26" s="1"/>
  <c r="X28" i="78"/>
  <c r="X28" i="26" s="1"/>
  <c r="R28" i="78"/>
  <c r="R28" i="26" s="1"/>
  <c r="AD28" i="78"/>
  <c r="AD28" i="26" s="1"/>
  <c r="J28" i="78"/>
  <c r="J28" i="26" s="1"/>
  <c r="T28" i="78"/>
  <c r="T28" i="26" s="1"/>
  <c r="AI28" i="78"/>
  <c r="AI28" i="26" s="1"/>
  <c r="F28" i="78"/>
  <c r="F28" i="26" s="1"/>
  <c r="Y28" i="78"/>
  <c r="Y28" i="26" s="1"/>
  <c r="AJ28" i="78"/>
  <c r="AJ28" i="26" s="1"/>
  <c r="AA28" i="78"/>
  <c r="AA28" i="26" s="1"/>
  <c r="AN28" i="78"/>
  <c r="AN28" i="26" s="1"/>
  <c r="AF28" i="78"/>
  <c r="AF28" i="26" s="1"/>
  <c r="M28" i="78"/>
  <c r="M28" i="26" s="1"/>
  <c r="AK28" i="78"/>
  <c r="AK28" i="26" s="1"/>
  <c r="S28" i="78"/>
  <c r="S28" i="26" s="1"/>
  <c r="AE28" i="78"/>
  <c r="AE28" i="26" s="1"/>
  <c r="I28" i="78"/>
  <c r="I28" i="26" s="1"/>
  <c r="V28" i="78"/>
  <c r="V28" i="26" s="1"/>
  <c r="N28" i="78"/>
  <c r="N28" i="26" s="1"/>
  <c r="K28" i="78"/>
  <c r="K28" i="26" s="1"/>
  <c r="U28" i="78"/>
  <c r="U28" i="26" s="1"/>
  <c r="H31" i="78"/>
  <c r="H31" i="26" s="1"/>
  <c r="W8" i="78"/>
  <c r="AH6" i="17"/>
  <c r="K7" i="78"/>
  <c r="H7" i="78"/>
  <c r="R6" i="17"/>
  <c r="P6" i="17"/>
  <c r="AD6" i="17"/>
  <c r="AG6" i="17"/>
  <c r="AH5" i="17"/>
  <c r="J31" i="78"/>
  <c r="J31" i="26" s="1"/>
  <c r="AG28" i="78"/>
  <c r="AG28" i="26" s="1"/>
  <c r="AB28" i="78"/>
  <c r="AB28" i="26" s="1"/>
  <c r="H8" i="17"/>
  <c r="L10" i="78"/>
  <c r="L10" i="26" s="1"/>
  <c r="F8" i="17"/>
  <c r="AJ10" i="78"/>
  <c r="AJ10" i="26" s="1"/>
  <c r="I10" i="78"/>
  <c r="I10" i="26" s="1"/>
  <c r="F27" i="78"/>
  <c r="F27" i="26" s="1"/>
  <c r="F29" i="78"/>
  <c r="F29" i="26" s="1"/>
  <c r="AJ29" i="78"/>
  <c r="AJ29" i="26" s="1"/>
  <c r="AN10" i="78"/>
  <c r="AN10" i="26" s="1"/>
  <c r="I8" i="17"/>
  <c r="U10" i="78"/>
  <c r="U10" i="26" s="1"/>
  <c r="X10" i="78"/>
  <c r="X10" i="26" s="1"/>
  <c r="Z8" i="17"/>
  <c r="AI10" i="78"/>
  <c r="AI10" i="26" s="1"/>
  <c r="W10" i="78"/>
  <c r="W10" i="26" s="1"/>
  <c r="W8" i="17"/>
  <c r="AI27" i="78"/>
  <c r="AI27" i="26" s="1"/>
  <c r="AB27" i="78"/>
  <c r="AB27" i="26" s="1"/>
  <c r="K27" i="78"/>
  <c r="K27" i="26" s="1"/>
  <c r="U27" i="78"/>
  <c r="U27" i="26" s="1"/>
  <c r="H27" i="78"/>
  <c r="H27" i="26" s="1"/>
  <c r="Y27" i="78"/>
  <c r="Y27" i="26" s="1"/>
  <c r="AL27" i="78"/>
  <c r="AL27" i="26" s="1"/>
  <c r="Q27" i="78"/>
  <c r="R27" i="78"/>
  <c r="R27" i="26" s="1"/>
  <c r="AJ27" i="78"/>
  <c r="AJ27" i="26" s="1"/>
  <c r="AD27" i="78"/>
  <c r="AD27" i="26" s="1"/>
  <c r="O27" i="78"/>
  <c r="O27" i="26" s="1"/>
  <c r="AM27" i="78"/>
  <c r="AM27" i="26" s="1"/>
  <c r="V27" i="78"/>
  <c r="V27" i="26" s="1"/>
  <c r="AK27" i="78"/>
  <c r="AK27" i="26" s="1"/>
  <c r="AA27" i="78"/>
  <c r="AA27" i="26" s="1"/>
  <c r="I27" i="78"/>
  <c r="I27" i="26" s="1"/>
  <c r="AF27" i="78"/>
  <c r="AF27" i="26" s="1"/>
  <c r="AH27" i="78"/>
  <c r="AH27" i="26" s="1"/>
  <c r="AC27" i="78"/>
  <c r="S27" i="78"/>
  <c r="S27" i="26" s="1"/>
  <c r="X27" i="78"/>
  <c r="X27" i="26" s="1"/>
  <c r="G27" i="78"/>
  <c r="G27" i="26" s="1"/>
  <c r="J27" i="78"/>
  <c r="J27" i="26" s="1"/>
  <c r="W27" i="78"/>
  <c r="W27" i="26" s="1"/>
  <c r="AC8" i="17"/>
  <c r="AK10" i="78"/>
  <c r="AK10" i="26" s="1"/>
  <c r="O8" i="17"/>
  <c r="AK8" i="17"/>
  <c r="AD8" i="17"/>
  <c r="T8" i="17"/>
  <c r="M8" i="17"/>
  <c r="Y10" i="78"/>
  <c r="Y10" i="26" s="1"/>
  <c r="R8" i="17"/>
  <c r="P8" i="17"/>
  <c r="M10" i="78"/>
  <c r="M10" i="26" s="1"/>
  <c r="AE8" i="17"/>
  <c r="G8" i="17"/>
  <c r="AC10" i="78"/>
  <c r="AL8" i="17"/>
  <c r="AD10" i="78"/>
  <c r="AD10" i="26" s="1"/>
  <c r="K10" i="78"/>
  <c r="K10" i="26" s="1"/>
  <c r="L8" i="17"/>
  <c r="V8" i="17"/>
  <c r="Q10" i="78"/>
  <c r="K8" i="17"/>
  <c r="AE10" i="78"/>
  <c r="AE10" i="26" s="1"/>
  <c r="AH8" i="17"/>
  <c r="Z10" i="78"/>
  <c r="Z10" i="26" s="1"/>
  <c r="AG10" i="78"/>
  <c r="AG10" i="26" s="1"/>
  <c r="AG8" i="17"/>
  <c r="AN27" i="78"/>
  <c r="AN27" i="26" s="1"/>
  <c r="AI29" i="78"/>
  <c r="AI29" i="26" s="1"/>
  <c r="F10" i="78"/>
  <c r="F10" i="26" s="1"/>
  <c r="Q8" i="17"/>
  <c r="S10" i="78"/>
  <c r="S10" i="26" s="1"/>
  <c r="AB10" i="78"/>
  <c r="AB10" i="26" s="1"/>
  <c r="AB8" i="17"/>
  <c r="U8" i="17"/>
  <c r="M27" i="78"/>
  <c r="M27" i="26" s="1"/>
  <c r="AE27" i="78"/>
  <c r="AE27" i="26" s="1"/>
  <c r="T27" i="78"/>
  <c r="T27" i="26" s="1"/>
  <c r="H29" i="78"/>
  <c r="H29" i="26" s="1"/>
  <c r="H10" i="78"/>
  <c r="H10" i="26" s="1"/>
  <c r="N10" i="78"/>
  <c r="N10" i="26" s="1"/>
  <c r="AJ8" i="17"/>
  <c r="O10" i="78"/>
  <c r="O10" i="26" s="1"/>
  <c r="AC29" i="78"/>
  <c r="AG29" i="78"/>
  <c r="AG29" i="26" s="1"/>
  <c r="R29" i="78"/>
  <c r="R29" i="26" s="1"/>
  <c r="T29" i="78"/>
  <c r="T29" i="26" s="1"/>
  <c r="AD29" i="78"/>
  <c r="AD29" i="26" s="1"/>
  <c r="AF29" i="78"/>
  <c r="AF29" i="26" s="1"/>
  <c r="AN29" i="78"/>
  <c r="AN29" i="26" s="1"/>
  <c r="J29" i="78"/>
  <c r="J29" i="26" s="1"/>
  <c r="M29" i="78"/>
  <c r="M29" i="26" s="1"/>
  <c r="Q29" i="78"/>
  <c r="P29" i="78"/>
  <c r="P29" i="26" s="1"/>
  <c r="AB29" i="78"/>
  <c r="AB29" i="26" s="1"/>
  <c r="V29" i="78"/>
  <c r="V29" i="26" s="1"/>
  <c r="Z29" i="78"/>
  <c r="Z29" i="26" s="1"/>
  <c r="S29" i="78"/>
  <c r="S29" i="26" s="1"/>
  <c r="G29" i="78"/>
  <c r="G29" i="26" s="1"/>
  <c r="L29" i="78"/>
  <c r="L29" i="26" s="1"/>
  <c r="K29" i="78"/>
  <c r="K29" i="26" s="1"/>
  <c r="Y29" i="78"/>
  <c r="Y29" i="26" s="1"/>
  <c r="AL29" i="78"/>
  <c r="AL29" i="26" s="1"/>
  <c r="O29" i="78"/>
  <c r="O29" i="26" s="1"/>
  <c r="X29" i="78"/>
  <c r="X29" i="26" s="1"/>
  <c r="W29" i="78"/>
  <c r="W29" i="26" s="1"/>
  <c r="AE29" i="78"/>
  <c r="AE29" i="26" s="1"/>
  <c r="AM29" i="78"/>
  <c r="AM29" i="26" s="1"/>
  <c r="AH29" i="78"/>
  <c r="AH29" i="26" s="1"/>
  <c r="AK29" i="78"/>
  <c r="AK29" i="26" s="1"/>
  <c r="T10" i="78"/>
  <c r="T10" i="26" s="1"/>
  <c r="R10" i="78"/>
  <c r="R10" i="26" s="1"/>
  <c r="AL10" i="78"/>
  <c r="AL10" i="26" s="1"/>
  <c r="Y8" i="17"/>
  <c r="P10" i="78"/>
  <c r="P10" i="26" s="1"/>
  <c r="L27" i="78"/>
  <c r="L27" i="26" s="1"/>
  <c r="U29" i="78"/>
  <c r="U29" i="26" s="1"/>
  <c r="AF10" i="78"/>
  <c r="AF10" i="26" s="1"/>
  <c r="AI8" i="17"/>
  <c r="S8" i="17"/>
  <c r="E3" i="78" a="1"/>
  <c r="BJ4" i="69" a="1"/>
  <c r="AA26" i="78"/>
  <c r="F26" i="78"/>
  <c r="AJ26" i="78"/>
  <c r="AM26" i="78"/>
  <c r="AB26" i="78"/>
  <c r="AL26" i="78"/>
  <c r="I26" i="78"/>
  <c r="O26" i="78"/>
  <c r="M26" i="78"/>
  <c r="L26" i="78"/>
  <c r="U26" i="78"/>
  <c r="V26" i="78"/>
  <c r="Z26" i="78"/>
  <c r="AI26" i="78"/>
  <c r="T26" i="78"/>
  <c r="X26" i="78"/>
  <c r="AD26" i="78"/>
  <c r="G26" i="78"/>
  <c r="K26" i="78"/>
  <c r="AF26" i="78"/>
  <c r="AK26" i="78"/>
  <c r="Y26" i="78"/>
  <c r="AH26" i="78"/>
  <c r="AN26" i="78"/>
  <c r="AG26" i="78"/>
  <c r="N26" i="78"/>
  <c r="J26" i="78"/>
  <c r="AE26" i="78"/>
  <c r="W26" i="78"/>
  <c r="S26" i="78"/>
  <c r="H26" i="78"/>
  <c r="Q26" i="78"/>
  <c r="AC26" i="78"/>
  <c r="R26" i="78"/>
  <c r="P26" i="78"/>
  <c r="AF30" i="78"/>
  <c r="AF30" i="26" s="1"/>
  <c r="K30" i="78"/>
  <c r="K30" i="26" s="1"/>
  <c r="M30" i="78"/>
  <c r="M30" i="26" s="1"/>
  <c r="Z30" i="78"/>
  <c r="Z30" i="26" s="1"/>
  <c r="O30" i="78"/>
  <c r="O30" i="26" s="1"/>
  <c r="P30" i="78"/>
  <c r="P30" i="26" s="1"/>
  <c r="R30" i="78"/>
  <c r="R30" i="26" s="1"/>
  <c r="AC30" i="78"/>
  <c r="G30" i="78"/>
  <c r="G30" i="26" s="1"/>
  <c r="U30" i="78"/>
  <c r="U30" i="26" s="1"/>
  <c r="AH30" i="78"/>
  <c r="AH30" i="26" s="1"/>
  <c r="AJ30" i="78"/>
  <c r="AJ30" i="26" s="1"/>
  <c r="W30" i="78"/>
  <c r="W30" i="26" s="1"/>
  <c r="AL30" i="78"/>
  <c r="AL30" i="26" s="1"/>
  <c r="AD30" i="78"/>
  <c r="AD30" i="26" s="1"/>
  <c r="AI30" i="78"/>
  <c r="AI30" i="26" s="1"/>
  <c r="S30" i="78"/>
  <c r="S30" i="26" s="1"/>
  <c r="BZ4" i="69" a="1"/>
  <c r="Q30" i="78"/>
  <c r="J30" i="78"/>
  <c r="J30" i="26" s="1"/>
  <c r="Y30" i="78"/>
  <c r="Y30" i="26" s="1"/>
  <c r="AB30" i="78"/>
  <c r="AB30" i="26" s="1"/>
  <c r="H30" i="78"/>
  <c r="H30" i="26" s="1"/>
  <c r="V30" i="78"/>
  <c r="V30" i="26" s="1"/>
  <c r="T30" i="78"/>
  <c r="T30" i="26" s="1"/>
  <c r="AK30" i="78"/>
  <c r="AK30" i="26" s="1"/>
  <c r="N30" i="78"/>
  <c r="N30" i="26" s="1"/>
  <c r="AN30" i="78"/>
  <c r="AN30" i="26" s="1"/>
  <c r="L30" i="78"/>
  <c r="L30" i="26" s="1"/>
  <c r="X30" i="78"/>
  <c r="X30" i="26" s="1"/>
  <c r="F30" i="78"/>
  <c r="F30" i="26" s="1"/>
  <c r="I30" i="78"/>
  <c r="I30" i="26" s="1"/>
  <c r="AE30" i="78"/>
  <c r="AE30" i="26" s="1"/>
  <c r="AG30" i="78"/>
  <c r="AG30" i="26" s="1"/>
  <c r="AA30" i="78"/>
  <c r="AA30" i="26" s="1"/>
  <c r="AM30" i="78"/>
  <c r="AM30" i="26" s="1"/>
  <c r="T24" i="84" l="1" a="1"/>
  <c r="T24" i="84" s="1"/>
  <c r="V24" i="85" a="1"/>
  <c r="V24" i="85" s="1"/>
  <c r="X24" i="85" a="1"/>
  <c r="X24" i="85" s="1"/>
  <c r="L24" i="84" a="1"/>
  <c r="L24" i="84" s="1"/>
  <c r="AI24" i="85" a="1"/>
  <c r="AI24" i="85" s="1"/>
  <c r="AF24" i="85" a="1"/>
  <c r="AF24" i="85" s="1"/>
  <c r="T24" i="85" s="1"/>
  <c r="X24" i="84" a="1"/>
  <c r="X24" i="84" s="1"/>
  <c r="R24" i="84" a="1"/>
  <c r="R24" i="84" s="1"/>
  <c r="AA24" i="85" a="1"/>
  <c r="AA24" i="85" s="1"/>
  <c r="AL24" i="85" a="1"/>
  <c r="AL24" i="85" s="1"/>
  <c r="Z24" i="85" a="1"/>
  <c r="Z24" i="85" s="1"/>
  <c r="AB24" i="85" a="1"/>
  <c r="AB24" i="85" s="1"/>
  <c r="W24" i="84" a="1"/>
  <c r="W24" i="84" s="1"/>
  <c r="AH24" i="85" a="1"/>
  <c r="AH24" i="85" s="1"/>
  <c r="AD24" i="85" a="1"/>
  <c r="AD24" i="85" s="1"/>
  <c r="R24" i="85" s="1"/>
  <c r="AJ24" i="85" a="1"/>
  <c r="AJ24" i="85" s="1"/>
  <c r="AM24" i="85" a="1"/>
  <c r="AM24" i="85" s="1"/>
  <c r="AE24" i="85" a="1"/>
  <c r="AE24" i="85" s="1"/>
  <c r="S24" i="85" s="1"/>
  <c r="W24" i="85" a="1"/>
  <c r="W24" i="85" s="1"/>
  <c r="AN24" i="85" a="1"/>
  <c r="AN24" i="85" s="1"/>
  <c r="V24" i="84" a="1"/>
  <c r="V24" i="84" s="1"/>
  <c r="J24" i="84" a="1"/>
  <c r="J24" i="84" s="1"/>
  <c r="S24" i="84" a="1"/>
  <c r="S24" i="84" s="1"/>
  <c r="K24" i="84" a="1"/>
  <c r="K24" i="84" s="1"/>
  <c r="AD23" i="85" a="1"/>
  <c r="AD23" i="85" s="1"/>
  <c r="R23" i="85" s="1"/>
  <c r="W23" i="85" a="1"/>
  <c r="W23" i="85" s="1"/>
  <c r="X23" i="85" a="1"/>
  <c r="X23" i="85" s="1"/>
  <c r="S23" i="84" a="1"/>
  <c r="S23" i="84" s="1"/>
  <c r="AF23" i="85" a="1"/>
  <c r="AF23" i="85" s="1"/>
  <c r="T23" i="85" s="1"/>
  <c r="AL23" i="85" a="1"/>
  <c r="AL23" i="85" s="1"/>
  <c r="R23" i="84" a="1"/>
  <c r="R23" i="84" s="1"/>
  <c r="V23" i="84" a="1"/>
  <c r="V23" i="84" s="1"/>
  <c r="L23" i="84" a="1"/>
  <c r="L23" i="84" s="1"/>
  <c r="AI23" i="85" a="1"/>
  <c r="AI23" i="85" s="1"/>
  <c r="AA23" i="85" a="1"/>
  <c r="AA23" i="85" s="1"/>
  <c r="T23" i="84" a="1"/>
  <c r="T23" i="84" s="1"/>
  <c r="AM23" i="85" a="1"/>
  <c r="AM23" i="85" s="1"/>
  <c r="AN23" i="85" a="1"/>
  <c r="AN23" i="85" s="1"/>
  <c r="J23" i="84" a="1"/>
  <c r="J23" i="84" s="1"/>
  <c r="K23" i="84" a="1"/>
  <c r="K23" i="84" s="1"/>
  <c r="W23" i="84" a="1"/>
  <c r="W23" i="84" s="1"/>
  <c r="AH23" i="85" a="1"/>
  <c r="AH23" i="85" s="1"/>
  <c r="X23" i="84" a="1"/>
  <c r="X23" i="84" s="1"/>
  <c r="Z23" i="85" a="1"/>
  <c r="Z23" i="85" s="1"/>
  <c r="AJ23" i="85" a="1"/>
  <c r="AJ23" i="85" s="1"/>
  <c r="V23" i="85" a="1"/>
  <c r="V23" i="85" s="1"/>
  <c r="AB23" i="85" a="1"/>
  <c r="AB23" i="85" s="1"/>
  <c r="AE23" i="85" a="1"/>
  <c r="AE23" i="85" s="1"/>
  <c r="S23" i="85" s="1"/>
  <c r="L21" i="84" a="1"/>
  <c r="L21" i="84" s="1"/>
  <c r="X21" i="84" a="1"/>
  <c r="X21" i="84" s="1"/>
  <c r="W21" i="85" a="1"/>
  <c r="W21" i="85" s="1"/>
  <c r="AL21" i="85" a="1"/>
  <c r="AL21" i="85" s="1"/>
  <c r="AB21" i="85" a="1"/>
  <c r="AB21" i="85" s="1"/>
  <c r="AJ21" i="85" a="1"/>
  <c r="AJ21" i="85" s="1"/>
  <c r="J21" i="84" a="1"/>
  <c r="J21" i="84" s="1"/>
  <c r="AI21" i="85" a="1"/>
  <c r="AI21" i="85" s="1"/>
  <c r="V21" i="85" a="1"/>
  <c r="V21" i="85" s="1"/>
  <c r="AA21" i="85" a="1"/>
  <c r="AA21" i="85" s="1"/>
  <c r="AE21" i="85" a="1"/>
  <c r="AE21" i="85" s="1"/>
  <c r="V21" i="84" a="1"/>
  <c r="V21" i="84" s="1"/>
  <c r="S21" i="84" a="1"/>
  <c r="S21" i="84" s="1"/>
  <c r="AM21" i="85" a="1"/>
  <c r="AM21" i="85" s="1"/>
  <c r="R21" i="84" a="1"/>
  <c r="R21" i="84" s="1"/>
  <c r="W21" i="84" a="1"/>
  <c r="W21" i="84" s="1"/>
  <c r="AH21" i="85" a="1"/>
  <c r="AH21" i="85" s="1"/>
  <c r="AN21" i="85" a="1"/>
  <c r="AN21" i="85" s="1"/>
  <c r="Z21" i="85" a="1"/>
  <c r="Z21" i="85" s="1"/>
  <c r="T21" i="84" a="1"/>
  <c r="T21" i="84" s="1"/>
  <c r="AF21" i="85" a="1"/>
  <c r="AF21" i="85" s="1"/>
  <c r="AD21" i="85" a="1"/>
  <c r="AD21" i="85" s="1"/>
  <c r="X21" i="85" a="1"/>
  <c r="X21" i="85" s="1"/>
  <c r="K21" i="84" a="1"/>
  <c r="K21" i="84" s="1"/>
  <c r="T25" i="84" a="1"/>
  <c r="T25" i="84" s="1"/>
  <c r="AJ25" i="85" a="1"/>
  <c r="AJ25" i="85" s="1"/>
  <c r="W25" i="84" a="1"/>
  <c r="W25" i="84" s="1"/>
  <c r="AA25" i="85" a="1"/>
  <c r="AA25" i="85" s="1"/>
  <c r="W25" i="85" a="1"/>
  <c r="W25" i="85" s="1"/>
  <c r="AI25" i="85" a="1"/>
  <c r="AI25" i="85" s="1"/>
  <c r="V25" i="84" a="1"/>
  <c r="V25" i="84" s="1"/>
  <c r="R25" i="84" a="1"/>
  <c r="R25" i="84" s="1"/>
  <c r="AL25" i="85" a="1"/>
  <c r="AL25" i="85" s="1"/>
  <c r="J25" i="84" a="1"/>
  <c r="J25" i="84" s="1"/>
  <c r="AD25" i="85" a="1"/>
  <c r="AD25" i="85" s="1"/>
  <c r="R25" i="85" s="1"/>
  <c r="Z25" i="85" a="1"/>
  <c r="Z25" i="85" s="1"/>
  <c r="AE25" i="85" a="1"/>
  <c r="AE25" i="85" s="1"/>
  <c r="S25" i="85" s="1"/>
  <c r="AN25" i="85" a="1"/>
  <c r="AN25" i="85" s="1"/>
  <c r="AF25" i="85" a="1"/>
  <c r="AF25" i="85" s="1"/>
  <c r="T25" i="85" s="1"/>
  <c r="X25" i="84" a="1"/>
  <c r="X25" i="84" s="1"/>
  <c r="AB25" i="85" a="1"/>
  <c r="AB25" i="85" s="1"/>
  <c r="V25" i="85" a="1"/>
  <c r="V25" i="85" s="1"/>
  <c r="AM25" i="85" a="1"/>
  <c r="AM25" i="85" s="1"/>
  <c r="K25" i="84" a="1"/>
  <c r="K25" i="84" s="1"/>
  <c r="X25" i="85" a="1"/>
  <c r="X25" i="85" s="1"/>
  <c r="S25" i="84" a="1"/>
  <c r="S25" i="84" s="1"/>
  <c r="AH25" i="85" a="1"/>
  <c r="AH25" i="85" s="1"/>
  <c r="L25" i="84" a="1"/>
  <c r="L25" i="84" s="1"/>
  <c r="E46" i="17" a="1"/>
  <c r="E46" i="17" s="1"/>
  <c r="E44" i="17" a="1"/>
  <c r="E44" i="17" s="1"/>
  <c r="AH7" i="98"/>
  <c r="AG7" i="98"/>
  <c r="AF7" i="98"/>
  <c r="F5" i="34"/>
  <c r="O7" i="34"/>
  <c r="G5" i="34"/>
  <c r="AH6" i="98"/>
  <c r="AG6" i="98"/>
  <c r="AF6" i="98"/>
  <c r="AR47" i="26" a="1"/>
  <c r="AR47" i="26" s="1"/>
  <c r="AQ47" i="26" a="1"/>
  <c r="AQ47" i="26" s="1"/>
  <c r="J36" i="34" a="1"/>
  <c r="J36" i="34" s="1"/>
  <c r="K36" i="34" a="1"/>
  <c r="K36" i="34" s="1"/>
  <c r="I36" i="34" a="1"/>
  <c r="I36" i="34" s="1"/>
  <c r="K35" i="34" a="1"/>
  <c r="K35" i="34" s="1"/>
  <c r="G35" i="34" s="1"/>
  <c r="J35" i="34" a="1"/>
  <c r="J35" i="34" s="1"/>
  <c r="F35" i="34" s="1"/>
  <c r="I35" i="34" a="1"/>
  <c r="I35" i="34" s="1"/>
  <c r="K6" i="34" a="1"/>
  <c r="K6" i="34" s="1"/>
  <c r="G6" i="34" s="1"/>
  <c r="J6" i="34" a="1"/>
  <c r="J6" i="34" s="1"/>
  <c r="F6" i="34" s="1"/>
  <c r="I6" i="34" a="1"/>
  <c r="I6" i="34" s="1"/>
  <c r="E6" i="34" s="1"/>
  <c r="T29" i="85"/>
  <c r="R29" i="85"/>
  <c r="S29" i="85"/>
  <c r="AC10" i="26"/>
  <c r="Q10" i="26"/>
  <c r="BN4" i="69" a="1"/>
  <c r="BV4" i="69"/>
  <c r="BR4" i="69"/>
  <c r="BJ4" i="69"/>
  <c r="BZ4" i="69"/>
  <c r="E3" i="78"/>
  <c r="E45" i="78"/>
  <c r="E47" i="78"/>
  <c r="E47" i="26" s="1"/>
  <c r="AP47" i="26" s="1" a="1"/>
  <c r="AP47" i="26" s="1"/>
  <c r="E42" i="78"/>
  <c r="E43" i="78"/>
  <c r="AC43" i="26"/>
  <c r="AC48" i="26"/>
  <c r="Q48" i="26"/>
  <c r="E29" i="78"/>
  <c r="E29" i="26" s="1"/>
  <c r="AH26" i="26"/>
  <c r="M26" i="26"/>
  <c r="G26" i="26"/>
  <c r="W26" i="26"/>
  <c r="O26" i="26"/>
  <c r="AD26" i="26"/>
  <c r="E26" i="78"/>
  <c r="Y26" i="26"/>
  <c r="Q30" i="26"/>
  <c r="AE26" i="26"/>
  <c r="S26" i="26"/>
  <c r="AA26" i="26"/>
  <c r="P26" i="26"/>
  <c r="X26" i="26"/>
  <c r="E28" i="78"/>
  <c r="AC30" i="26"/>
  <c r="AK26" i="26"/>
  <c r="I26" i="26"/>
  <c r="Q34" i="26"/>
  <c r="AC42" i="26"/>
  <c r="T26" i="26"/>
  <c r="E5" i="17"/>
  <c r="E7" i="78"/>
  <c r="E30" i="78"/>
  <c r="AF26" i="26"/>
  <c r="AM26" i="26"/>
  <c r="Q29" i="26"/>
  <c r="AC28" i="26"/>
  <c r="AL26" i="26"/>
  <c r="AB26" i="26"/>
  <c r="Z26" i="26"/>
  <c r="AC26" i="26"/>
  <c r="N26" i="26"/>
  <c r="K26" i="26"/>
  <c r="V26" i="26"/>
  <c r="AJ26" i="26"/>
  <c r="Q28" i="26"/>
  <c r="R26" i="26"/>
  <c r="AI26" i="26"/>
  <c r="AC29" i="26"/>
  <c r="J26" i="26"/>
  <c r="Q26" i="26"/>
  <c r="AG26" i="26"/>
  <c r="U26" i="26"/>
  <c r="H26" i="26"/>
  <c r="AN26" i="26"/>
  <c r="L26" i="26"/>
  <c r="F26" i="26"/>
  <c r="AG43" i="26"/>
  <c r="Q27" i="26"/>
  <c r="Q32" i="78"/>
  <c r="AC32" i="78"/>
  <c r="F32" i="78"/>
  <c r="F32" i="26" s="1"/>
  <c r="O32" i="78"/>
  <c r="O32" i="26" s="1"/>
  <c r="V32" i="78"/>
  <c r="V32" i="26" s="1"/>
  <c r="I32" i="78"/>
  <c r="I32" i="26" s="1"/>
  <c r="T32" i="78"/>
  <c r="T32" i="26" s="1"/>
  <c r="AG32" i="78"/>
  <c r="AG32" i="26" s="1"/>
  <c r="AK32" i="78"/>
  <c r="AK32" i="26" s="1"/>
  <c r="AF32" i="78"/>
  <c r="AF32" i="26" s="1"/>
  <c r="J32" i="78"/>
  <c r="J32" i="26" s="1"/>
  <c r="R32" i="78"/>
  <c r="R32" i="26" s="1"/>
  <c r="P32" i="78"/>
  <c r="P32" i="26" s="1"/>
  <c r="H32" i="78"/>
  <c r="H32" i="26" s="1"/>
  <c r="K32" i="78"/>
  <c r="K32" i="26" s="1"/>
  <c r="X32" i="78"/>
  <c r="X32" i="26" s="1"/>
  <c r="AL32" i="78"/>
  <c r="AL32" i="26" s="1"/>
  <c r="Y32" i="78"/>
  <c r="Y32" i="26" s="1"/>
  <c r="Z32" i="78"/>
  <c r="Z32" i="26" s="1"/>
  <c r="AH32" i="78"/>
  <c r="AH32" i="26" s="1"/>
  <c r="M32" i="78"/>
  <c r="M32" i="26" s="1"/>
  <c r="U32" i="78"/>
  <c r="U32" i="26" s="1"/>
  <c r="AI32" i="78"/>
  <c r="AI32" i="26" s="1"/>
  <c r="AM32" i="78"/>
  <c r="AM32" i="26" s="1"/>
  <c r="AB32" i="78"/>
  <c r="AB32" i="26" s="1"/>
  <c r="AN32" i="78"/>
  <c r="AN32" i="26" s="1"/>
  <c r="N32" i="78"/>
  <c r="N32" i="26" s="1"/>
  <c r="AA32" i="78"/>
  <c r="AA32" i="26" s="1"/>
  <c r="AD32" i="78"/>
  <c r="AD32" i="26" s="1"/>
  <c r="S32" i="78"/>
  <c r="S32" i="26" s="1"/>
  <c r="AE32" i="78"/>
  <c r="AE32" i="26" s="1"/>
  <c r="AJ32" i="78"/>
  <c r="AJ32" i="26" s="1"/>
  <c r="W32" i="78"/>
  <c r="W32" i="26" s="1"/>
  <c r="L32" i="78"/>
  <c r="L32" i="26" s="1"/>
  <c r="G32" i="78"/>
  <c r="G32" i="26" s="1"/>
  <c r="E27" i="78"/>
  <c r="AC12" i="78"/>
  <c r="Q12" i="78"/>
  <c r="AK12" i="78"/>
  <c r="AA12" i="78"/>
  <c r="AE12" i="78"/>
  <c r="J10" i="17"/>
  <c r="O10" i="17"/>
  <c r="X12" i="78"/>
  <c r="M12" i="78"/>
  <c r="N12" i="78"/>
  <c r="G10" i="17"/>
  <c r="AN12" i="78"/>
  <c r="AI10" i="17"/>
  <c r="AN10" i="17"/>
  <c r="AD12" i="78"/>
  <c r="AB12" i="78"/>
  <c r="AH12" i="78"/>
  <c r="AA10" i="17"/>
  <c r="J12" i="78"/>
  <c r="F10" i="17"/>
  <c r="Y12" i="78"/>
  <c r="F12" i="78"/>
  <c r="R10" i="17"/>
  <c r="S10" i="17"/>
  <c r="Q10" i="17"/>
  <c r="I10" i="17"/>
  <c r="K10" i="17"/>
  <c r="H10" i="17"/>
  <c r="H12" i="78"/>
  <c r="G12" i="78"/>
  <c r="L12" i="78"/>
  <c r="AH10" i="17"/>
  <c r="AG10" i="17"/>
  <c r="O12" i="78"/>
  <c r="AF10" i="17"/>
  <c r="L10" i="17"/>
  <c r="AJ12" i="78"/>
  <c r="N10" i="17"/>
  <c r="AM10" i="17"/>
  <c r="AD10" i="17"/>
  <c r="AG12" i="78"/>
  <c r="S12" i="78"/>
  <c r="AI12" i="78"/>
  <c r="Z10" i="17"/>
  <c r="Z12" i="78"/>
  <c r="V10" i="17"/>
  <c r="M10" i="17"/>
  <c r="P12" i="78"/>
  <c r="X10" i="17"/>
  <c r="AJ10" i="17"/>
  <c r="Y10" i="17"/>
  <c r="AC10" i="17"/>
  <c r="T10" i="17"/>
  <c r="U12" i="78"/>
  <c r="I12" i="78"/>
  <c r="R12" i="78"/>
  <c r="T12" i="78"/>
  <c r="V12" i="78"/>
  <c r="W12" i="78"/>
  <c r="AL12" i="78"/>
  <c r="P10" i="17"/>
  <c r="AE10" i="17"/>
  <c r="W10" i="17"/>
  <c r="AK10" i="17"/>
  <c r="AL10" i="17"/>
  <c r="K12" i="78"/>
  <c r="AF12" i="78"/>
  <c r="AM12" i="78"/>
  <c r="AB10" i="17"/>
  <c r="U10" i="17"/>
  <c r="Q43" i="26"/>
  <c r="CL4" i="69" a="1"/>
  <c r="Q33" i="78"/>
  <c r="AC33" i="78"/>
  <c r="T33" i="78"/>
  <c r="T33" i="26" s="1"/>
  <c r="AD33" i="78"/>
  <c r="AD33" i="26" s="1"/>
  <c r="AN33" i="78"/>
  <c r="AN33" i="26" s="1"/>
  <c r="L33" i="78"/>
  <c r="L33" i="26" s="1"/>
  <c r="X33" i="78"/>
  <c r="X33" i="26" s="1"/>
  <c r="AK33" i="78"/>
  <c r="AK33" i="26" s="1"/>
  <c r="H33" i="78"/>
  <c r="H33" i="26" s="1"/>
  <c r="AE33" i="78"/>
  <c r="AE33" i="26" s="1"/>
  <c r="AJ33" i="78"/>
  <c r="AJ33" i="26" s="1"/>
  <c r="AA33" i="78"/>
  <c r="AA33" i="26" s="1"/>
  <c r="G33" i="78"/>
  <c r="G33" i="26" s="1"/>
  <c r="U33" i="78"/>
  <c r="U33" i="26" s="1"/>
  <c r="W33" i="78"/>
  <c r="W33" i="26" s="1"/>
  <c r="N33" i="78"/>
  <c r="N33" i="26" s="1"/>
  <c r="AM33" i="78"/>
  <c r="AM33" i="26" s="1"/>
  <c r="AG33" i="78"/>
  <c r="AG33" i="26" s="1"/>
  <c r="P33" i="78"/>
  <c r="P33" i="26" s="1"/>
  <c r="J33" i="78"/>
  <c r="J33" i="26" s="1"/>
  <c r="I33" i="78"/>
  <c r="I33" i="26" s="1"/>
  <c r="AI33" i="78"/>
  <c r="AI33" i="26" s="1"/>
  <c r="Z33" i="78"/>
  <c r="Z33" i="26" s="1"/>
  <c r="R33" i="78"/>
  <c r="R33" i="26" s="1"/>
  <c r="AL33" i="78"/>
  <c r="AL33" i="26" s="1"/>
  <c r="AB33" i="78"/>
  <c r="AB33" i="26" s="1"/>
  <c r="Y33" i="78"/>
  <c r="Y33" i="26" s="1"/>
  <c r="K33" i="78"/>
  <c r="K33" i="26" s="1"/>
  <c r="AH33" i="78"/>
  <c r="AH33" i="26" s="1"/>
  <c r="F33" i="78"/>
  <c r="F33" i="26" s="1"/>
  <c r="V33" i="78"/>
  <c r="V33" i="26" s="1"/>
  <c r="AF33" i="78"/>
  <c r="AF33" i="26" s="1"/>
  <c r="O33" i="78"/>
  <c r="O33" i="26" s="1"/>
  <c r="S33" i="78"/>
  <c r="S33" i="26" s="1"/>
  <c r="M33" i="78"/>
  <c r="M33" i="26" s="1"/>
  <c r="E34" i="78"/>
  <c r="AC27" i="26"/>
  <c r="Q31" i="26"/>
  <c r="E31" i="78"/>
  <c r="Q42" i="26"/>
  <c r="AC34" i="26"/>
  <c r="AC31" i="26"/>
  <c r="T22" i="84" l="1" a="1"/>
  <c r="T22" i="84" s="1"/>
  <c r="T16" i="84" s="1"/>
  <c r="AF22" i="85" a="1"/>
  <c r="AF22" i="85" s="1"/>
  <c r="AF16" i="85" s="1"/>
  <c r="X22" i="85" a="1"/>
  <c r="X22" i="85" s="1"/>
  <c r="X16" i="85" s="1"/>
  <c r="W22" i="84" a="1"/>
  <c r="W22" i="84" s="1"/>
  <c r="W16" i="84" s="1"/>
  <c r="J22" i="84" a="1"/>
  <c r="J22" i="84" s="1"/>
  <c r="J16" i="84" s="1"/>
  <c r="AH22" i="85" a="1"/>
  <c r="AH22" i="85" s="1"/>
  <c r="AH16" i="85" s="1"/>
  <c r="S22" i="84" a="1"/>
  <c r="S22" i="84" s="1"/>
  <c r="S16" i="84" s="1"/>
  <c r="X22" i="84" a="1"/>
  <c r="X22" i="84" s="1"/>
  <c r="X16" i="84" s="1"/>
  <c r="AA22" i="85" a="1"/>
  <c r="AA22" i="85" s="1"/>
  <c r="AA16" i="85" s="1"/>
  <c r="AD22" i="85" a="1"/>
  <c r="AD22" i="85" s="1"/>
  <c r="AD16" i="85" s="1"/>
  <c r="AB22" i="85" a="1"/>
  <c r="AB22" i="85" s="1"/>
  <c r="AB16" i="85" s="1"/>
  <c r="AM22" i="85" a="1"/>
  <c r="AM22" i="85" s="1"/>
  <c r="AM16" i="85" s="1"/>
  <c r="AE22" i="85" a="1"/>
  <c r="AE22" i="85" s="1"/>
  <c r="AE16" i="85" s="1"/>
  <c r="W22" i="85" a="1"/>
  <c r="W22" i="85" s="1"/>
  <c r="W16" i="85" s="1"/>
  <c r="V22" i="84" a="1"/>
  <c r="V22" i="84" s="1"/>
  <c r="V16" i="84" s="1"/>
  <c r="AJ22" i="85" a="1"/>
  <c r="AJ22" i="85" s="1"/>
  <c r="AJ16" i="85" s="1"/>
  <c r="V22" i="85" a="1"/>
  <c r="V22" i="85" s="1"/>
  <c r="V16" i="85" s="1"/>
  <c r="R22" i="84" a="1"/>
  <c r="R22" i="84" s="1"/>
  <c r="R16" i="84" s="1"/>
  <c r="Z22" i="85" a="1"/>
  <c r="Z22" i="85" s="1"/>
  <c r="Z16" i="85" s="1"/>
  <c r="AI22" i="85" a="1"/>
  <c r="AI22" i="85" s="1"/>
  <c r="AI16" i="85" s="1"/>
  <c r="L22" i="84" a="1"/>
  <c r="L22" i="84" s="1"/>
  <c r="L16" i="84" s="1"/>
  <c r="K22" i="84" a="1"/>
  <c r="K22" i="84" s="1"/>
  <c r="K16" i="84" s="1"/>
  <c r="AN22" i="85" a="1"/>
  <c r="AN22" i="85" s="1"/>
  <c r="AN16" i="85" s="1"/>
  <c r="AL22" i="85" a="1"/>
  <c r="AL22" i="85" s="1"/>
  <c r="AL16" i="85" s="1"/>
  <c r="P24" i="84" a="1"/>
  <c r="P24" i="84" s="1"/>
  <c r="H24" i="84" s="1"/>
  <c r="O24" i="34" s="1"/>
  <c r="N24" i="84" a="1"/>
  <c r="N24" i="84" s="1"/>
  <c r="F24" i="84" s="1"/>
  <c r="M24" i="34" s="1"/>
  <c r="O24" i="84" a="1"/>
  <c r="O24" i="84" s="1"/>
  <c r="G24" i="84" s="1"/>
  <c r="N24" i="34" s="1"/>
  <c r="N23" i="84" a="1"/>
  <c r="N23" i="84" s="1"/>
  <c r="F23" i="84" s="1"/>
  <c r="M23" i="34" s="1"/>
  <c r="P23" i="84" a="1"/>
  <c r="P23" i="84" s="1"/>
  <c r="H23" i="84" s="1"/>
  <c r="O23" i="34" s="1"/>
  <c r="O23" i="84" a="1"/>
  <c r="O23" i="84" s="1"/>
  <c r="G23" i="84" s="1"/>
  <c r="N23" i="34" s="1"/>
  <c r="N21" i="84" a="1"/>
  <c r="N21" i="84" s="1"/>
  <c r="P21" i="84" a="1"/>
  <c r="P21" i="84" s="1"/>
  <c r="H21" i="84" s="1"/>
  <c r="O21" i="84" a="1"/>
  <c r="O21" i="84" s="1"/>
  <c r="G21" i="84" s="1"/>
  <c r="P25" i="84" a="1"/>
  <c r="P25" i="84" s="1"/>
  <c r="H25" i="84" s="1"/>
  <c r="O25" i="34" s="1"/>
  <c r="O25" i="84" a="1"/>
  <c r="O25" i="84" s="1"/>
  <c r="G25" i="84" s="1"/>
  <c r="N25" i="34" s="1"/>
  <c r="N25" i="84" a="1"/>
  <c r="N25" i="84" s="1"/>
  <c r="F25" i="84" s="1"/>
  <c r="M25" i="34" s="1"/>
  <c r="AB28" i="85" a="1"/>
  <c r="AB28" i="85" s="1"/>
  <c r="W28" i="84" a="1"/>
  <c r="W28" i="84" s="1"/>
  <c r="AD28" i="85" a="1"/>
  <c r="AD28" i="85" s="1"/>
  <c r="R28" i="85" s="1"/>
  <c r="AI28" i="85" a="1"/>
  <c r="AI28" i="85" s="1"/>
  <c r="AA28" i="85" a="1"/>
  <c r="AA28" i="85" s="1"/>
  <c r="AM28" i="85" a="1"/>
  <c r="AM28" i="85" s="1"/>
  <c r="T28" i="84" a="1"/>
  <c r="T28" i="84" s="1"/>
  <c r="AE28" i="85" a="1"/>
  <c r="AE28" i="85" s="1"/>
  <c r="S28" i="85" s="1"/>
  <c r="AJ28" i="85" a="1"/>
  <c r="AJ28" i="85" s="1"/>
  <c r="V28" i="85" a="1"/>
  <c r="V28" i="85" s="1"/>
  <c r="AF28" i="85" a="1"/>
  <c r="AF28" i="85" s="1"/>
  <c r="T28" i="85" s="1"/>
  <c r="AN28" i="85" a="1"/>
  <c r="AN28" i="85" s="1"/>
  <c r="X28" i="85" a="1"/>
  <c r="X28" i="85" s="1"/>
  <c r="Z28" i="85" a="1"/>
  <c r="Z28" i="85" s="1"/>
  <c r="K28" i="84" a="1"/>
  <c r="K28" i="84" s="1"/>
  <c r="R28" i="84" a="1"/>
  <c r="R28" i="84" s="1"/>
  <c r="AL28" i="85" a="1"/>
  <c r="AL28" i="85" s="1"/>
  <c r="J28" i="84" a="1"/>
  <c r="J28" i="84" s="1"/>
  <c r="AH28" i="85" a="1"/>
  <c r="AH28" i="85" s="1"/>
  <c r="W28" i="85" a="1"/>
  <c r="W28" i="85" s="1"/>
  <c r="L28" i="84" a="1"/>
  <c r="L28" i="84" s="1"/>
  <c r="X28" i="84" a="1"/>
  <c r="X28" i="84" s="1"/>
  <c r="S28" i="84" a="1"/>
  <c r="S28" i="84" s="1"/>
  <c r="V28" i="84" a="1"/>
  <c r="V28" i="84" s="1"/>
  <c r="J24" i="85"/>
  <c r="AH12" i="98"/>
  <c r="AG12" i="98"/>
  <c r="AF12" i="98"/>
  <c r="E35" i="34"/>
  <c r="U10" i="98"/>
  <c r="AE7" i="98"/>
  <c r="AI7" i="98" s="1"/>
  <c r="U9" i="98"/>
  <c r="AH10" i="98"/>
  <c r="AG10" i="98"/>
  <c r="AG17" i="98" s="1"/>
  <c r="AF10" i="98"/>
  <c r="AF17" i="98" s="1"/>
  <c r="AE12" i="98"/>
  <c r="AI12" i="98" s="1"/>
  <c r="U15" i="98"/>
  <c r="AA15" i="98" s="1"/>
  <c r="N29" i="85"/>
  <c r="E50" i="17" a="1"/>
  <c r="O29" i="85"/>
  <c r="L25" i="85"/>
  <c r="L23" i="85"/>
  <c r="O23" i="85"/>
  <c r="K29" i="85"/>
  <c r="K41" i="34" a="1"/>
  <c r="K41" i="34" s="1"/>
  <c r="G41" i="34" s="1"/>
  <c r="J41" i="34" a="1"/>
  <c r="J41" i="34" s="1"/>
  <c r="F41" i="34" s="1"/>
  <c r="I41" i="34" a="1"/>
  <c r="I41" i="34" s="1"/>
  <c r="E41" i="34" s="1"/>
  <c r="J39" i="34" a="1"/>
  <c r="J39" i="34" s="1"/>
  <c r="F39" i="34" s="1"/>
  <c r="K39" i="34" a="1"/>
  <c r="K39" i="34" s="1"/>
  <c r="G39" i="34" s="1"/>
  <c r="AR43" i="26" a="1"/>
  <c r="AR43" i="26" s="1"/>
  <c r="P23" i="85"/>
  <c r="J29" i="85"/>
  <c r="J23" i="85"/>
  <c r="P21" i="85"/>
  <c r="T21" i="85"/>
  <c r="J21" i="85"/>
  <c r="K21" i="85"/>
  <c r="L21" i="85"/>
  <c r="N21" i="85"/>
  <c r="R21" i="85"/>
  <c r="O21" i="85"/>
  <c r="S21" i="85"/>
  <c r="L24" i="85"/>
  <c r="K24" i="85"/>
  <c r="N24" i="85"/>
  <c r="P29" i="85"/>
  <c r="L29" i="85"/>
  <c r="K23" i="85"/>
  <c r="N23" i="85"/>
  <c r="J25" i="85"/>
  <c r="N25" i="85"/>
  <c r="O25" i="85"/>
  <c r="P25" i="85"/>
  <c r="K25" i="85"/>
  <c r="AR26" i="26" a="1"/>
  <c r="AR26" i="26" s="1"/>
  <c r="P24" i="85"/>
  <c r="AQ26" i="26" a="1"/>
  <c r="AQ26" i="26" s="1"/>
  <c r="O24" i="85"/>
  <c r="T26" i="85"/>
  <c r="S26" i="85"/>
  <c r="R26" i="85"/>
  <c r="F29" i="84"/>
  <c r="M29" i="34" s="1"/>
  <c r="G29" i="84"/>
  <c r="N29" i="34" s="1"/>
  <c r="H29" i="84"/>
  <c r="O29" i="34" s="1"/>
  <c r="AP10" i="26" a="1"/>
  <c r="AP10" i="26" s="1"/>
  <c r="AR10" i="26" a="1"/>
  <c r="AR10" i="26" s="1"/>
  <c r="AQ10" i="26" a="1"/>
  <c r="AQ10" i="26" s="1"/>
  <c r="AR48" i="26" a="1"/>
  <c r="AR48" i="26" s="1"/>
  <c r="AQ48" i="26" a="1"/>
  <c r="AQ48" i="26" s="1"/>
  <c r="AP29" i="26" a="1"/>
  <c r="AP29" i="26" s="1"/>
  <c r="AQ30" i="26" a="1"/>
  <c r="AQ30" i="26" s="1"/>
  <c r="AR30" i="26" a="1"/>
  <c r="AR30" i="26" s="1"/>
  <c r="AQ34" i="26" a="1"/>
  <c r="AQ34" i="26" s="1"/>
  <c r="AR42" i="26" a="1"/>
  <c r="AR42" i="26" s="1"/>
  <c r="AQ29" i="26" a="1"/>
  <c r="AQ29" i="26" s="1"/>
  <c r="AR28" i="26" a="1"/>
  <c r="AR28" i="26" s="1"/>
  <c r="AQ28" i="26" a="1"/>
  <c r="AQ28" i="26" s="1"/>
  <c r="AR29" i="26" a="1"/>
  <c r="AR29" i="26" s="1"/>
  <c r="AQ27" i="26" a="1"/>
  <c r="AQ27" i="26" s="1"/>
  <c r="AQ43" i="26" a="1"/>
  <c r="AQ43" i="26" s="1"/>
  <c r="AR27" i="26" a="1"/>
  <c r="AR27" i="26" s="1"/>
  <c r="AQ31" i="26" a="1"/>
  <c r="AQ31" i="26" s="1"/>
  <c r="AQ42" i="26" a="1"/>
  <c r="AQ42" i="26" s="1"/>
  <c r="AR34" i="26" a="1"/>
  <c r="AR34" i="26" s="1"/>
  <c r="AR31" i="26" a="1"/>
  <c r="AR31" i="26" s="1"/>
  <c r="EH4" i="69" a="1"/>
  <c r="BN4" i="69"/>
  <c r="G7" i="34"/>
  <c r="F7" i="34"/>
  <c r="CL4" i="69"/>
  <c r="AG44" i="78"/>
  <c r="AG44" i="26" s="1"/>
  <c r="G44" i="78"/>
  <c r="G44" i="26" s="1"/>
  <c r="AJ44" i="78"/>
  <c r="AJ44" i="26" s="1"/>
  <c r="AE44" i="78"/>
  <c r="AE44" i="26" s="1"/>
  <c r="Z44" i="78"/>
  <c r="Z44" i="26" s="1"/>
  <c r="U44" i="78"/>
  <c r="U44" i="26" s="1"/>
  <c r="P44" i="78"/>
  <c r="P44" i="26" s="1"/>
  <c r="K44" i="78"/>
  <c r="K44" i="26" s="1"/>
  <c r="AL44" i="78"/>
  <c r="AL44" i="26" s="1"/>
  <c r="AB44" i="78"/>
  <c r="AB44" i="26" s="1"/>
  <c r="W44" i="78"/>
  <c r="W44" i="26" s="1"/>
  <c r="R44" i="78"/>
  <c r="R44" i="26" s="1"/>
  <c r="M44" i="78"/>
  <c r="M44" i="26" s="1"/>
  <c r="H44" i="78"/>
  <c r="H44" i="26" s="1"/>
  <c r="F44" i="78"/>
  <c r="F44" i="26" s="1"/>
  <c r="AM44" i="78"/>
  <c r="AM44" i="26" s="1"/>
  <c r="AH44" i="78"/>
  <c r="AH44" i="26" s="1"/>
  <c r="AC44" i="78"/>
  <c r="AN44" i="78"/>
  <c r="AN44" i="26" s="1"/>
  <c r="AI44" i="78"/>
  <c r="AI44" i="26" s="1"/>
  <c r="AD44" i="78"/>
  <c r="AD44" i="26" s="1"/>
  <c r="X44" i="78"/>
  <c r="X44" i="26" s="1"/>
  <c r="S44" i="78"/>
  <c r="S44" i="26" s="1"/>
  <c r="N44" i="78"/>
  <c r="N44" i="26" s="1"/>
  <c r="I44" i="78"/>
  <c r="I44" i="26" s="1"/>
  <c r="Y44" i="78"/>
  <c r="Y44" i="26" s="1"/>
  <c r="T44" i="78"/>
  <c r="T44" i="26" s="1"/>
  <c r="O44" i="78"/>
  <c r="O44" i="26" s="1"/>
  <c r="J44" i="78"/>
  <c r="J44" i="26" s="1"/>
  <c r="AK44" i="78"/>
  <c r="AK44" i="26" s="1"/>
  <c r="AF44" i="78"/>
  <c r="AF44" i="26" s="1"/>
  <c r="AA44" i="78"/>
  <c r="AA44" i="26" s="1"/>
  <c r="V44" i="78"/>
  <c r="V44" i="26" s="1"/>
  <c r="Q44" i="78"/>
  <c r="L44" i="78"/>
  <c r="L44" i="26" s="1"/>
  <c r="AN46" i="78"/>
  <c r="AN46" i="26" s="1"/>
  <c r="AH46" i="78"/>
  <c r="AH46" i="26" s="1"/>
  <c r="AC46" i="78"/>
  <c r="X46" i="78"/>
  <c r="X46" i="26" s="1"/>
  <c r="S46" i="78"/>
  <c r="S46" i="26" s="1"/>
  <c r="N46" i="78"/>
  <c r="N46" i="26" s="1"/>
  <c r="I46" i="78"/>
  <c r="I46" i="26" s="1"/>
  <c r="AL46" i="78"/>
  <c r="AL46" i="26" s="1"/>
  <c r="AF46" i="78"/>
  <c r="AF46" i="26" s="1"/>
  <c r="AA46" i="78"/>
  <c r="AA46" i="26" s="1"/>
  <c r="V46" i="78"/>
  <c r="V46" i="26" s="1"/>
  <c r="Q46" i="78"/>
  <c r="L46" i="78"/>
  <c r="L46" i="26" s="1"/>
  <c r="G46" i="78"/>
  <c r="G46" i="26" s="1"/>
  <c r="AK46" i="78"/>
  <c r="AK46" i="26" s="1"/>
  <c r="AG46" i="78"/>
  <c r="AG46" i="26" s="1"/>
  <c r="AB46" i="78"/>
  <c r="AB46" i="26" s="1"/>
  <c r="W46" i="78"/>
  <c r="W46" i="26" s="1"/>
  <c r="R46" i="78"/>
  <c r="R46" i="26" s="1"/>
  <c r="M46" i="78"/>
  <c r="M46" i="26" s="1"/>
  <c r="H46" i="78"/>
  <c r="H46" i="26" s="1"/>
  <c r="AJ46" i="78"/>
  <c r="AJ46" i="26" s="1"/>
  <c r="AE46" i="78"/>
  <c r="AE46" i="26" s="1"/>
  <c r="Z46" i="78"/>
  <c r="Z46" i="26" s="1"/>
  <c r="AM46" i="78"/>
  <c r="AM46" i="26" s="1"/>
  <c r="AI46" i="78"/>
  <c r="AI46" i="26" s="1"/>
  <c r="AD46" i="78"/>
  <c r="AD46" i="26" s="1"/>
  <c r="Y46" i="78"/>
  <c r="Y46" i="26" s="1"/>
  <c r="O46" i="78"/>
  <c r="O46" i="26" s="1"/>
  <c r="J46" i="78"/>
  <c r="J46" i="26" s="1"/>
  <c r="U46" i="78"/>
  <c r="U46" i="26" s="1"/>
  <c r="P46" i="78"/>
  <c r="P46" i="26" s="1"/>
  <c r="K46" i="78"/>
  <c r="K46" i="26" s="1"/>
  <c r="F46" i="78"/>
  <c r="F46" i="26" s="1"/>
  <c r="T46" i="78"/>
  <c r="T46" i="26" s="1"/>
  <c r="E48" i="26"/>
  <c r="I45" i="26"/>
  <c r="H45" i="26"/>
  <c r="AI45" i="26"/>
  <c r="F45" i="26"/>
  <c r="V45" i="26"/>
  <c r="AL45" i="26"/>
  <c r="AA45" i="26"/>
  <c r="AJ45" i="26"/>
  <c r="AB45" i="26"/>
  <c r="Z45" i="26"/>
  <c r="Y45" i="26"/>
  <c r="AM45" i="26"/>
  <c r="S45" i="26"/>
  <c r="P45" i="26"/>
  <c r="L45" i="26"/>
  <c r="W45" i="26"/>
  <c r="J45" i="26"/>
  <c r="M45" i="26"/>
  <c r="X45" i="26"/>
  <c r="AG45" i="26"/>
  <c r="O45" i="26"/>
  <c r="AH45" i="26"/>
  <c r="U45" i="26"/>
  <c r="AE45" i="26"/>
  <c r="AD45" i="26"/>
  <c r="G45" i="26"/>
  <c r="N45" i="26"/>
  <c r="R45" i="26"/>
  <c r="AF45" i="26"/>
  <c r="K45" i="26"/>
  <c r="AK45" i="26"/>
  <c r="AN45" i="26"/>
  <c r="T45" i="26"/>
  <c r="E31" i="26"/>
  <c r="E42" i="26"/>
  <c r="AK23" i="78"/>
  <c r="V23" i="78"/>
  <c r="P23" i="78"/>
  <c r="L23" i="78"/>
  <c r="AL23" i="78"/>
  <c r="AB23" i="78"/>
  <c r="AA23" i="78"/>
  <c r="J23" i="78"/>
  <c r="O23" i="78"/>
  <c r="S23" i="78"/>
  <c r="AJ23" i="78"/>
  <c r="AE23" i="78"/>
  <c r="AD23" i="78"/>
  <c r="W23" i="78"/>
  <c r="AC23" i="78"/>
  <c r="R23" i="78"/>
  <c r="Q23" i="78"/>
  <c r="AG23" i="78"/>
  <c r="AM23" i="78"/>
  <c r="AN23" i="78"/>
  <c r="Z23" i="78"/>
  <c r="T23" i="78"/>
  <c r="F23" i="78"/>
  <c r="M23" i="78"/>
  <c r="I23" i="78"/>
  <c r="N23" i="78"/>
  <c r="AI23" i="78"/>
  <c r="G23" i="78"/>
  <c r="AF23" i="78"/>
  <c r="U23" i="78"/>
  <c r="K23" i="78"/>
  <c r="X23" i="78"/>
  <c r="H23" i="78"/>
  <c r="Y23" i="78"/>
  <c r="AH23" i="78"/>
  <c r="E26" i="26"/>
  <c r="Q32" i="26"/>
  <c r="X40" i="78"/>
  <c r="O40" i="78"/>
  <c r="S40" i="78"/>
  <c r="AI40" i="78"/>
  <c r="AH40" i="78"/>
  <c r="AK40" i="78"/>
  <c r="J40" i="78"/>
  <c r="AA40" i="78"/>
  <c r="F40" i="78"/>
  <c r="AM40" i="78"/>
  <c r="AB40" i="78"/>
  <c r="R40" i="78"/>
  <c r="Z40" i="78"/>
  <c r="W40" i="78"/>
  <c r="N40" i="78"/>
  <c r="L40" i="78"/>
  <c r="U40" i="78"/>
  <c r="V40" i="78"/>
  <c r="AD40" i="78"/>
  <c r="T40" i="78"/>
  <c r="G40" i="78"/>
  <c r="I40" i="78"/>
  <c r="K40" i="78"/>
  <c r="AF40" i="78"/>
  <c r="Y40" i="78"/>
  <c r="AJ40" i="78"/>
  <c r="H40" i="78"/>
  <c r="AG40" i="78"/>
  <c r="P40" i="78"/>
  <c r="AE40" i="78"/>
  <c r="AL40" i="78"/>
  <c r="AC40" i="78"/>
  <c r="Q40" i="78"/>
  <c r="AN40" i="78"/>
  <c r="M40" i="78"/>
  <c r="E28" i="26"/>
  <c r="Q33" i="26"/>
  <c r="AC32" i="26"/>
  <c r="E43" i="26"/>
  <c r="E27" i="26"/>
  <c r="E30" i="26"/>
  <c r="E32" i="78"/>
  <c r="E33" i="78"/>
  <c r="AC33" i="26"/>
  <c r="E10" i="17"/>
  <c r="E12" i="78"/>
  <c r="O21" i="34" l="1"/>
  <c r="N21" i="34"/>
  <c r="F24" i="85"/>
  <c r="Q24" i="34" s="1"/>
  <c r="AI36" i="85" a="1"/>
  <c r="AI36" i="85" s="1"/>
  <c r="K36" i="84" a="1"/>
  <c r="K36" i="84" s="1"/>
  <c r="R36" i="84" a="1"/>
  <c r="R36" i="84" s="1"/>
  <c r="AB36" i="85" a="1"/>
  <c r="AB36" i="85" s="1"/>
  <c r="AD36" i="85" a="1"/>
  <c r="AD36" i="85" s="1"/>
  <c r="AJ36" i="85" a="1"/>
  <c r="AJ36" i="85" s="1"/>
  <c r="AA36" i="85" a="1"/>
  <c r="AA36" i="85" s="1"/>
  <c r="V36" i="85" a="1"/>
  <c r="V36" i="85" s="1"/>
  <c r="AF36" i="85" a="1"/>
  <c r="AF36" i="85" s="1"/>
  <c r="W36" i="85" a="1"/>
  <c r="W36" i="85" s="1"/>
  <c r="W36" i="84" a="1"/>
  <c r="W36" i="84" s="1"/>
  <c r="L36" i="84" a="1"/>
  <c r="L36" i="84" s="1"/>
  <c r="AN36" i="85" a="1"/>
  <c r="AN36" i="85" s="1"/>
  <c r="AE36" i="85" a="1"/>
  <c r="AE36" i="85" s="1"/>
  <c r="J36" i="84" a="1"/>
  <c r="J36" i="84" s="1"/>
  <c r="S36" i="84" a="1"/>
  <c r="S36" i="84" s="1"/>
  <c r="AH36" i="85" a="1"/>
  <c r="AH36" i="85" s="1"/>
  <c r="AL36" i="85" a="1"/>
  <c r="AL36" i="85" s="1"/>
  <c r="T36" i="84" a="1"/>
  <c r="T36" i="84" s="1"/>
  <c r="AM36" i="85" a="1"/>
  <c r="AM36" i="85" s="1"/>
  <c r="X36" i="85" a="1"/>
  <c r="X36" i="85" s="1"/>
  <c r="V36" i="84" a="1"/>
  <c r="V36" i="84" s="1"/>
  <c r="Z36" i="85" a="1"/>
  <c r="Z36" i="85" s="1"/>
  <c r="X36" i="84" a="1"/>
  <c r="X36" i="84" s="1"/>
  <c r="N22" i="84" a="1"/>
  <c r="N22" i="84" s="1"/>
  <c r="N16" i="84" s="1"/>
  <c r="P22" i="84" a="1"/>
  <c r="P22" i="84" s="1"/>
  <c r="P16" i="84" s="1"/>
  <c r="O22" i="84" a="1"/>
  <c r="O22" i="84" s="1"/>
  <c r="O16" i="84" s="1"/>
  <c r="N28" i="84" a="1"/>
  <c r="N28" i="84" s="1"/>
  <c r="F28" i="84" s="1"/>
  <c r="M28" i="34" s="1"/>
  <c r="P28" i="84" a="1"/>
  <c r="P28" i="84" s="1"/>
  <c r="H28" i="84" s="1"/>
  <c r="O28" i="34" s="1"/>
  <c r="O28" i="84" a="1"/>
  <c r="O28" i="84" s="1"/>
  <c r="G28" i="84" s="1"/>
  <c r="N28" i="34" s="1"/>
  <c r="AH17" i="98"/>
  <c r="I39" i="34" a="1"/>
  <c r="I39" i="34" s="1"/>
  <c r="E39" i="34" s="1"/>
  <c r="G29" i="85"/>
  <c r="R29" i="34" s="1"/>
  <c r="F29" i="34" s="1"/>
  <c r="F29" i="85"/>
  <c r="Q29" i="34" s="1"/>
  <c r="E29" i="34" s="1"/>
  <c r="AE10" i="98"/>
  <c r="AI10" i="98" s="1"/>
  <c r="U13" i="98"/>
  <c r="AA9" i="98"/>
  <c r="AI6" i="98"/>
  <c r="AN49" i="73"/>
  <c r="AM49" i="73"/>
  <c r="AK49" i="73"/>
  <c r="AJ49" i="73"/>
  <c r="AI49" i="73"/>
  <c r="AH49" i="73"/>
  <c r="AG49" i="73"/>
  <c r="AE49" i="73"/>
  <c r="AC49" i="73"/>
  <c r="AA49" i="73"/>
  <c r="Y49" i="73"/>
  <c r="W49" i="73"/>
  <c r="T49" i="73"/>
  <c r="S49" i="73"/>
  <c r="Q49" i="73"/>
  <c r="O49" i="73"/>
  <c r="M49" i="73"/>
  <c r="K49" i="73"/>
  <c r="I49" i="73"/>
  <c r="G49" i="73"/>
  <c r="AL49" i="73"/>
  <c r="AF49" i="73"/>
  <c r="AD49" i="73"/>
  <c r="AB49" i="73"/>
  <c r="Z49" i="73"/>
  <c r="X49" i="73"/>
  <c r="V49" i="73"/>
  <c r="U49" i="73"/>
  <c r="R49" i="73"/>
  <c r="P49" i="73"/>
  <c r="N49" i="73"/>
  <c r="L49" i="73"/>
  <c r="J49" i="73"/>
  <c r="H49" i="73"/>
  <c r="F49" i="7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AL49" i="24"/>
  <c r="AI49" i="24"/>
  <c r="AG49" i="24"/>
  <c r="AE49" i="24"/>
  <c r="AC49" i="24"/>
  <c r="AA49" i="24"/>
  <c r="Z49" i="24"/>
  <c r="X49" i="24"/>
  <c r="V49" i="24"/>
  <c r="T49" i="24"/>
  <c r="R49" i="24"/>
  <c r="P49" i="24"/>
  <c r="L49" i="24"/>
  <c r="J49" i="24"/>
  <c r="I49" i="24"/>
  <c r="G49" i="24"/>
  <c r="AM49" i="19"/>
  <c r="AJ49" i="19"/>
  <c r="AH49" i="19"/>
  <c r="AF49" i="19"/>
  <c r="AD49" i="19"/>
  <c r="AA49" i="19"/>
  <c r="Y49" i="19"/>
  <c r="X49" i="19"/>
  <c r="V49" i="19"/>
  <c r="T49" i="19"/>
  <c r="R49" i="19"/>
  <c r="P49" i="19"/>
  <c r="O49" i="19"/>
  <c r="M49" i="19"/>
  <c r="K49" i="19"/>
  <c r="I49" i="19"/>
  <c r="G49" i="19"/>
  <c r="F49" i="19"/>
  <c r="AJ49" i="30"/>
  <c r="AG49" i="30"/>
  <c r="AD49" i="30"/>
  <c r="AC49" i="30"/>
  <c r="AA49" i="30"/>
  <c r="X49" i="30"/>
  <c r="V49" i="30"/>
  <c r="T49" i="30"/>
  <c r="S49" i="30"/>
  <c r="P49" i="30"/>
  <c r="N49" i="30"/>
  <c r="L49" i="30"/>
  <c r="J49" i="30"/>
  <c r="H49" i="30"/>
  <c r="G49" i="30"/>
  <c r="AL49" i="33"/>
  <c r="AH49" i="33"/>
  <c r="AF49" i="33"/>
  <c r="AC49" i="33"/>
  <c r="AA49" i="33"/>
  <c r="Y49" i="33"/>
  <c r="W49" i="33"/>
  <c r="U49" i="33"/>
  <c r="S49" i="33"/>
  <c r="Q49" i="33"/>
  <c r="O49" i="33"/>
  <c r="M49" i="33"/>
  <c r="K49" i="33"/>
  <c r="I49" i="33"/>
  <c r="G49" i="33"/>
  <c r="AN49" i="68"/>
  <c r="AJ49" i="68"/>
  <c r="AH49" i="68"/>
  <c r="AE49" i="68"/>
  <c r="AB49" i="68"/>
  <c r="Y49" i="68"/>
  <c r="W49" i="68"/>
  <c r="R49" i="68"/>
  <c r="P49" i="68"/>
  <c r="M49" i="68"/>
  <c r="K49" i="68"/>
  <c r="G49" i="68"/>
  <c r="AK49" i="53"/>
  <c r="AH49" i="53"/>
  <c r="AF49" i="53"/>
  <c r="AD49" i="53"/>
  <c r="AB49" i="53"/>
  <c r="Z49" i="53"/>
  <c r="X49" i="53"/>
  <c r="V49" i="53"/>
  <c r="T49" i="53"/>
  <c r="R49" i="53"/>
  <c r="P49" i="53"/>
  <c r="N49" i="53"/>
  <c r="L49" i="53"/>
  <c r="J49" i="53"/>
  <c r="H49" i="53"/>
  <c r="F49" i="53"/>
  <c r="AM49" i="60"/>
  <c r="AK49" i="60"/>
  <c r="AH49" i="60"/>
  <c r="AF49" i="60"/>
  <c r="AD49" i="60"/>
  <c r="AB49" i="60"/>
  <c r="X49" i="60"/>
  <c r="U49" i="60"/>
  <c r="P49" i="60"/>
  <c r="N49" i="60"/>
  <c r="K49" i="60"/>
  <c r="H49" i="60"/>
  <c r="AM49" i="45"/>
  <c r="AK49" i="45"/>
  <c r="AH49" i="45"/>
  <c r="AF49" i="45"/>
  <c r="AC49" i="45"/>
  <c r="Z49" i="45"/>
  <c r="X49" i="45"/>
  <c r="U49" i="45"/>
  <c r="S49" i="45"/>
  <c r="P49" i="45"/>
  <c r="M49" i="45"/>
  <c r="J49" i="45"/>
  <c r="G49" i="45"/>
  <c r="AM49" i="61"/>
  <c r="AK49" i="61"/>
  <c r="AH49" i="61"/>
  <c r="AF49" i="61"/>
  <c r="AC49" i="61"/>
  <c r="Z49" i="61"/>
  <c r="X49" i="61"/>
  <c r="U49" i="61"/>
  <c r="S49" i="61"/>
  <c r="Q49" i="61"/>
  <c r="O49" i="61"/>
  <c r="M49" i="61"/>
  <c r="K49" i="61"/>
  <c r="H49" i="61"/>
  <c r="G49" i="61"/>
  <c r="AN49" i="62"/>
  <c r="AL49" i="62"/>
  <c r="AK49" i="62"/>
  <c r="AI49" i="62"/>
  <c r="AG49" i="62"/>
  <c r="AE49" i="62"/>
  <c r="AC49" i="62"/>
  <c r="Z49" i="62"/>
  <c r="W49" i="62"/>
  <c r="T49" i="62"/>
  <c r="Q49" i="62"/>
  <c r="N49" i="62"/>
  <c r="K49" i="62"/>
  <c r="H49" i="62"/>
  <c r="AN49" i="70"/>
  <c r="AL49" i="70"/>
  <c r="AI49" i="70"/>
  <c r="AG49" i="70"/>
  <c r="AD49" i="70"/>
  <c r="AA49" i="70"/>
  <c r="X49" i="70"/>
  <c r="U49" i="70"/>
  <c r="Q49" i="70"/>
  <c r="N49" i="70"/>
  <c r="I49" i="70"/>
  <c r="G49" i="70"/>
  <c r="AM49" i="91"/>
  <c r="AI49" i="91"/>
  <c r="AF49" i="91"/>
  <c r="AB49" i="91"/>
  <c r="AA49" i="91"/>
  <c r="V49" i="91"/>
  <c r="R49" i="91"/>
  <c r="N49" i="91"/>
  <c r="J49" i="91"/>
  <c r="G49" i="91"/>
  <c r="AI49" i="71"/>
  <c r="AF49" i="71"/>
  <c r="AB49" i="71"/>
  <c r="V49" i="71"/>
  <c r="R49" i="71"/>
  <c r="O49" i="71"/>
  <c r="K49" i="71"/>
  <c r="G49" i="71"/>
  <c r="AN49" i="72"/>
  <c r="AK49" i="72"/>
  <c r="AE49" i="72"/>
  <c r="Z49" i="72"/>
  <c r="U49" i="72"/>
  <c r="R49" i="72"/>
  <c r="N49" i="72"/>
  <c r="I49" i="72"/>
  <c r="AH49" i="48"/>
  <c r="AC49" i="48"/>
  <c r="Y49" i="48"/>
  <c r="V49" i="48"/>
  <c r="R49" i="48"/>
  <c r="N49" i="48"/>
  <c r="J49" i="48"/>
  <c r="G49" i="48"/>
  <c r="AN49" i="75"/>
  <c r="AK49" i="75"/>
  <c r="AG49" i="75"/>
  <c r="AE49" i="75"/>
  <c r="AA49" i="75"/>
  <c r="W49" i="75"/>
  <c r="S49" i="75"/>
  <c r="O49" i="75"/>
  <c r="J49" i="75"/>
  <c r="F49" i="75"/>
  <c r="AM49" i="90"/>
  <c r="AH49" i="90"/>
  <c r="AD49" i="90"/>
  <c r="AB49" i="90"/>
  <c r="X49" i="90"/>
  <c r="T49" i="90"/>
  <c r="Q49" i="90"/>
  <c r="L49" i="90"/>
  <c r="H49" i="90"/>
  <c r="AM49" i="88"/>
  <c r="AK49" i="88"/>
  <c r="AF49" i="88"/>
  <c r="AB49" i="88"/>
  <c r="X49" i="88"/>
  <c r="V49" i="88"/>
  <c r="Q49" i="88"/>
  <c r="J49" i="88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AN49" i="50"/>
  <c r="AM49" i="50"/>
  <c r="AL49" i="50"/>
  <c r="AK49" i="50"/>
  <c r="AJ49" i="50"/>
  <c r="AI49" i="50"/>
  <c r="AH49" i="50"/>
  <c r="AG49" i="50"/>
  <c r="AF49" i="50"/>
  <c r="AE49" i="50"/>
  <c r="AD49" i="50"/>
  <c r="AC49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AN49" i="51"/>
  <c r="AM49" i="51"/>
  <c r="AL49" i="51"/>
  <c r="AJ49" i="51"/>
  <c r="AI49" i="51"/>
  <c r="AG49" i="51"/>
  <c r="AF49" i="51"/>
  <c r="AD49" i="51"/>
  <c r="AB49" i="51"/>
  <c r="Z49" i="51"/>
  <c r="X49" i="51"/>
  <c r="U49" i="51"/>
  <c r="S49" i="51"/>
  <c r="Q49" i="51"/>
  <c r="P49" i="51"/>
  <c r="N49" i="51"/>
  <c r="L49" i="51"/>
  <c r="J49" i="51"/>
  <c r="H49" i="51"/>
  <c r="G49" i="51"/>
  <c r="AN49" i="44"/>
  <c r="AJ49" i="44"/>
  <c r="AG49" i="44"/>
  <c r="AC49" i="44"/>
  <c r="V49" i="44"/>
  <c r="Q49" i="44"/>
  <c r="N49" i="44"/>
  <c r="J49" i="44"/>
  <c r="AI49" i="45"/>
  <c r="AE49" i="45"/>
  <c r="AB49" i="45"/>
  <c r="Y49" i="45"/>
  <c r="V49" i="45"/>
  <c r="T49" i="45"/>
  <c r="Q49" i="45"/>
  <c r="N49" i="45"/>
  <c r="K49" i="45"/>
  <c r="H49" i="45"/>
  <c r="F49" i="45"/>
  <c r="AN49" i="61"/>
  <c r="AL49" i="61"/>
  <c r="AJ49" i="61"/>
  <c r="AG49" i="61"/>
  <c r="AE49" i="61"/>
  <c r="AA49" i="61"/>
  <c r="Y49" i="61"/>
  <c r="V49" i="61"/>
  <c r="T49" i="61"/>
  <c r="R49" i="61"/>
  <c r="P49" i="61"/>
  <c r="N49" i="61"/>
  <c r="L49" i="61"/>
  <c r="J49" i="61"/>
  <c r="I49" i="61"/>
  <c r="F49" i="61"/>
  <c r="G49" i="62"/>
  <c r="AN49" i="63"/>
  <c r="AK49" i="63"/>
  <c r="AH49" i="63"/>
  <c r="AF49" i="63"/>
  <c r="AC49" i="63"/>
  <c r="Y49" i="63"/>
  <c r="V49" i="63"/>
  <c r="R49" i="63"/>
  <c r="O49" i="63"/>
  <c r="L49" i="63"/>
  <c r="G49" i="63"/>
  <c r="AM49" i="70"/>
  <c r="AK49" i="70"/>
  <c r="AH49" i="70"/>
  <c r="AF49" i="70"/>
  <c r="AC49" i="70"/>
  <c r="Z49" i="70"/>
  <c r="W49" i="70"/>
  <c r="S49" i="70"/>
  <c r="O49" i="70"/>
  <c r="K49" i="70"/>
  <c r="AM49" i="71"/>
  <c r="AJ49" i="71"/>
  <c r="AE49" i="71"/>
  <c r="AA49" i="71"/>
  <c r="X49" i="71"/>
  <c r="T49" i="71"/>
  <c r="P49" i="71"/>
  <c r="L49" i="71"/>
  <c r="F49" i="71"/>
  <c r="AH49" i="72"/>
  <c r="AC49" i="72"/>
  <c r="Y49" i="72"/>
  <c r="V49" i="72"/>
  <c r="T49" i="72"/>
  <c r="P49" i="72"/>
  <c r="L49" i="72"/>
  <c r="F49" i="72"/>
  <c r="AD49" i="74"/>
  <c r="Y49" i="74"/>
  <c r="U49" i="74"/>
  <c r="Q49" i="74"/>
  <c r="L49" i="74"/>
  <c r="I49" i="74"/>
  <c r="AM49" i="75"/>
  <c r="AJ49" i="75"/>
  <c r="AD49" i="75"/>
  <c r="Z49" i="75"/>
  <c r="U49" i="75"/>
  <c r="Q49" i="75"/>
  <c r="L49" i="75"/>
  <c r="G49" i="75"/>
  <c r="AM49" i="89"/>
  <c r="AH49" i="89"/>
  <c r="AE49" i="89"/>
  <c r="AA49" i="89"/>
  <c r="W49" i="89"/>
  <c r="T49" i="89"/>
  <c r="Q49" i="89"/>
  <c r="M49" i="89"/>
  <c r="I49" i="89"/>
  <c r="AN49" i="90"/>
  <c r="AK49" i="90"/>
  <c r="AI49" i="90"/>
  <c r="AF49" i="90"/>
  <c r="AA49" i="90"/>
  <c r="W49" i="90"/>
  <c r="S49" i="90"/>
  <c r="O49" i="90"/>
  <c r="K49" i="90"/>
  <c r="F49" i="90"/>
  <c r="AK49" i="52"/>
  <c r="AJ49" i="52"/>
  <c r="AI49" i="52"/>
  <c r="AH49" i="52"/>
  <c r="AG49" i="52"/>
  <c r="AF49" i="52"/>
  <c r="AE49" i="52"/>
  <c r="AD49" i="52"/>
  <c r="AC49" i="52"/>
  <c r="AB49" i="52"/>
  <c r="AA49" i="52"/>
  <c r="Z49" i="52"/>
  <c r="Y49" i="52"/>
  <c r="X49" i="52"/>
  <c r="W49" i="52"/>
  <c r="V49" i="52"/>
  <c r="U49" i="52"/>
  <c r="T49" i="52"/>
  <c r="S49" i="52"/>
  <c r="R49" i="52"/>
  <c r="Q49" i="52"/>
  <c r="P49" i="52"/>
  <c r="O49" i="52"/>
  <c r="N49" i="52"/>
  <c r="M49" i="52"/>
  <c r="L49" i="52"/>
  <c r="K49" i="52"/>
  <c r="J49" i="52"/>
  <c r="I49" i="52"/>
  <c r="H49" i="52"/>
  <c r="G49" i="52"/>
  <c r="F49" i="52"/>
  <c r="AN49" i="37"/>
  <c r="AM49" i="37"/>
  <c r="AL49" i="37"/>
  <c r="AK49" i="37"/>
  <c r="AJ49" i="37"/>
  <c r="AI49" i="37"/>
  <c r="AH49" i="37"/>
  <c r="AG49" i="37"/>
  <c r="AF49" i="37"/>
  <c r="AE49" i="37"/>
  <c r="AD49" i="37"/>
  <c r="AC49" i="37"/>
  <c r="AB49" i="37"/>
  <c r="AA49" i="37"/>
  <c r="Z49" i="37"/>
  <c r="Y49" i="37"/>
  <c r="X49" i="37"/>
  <c r="W49" i="37"/>
  <c r="V49" i="37"/>
  <c r="U49" i="37"/>
  <c r="T49" i="37"/>
  <c r="S49" i="37"/>
  <c r="R49" i="37"/>
  <c r="Q49" i="37"/>
  <c r="P49" i="37"/>
  <c r="O49" i="37"/>
  <c r="N49" i="37"/>
  <c r="M49" i="37"/>
  <c r="L49" i="37"/>
  <c r="K49" i="37"/>
  <c r="J49" i="37"/>
  <c r="I49" i="37"/>
  <c r="H49" i="37"/>
  <c r="G49" i="37"/>
  <c r="F49" i="37"/>
  <c r="AN49" i="65"/>
  <c r="AM49" i="65"/>
  <c r="AL49" i="65"/>
  <c r="AK49" i="65"/>
  <c r="AJ49" i="65"/>
  <c r="AI49" i="65"/>
  <c r="AH49" i="65"/>
  <c r="AG49" i="65"/>
  <c r="AF49" i="65"/>
  <c r="AE49" i="65"/>
  <c r="AD49" i="65"/>
  <c r="AC49" i="65"/>
  <c r="AB49" i="65"/>
  <c r="AA49" i="65"/>
  <c r="Z49" i="65"/>
  <c r="Y49" i="65"/>
  <c r="X49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F49" i="65"/>
  <c r="AN49" i="66"/>
  <c r="AM49" i="66"/>
  <c r="AL49" i="66"/>
  <c r="AK49" i="66"/>
  <c r="AJ49" i="66"/>
  <c r="AI49" i="66"/>
  <c r="AH49" i="66"/>
  <c r="AG49" i="66"/>
  <c r="AF49" i="66"/>
  <c r="AE49" i="66"/>
  <c r="AD49" i="66"/>
  <c r="AC49" i="66"/>
  <c r="AB49" i="66"/>
  <c r="AA49" i="66"/>
  <c r="Z49" i="66"/>
  <c r="Y49" i="66"/>
  <c r="X49" i="66"/>
  <c r="W49" i="66"/>
  <c r="V49" i="66"/>
  <c r="U49" i="66"/>
  <c r="T49" i="66"/>
  <c r="S49" i="66"/>
  <c r="R49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AN49" i="67"/>
  <c r="AM49" i="67"/>
  <c r="AL49" i="67"/>
  <c r="AK49" i="67"/>
  <c r="AJ49" i="67"/>
  <c r="AI49" i="67"/>
  <c r="AH49" i="67"/>
  <c r="AG49" i="67"/>
  <c r="AF49" i="67"/>
  <c r="AE49" i="67"/>
  <c r="AD49" i="67"/>
  <c r="AC49" i="67"/>
  <c r="AB49" i="67"/>
  <c r="AA49" i="67"/>
  <c r="Z49" i="67"/>
  <c r="Y49" i="67"/>
  <c r="X49" i="67"/>
  <c r="W49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I49" i="67"/>
  <c r="H49" i="67"/>
  <c r="G49" i="67"/>
  <c r="F49" i="67"/>
  <c r="AK49" i="68"/>
  <c r="AF49" i="68"/>
  <c r="AC49" i="68"/>
  <c r="AA49" i="68"/>
  <c r="X49" i="68"/>
  <c r="U49" i="68"/>
  <c r="T49" i="68"/>
  <c r="Q49" i="68"/>
  <c r="N49" i="68"/>
  <c r="L49" i="68"/>
  <c r="I49" i="68"/>
  <c r="F49" i="68"/>
  <c r="AN49" i="53"/>
  <c r="AM49" i="53"/>
  <c r="AL49" i="53"/>
  <c r="AJ49" i="53"/>
  <c r="AI49" i="53"/>
  <c r="AG49" i="53"/>
  <c r="AE49" i="53"/>
  <c r="AC49" i="53"/>
  <c r="AA49" i="53"/>
  <c r="Y49" i="53"/>
  <c r="W49" i="53"/>
  <c r="U49" i="53"/>
  <c r="S49" i="53"/>
  <c r="Q49" i="53"/>
  <c r="O49" i="53"/>
  <c r="M49" i="53"/>
  <c r="K49" i="53"/>
  <c r="I49" i="53"/>
  <c r="G49" i="53"/>
  <c r="AK49" i="44"/>
  <c r="AD49" i="44"/>
  <c r="Z49" i="44"/>
  <c r="P49" i="44"/>
  <c r="L49" i="44"/>
  <c r="H49" i="44"/>
  <c r="AN49" i="45"/>
  <c r="AL49" i="45"/>
  <c r="AJ49" i="45"/>
  <c r="AG49" i="45"/>
  <c r="AD49" i="45"/>
  <c r="AA49" i="45"/>
  <c r="W49" i="45"/>
  <c r="R49" i="45"/>
  <c r="O49" i="45"/>
  <c r="L49" i="45"/>
  <c r="I49" i="45"/>
  <c r="AH49" i="62"/>
  <c r="AB49" i="62"/>
  <c r="Y49" i="62"/>
  <c r="V49" i="62"/>
  <c r="S49" i="62"/>
  <c r="O49" i="62"/>
  <c r="L49" i="62"/>
  <c r="I49" i="62"/>
  <c r="AM49" i="63"/>
  <c r="AI49" i="63"/>
  <c r="AG49" i="63"/>
  <c r="AA49" i="63"/>
  <c r="W49" i="63"/>
  <c r="T49" i="63"/>
  <c r="N49" i="63"/>
  <c r="J49" i="63"/>
  <c r="AI49" i="49"/>
  <c r="AD49" i="49"/>
  <c r="AB49" i="49"/>
  <c r="Y49" i="49"/>
  <c r="V49" i="49"/>
  <c r="S49" i="49"/>
  <c r="P49" i="49"/>
  <c r="L49" i="49"/>
  <c r="AJ49" i="70"/>
  <c r="AE49" i="70"/>
  <c r="AB49" i="70"/>
  <c r="Y49" i="70"/>
  <c r="T49" i="70"/>
  <c r="R49" i="70"/>
  <c r="M49" i="70"/>
  <c r="J49" i="70"/>
  <c r="F49" i="70"/>
  <c r="AL49" i="74"/>
  <c r="AI49" i="74"/>
  <c r="AF49" i="74"/>
  <c r="AC49" i="74"/>
  <c r="Z49" i="74"/>
  <c r="V49" i="74"/>
  <c r="R49" i="74"/>
  <c r="O49" i="74"/>
  <c r="J49" i="74"/>
  <c r="F49" i="74"/>
  <c r="AM49" i="48"/>
  <c r="AK49" i="48"/>
  <c r="AG49" i="48"/>
  <c r="AD49" i="48"/>
  <c r="AA49" i="48"/>
  <c r="W49" i="48"/>
  <c r="Q49" i="48"/>
  <c r="M49" i="48"/>
  <c r="I49" i="48"/>
  <c r="AJ49" i="89"/>
  <c r="AD49" i="89"/>
  <c r="Z49" i="89"/>
  <c r="V49" i="89"/>
  <c r="R49" i="89"/>
  <c r="P49" i="89"/>
  <c r="L49" i="89"/>
  <c r="G49" i="89"/>
  <c r="AL49" i="90"/>
  <c r="AJ49" i="90"/>
  <c r="AE49" i="90"/>
  <c r="AC49" i="90"/>
  <c r="Z49" i="90"/>
  <c r="V49" i="90"/>
  <c r="R49" i="90"/>
  <c r="N49" i="90"/>
  <c r="J49" i="90"/>
  <c r="G49" i="90"/>
  <c r="AN49" i="88"/>
  <c r="AJ49" i="88"/>
  <c r="AG49" i="88"/>
  <c r="AD49" i="88"/>
  <c r="AA49" i="88"/>
  <c r="W49" i="88"/>
  <c r="S49" i="88"/>
  <c r="P49" i="88"/>
  <c r="K49" i="88"/>
  <c r="G49" i="88"/>
  <c r="AN49" i="38"/>
  <c r="AM49" i="38"/>
  <c r="AL49" i="38"/>
  <c r="AK49" i="38"/>
  <c r="AJ49" i="38"/>
  <c r="AI49" i="38"/>
  <c r="AH49" i="38"/>
  <c r="AG49" i="38"/>
  <c r="AF49" i="38"/>
  <c r="AE49" i="38"/>
  <c r="AD49" i="38"/>
  <c r="AC49" i="38"/>
  <c r="AB49" i="38"/>
  <c r="AA49" i="38"/>
  <c r="Z49" i="38"/>
  <c r="Y49" i="38"/>
  <c r="X49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AN49" i="54"/>
  <c r="AM49" i="54"/>
  <c r="AL49" i="54"/>
  <c r="AK49" i="54"/>
  <c r="AJ49" i="54"/>
  <c r="AI49" i="54"/>
  <c r="AH49" i="54"/>
  <c r="AG49" i="54"/>
  <c r="AF49" i="54"/>
  <c r="AE49" i="54"/>
  <c r="AD49" i="54"/>
  <c r="AC49" i="54"/>
  <c r="AB49" i="54"/>
  <c r="AA49" i="54"/>
  <c r="Z49" i="54"/>
  <c r="Y49" i="54"/>
  <c r="X49" i="54"/>
  <c r="W49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AN49" i="39"/>
  <c r="AM49" i="39"/>
  <c r="AL49" i="39"/>
  <c r="AK49" i="39"/>
  <c r="AJ49" i="39"/>
  <c r="AI49" i="39"/>
  <c r="AH49" i="39"/>
  <c r="AG49" i="39"/>
  <c r="AF49" i="39"/>
  <c r="AE49" i="39"/>
  <c r="AD49" i="39"/>
  <c r="AC49" i="39"/>
  <c r="AB49" i="39"/>
  <c r="AA49" i="39"/>
  <c r="Z49" i="39"/>
  <c r="Y49" i="39"/>
  <c r="X49" i="39"/>
  <c r="W49" i="39"/>
  <c r="V49" i="39"/>
  <c r="U49" i="39"/>
  <c r="T49" i="39"/>
  <c r="S49" i="39"/>
  <c r="R49" i="39"/>
  <c r="Q49" i="39"/>
  <c r="P49" i="39"/>
  <c r="O49" i="39"/>
  <c r="N49" i="39"/>
  <c r="M49" i="39"/>
  <c r="L49" i="39"/>
  <c r="K49" i="39"/>
  <c r="J49" i="39"/>
  <c r="I49" i="39"/>
  <c r="H49" i="39"/>
  <c r="G49" i="39"/>
  <c r="F49" i="39"/>
  <c r="AN49" i="55"/>
  <c r="AM49" i="55"/>
  <c r="AL49" i="55"/>
  <c r="AK49" i="55"/>
  <c r="AJ49" i="55"/>
  <c r="AI49" i="55"/>
  <c r="AH49" i="55"/>
  <c r="AG49" i="55"/>
  <c r="AF49" i="55"/>
  <c r="AE49" i="55"/>
  <c r="AD49" i="55"/>
  <c r="AC49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AM49" i="44"/>
  <c r="AI49" i="44"/>
  <c r="AE49" i="44"/>
  <c r="Y49" i="44"/>
  <c r="U49" i="44"/>
  <c r="T49" i="44"/>
  <c r="O49" i="44"/>
  <c r="K49" i="44"/>
  <c r="G49" i="44"/>
  <c r="AN49" i="60"/>
  <c r="AL49" i="60"/>
  <c r="AJ49" i="60"/>
  <c r="AG49" i="60"/>
  <c r="AC49" i="60"/>
  <c r="Z49" i="60"/>
  <c r="W49" i="60"/>
  <c r="T49" i="60"/>
  <c r="R49" i="60"/>
  <c r="O49" i="60"/>
  <c r="L49" i="60"/>
  <c r="I49" i="60"/>
  <c r="F49" i="60"/>
  <c r="AL49" i="63"/>
  <c r="AD49" i="63"/>
  <c r="Z49" i="63"/>
  <c r="U49" i="63"/>
  <c r="Q49" i="63"/>
  <c r="M49" i="63"/>
  <c r="I49" i="63"/>
  <c r="F49" i="63"/>
  <c r="AN49" i="49"/>
  <c r="AL49" i="49"/>
  <c r="AJ49" i="49"/>
  <c r="AG49" i="49"/>
  <c r="AE49" i="49"/>
  <c r="AA49" i="49"/>
  <c r="X49" i="49"/>
  <c r="U49" i="49"/>
  <c r="Q49" i="49"/>
  <c r="N49" i="49"/>
  <c r="K49" i="49"/>
  <c r="I49" i="49"/>
  <c r="G49" i="49"/>
  <c r="V49" i="70"/>
  <c r="P49" i="70"/>
  <c r="L49" i="70"/>
  <c r="H49" i="70"/>
  <c r="AL49" i="91"/>
  <c r="AG49" i="91"/>
  <c r="AC49" i="91"/>
  <c r="Y49" i="91"/>
  <c r="T49" i="91"/>
  <c r="O49" i="91"/>
  <c r="K49" i="91"/>
  <c r="H49" i="91"/>
  <c r="AN49" i="71"/>
  <c r="AK49" i="71"/>
  <c r="AD49" i="71"/>
  <c r="Z49" i="71"/>
  <c r="W49" i="71"/>
  <c r="S49" i="71"/>
  <c r="M49" i="71"/>
  <c r="I49" i="71"/>
  <c r="AN49" i="74"/>
  <c r="AJ49" i="74"/>
  <c r="AG49" i="74"/>
  <c r="AA49" i="74"/>
  <c r="X49" i="74"/>
  <c r="T49" i="74"/>
  <c r="P49" i="74"/>
  <c r="M49" i="74"/>
  <c r="H49" i="74"/>
  <c r="AN49" i="48"/>
  <c r="AJ49" i="48"/>
  <c r="AF49" i="48"/>
  <c r="Z49" i="48"/>
  <c r="T49" i="48"/>
  <c r="P49" i="48"/>
  <c r="L49" i="48"/>
  <c r="F49" i="48"/>
  <c r="AH49" i="75"/>
  <c r="AC49" i="75"/>
  <c r="Y49" i="75"/>
  <c r="V49" i="75"/>
  <c r="R49" i="75"/>
  <c r="N49" i="75"/>
  <c r="K49" i="75"/>
  <c r="H49" i="75"/>
  <c r="AK49" i="89"/>
  <c r="AG49" i="89"/>
  <c r="AC49" i="89"/>
  <c r="Y49" i="89"/>
  <c r="S49" i="89"/>
  <c r="N49" i="89"/>
  <c r="J49" i="89"/>
  <c r="F49" i="89"/>
  <c r="AL49" i="88"/>
  <c r="AI49" i="88"/>
  <c r="AC49" i="88"/>
  <c r="Z49" i="88"/>
  <c r="T49" i="88"/>
  <c r="N49" i="88"/>
  <c r="M49" i="88"/>
  <c r="I49" i="88"/>
  <c r="F49" i="88"/>
  <c r="AN49" i="57"/>
  <c r="AM49" i="57"/>
  <c r="AL49" i="57"/>
  <c r="AK49" i="57"/>
  <c r="AJ49" i="57"/>
  <c r="AI49" i="57"/>
  <c r="AH49" i="57"/>
  <c r="AG49" i="57"/>
  <c r="AF49" i="57"/>
  <c r="AE49" i="57"/>
  <c r="AD49" i="57"/>
  <c r="AC49" i="57"/>
  <c r="AB49" i="57"/>
  <c r="AA49" i="57"/>
  <c r="Z49" i="57"/>
  <c r="Y49" i="57"/>
  <c r="X49" i="57"/>
  <c r="W49" i="57"/>
  <c r="V49" i="57"/>
  <c r="U49" i="57"/>
  <c r="T49" i="57"/>
  <c r="S49" i="57"/>
  <c r="R49" i="57"/>
  <c r="Q49" i="57"/>
  <c r="P49" i="57"/>
  <c r="O49" i="57"/>
  <c r="N49" i="57"/>
  <c r="M49" i="57"/>
  <c r="L49" i="57"/>
  <c r="K49" i="57"/>
  <c r="J49" i="57"/>
  <c r="I49" i="57"/>
  <c r="H49" i="57"/>
  <c r="G49" i="57"/>
  <c r="F49" i="57"/>
  <c r="AN49" i="59"/>
  <c r="AM49" i="59"/>
  <c r="AL49" i="59"/>
  <c r="AK49" i="59"/>
  <c r="AJ49" i="59"/>
  <c r="AI49" i="59"/>
  <c r="AH49" i="59"/>
  <c r="AG49" i="59"/>
  <c r="AF49" i="59"/>
  <c r="AE49" i="59"/>
  <c r="AD49" i="59"/>
  <c r="AC49" i="59"/>
  <c r="AB49" i="59"/>
  <c r="AA49" i="59"/>
  <c r="Z49" i="59"/>
  <c r="Y49" i="59"/>
  <c r="X49" i="59"/>
  <c r="W49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G49" i="59"/>
  <c r="F49" i="59"/>
  <c r="AH49" i="44"/>
  <c r="AA49" i="44"/>
  <c r="W49" i="44"/>
  <c r="R49" i="44"/>
  <c r="F49" i="44"/>
  <c r="AI49" i="60"/>
  <c r="AE49" i="60"/>
  <c r="AA49" i="60"/>
  <c r="Y49" i="60"/>
  <c r="V49" i="60"/>
  <c r="S49" i="60"/>
  <c r="Q49" i="60"/>
  <c r="M49" i="60"/>
  <c r="J49" i="60"/>
  <c r="G49" i="60"/>
  <c r="AI49" i="61"/>
  <c r="AD49" i="61"/>
  <c r="AB49" i="61"/>
  <c r="W49" i="61"/>
  <c r="AJ49" i="63"/>
  <c r="AE49" i="63"/>
  <c r="AB49" i="63"/>
  <c r="X49" i="63"/>
  <c r="S49" i="63"/>
  <c r="P49" i="63"/>
  <c r="K49" i="63"/>
  <c r="H49" i="63"/>
  <c r="AM49" i="49"/>
  <c r="AK49" i="49"/>
  <c r="AH49" i="49"/>
  <c r="AF49" i="49"/>
  <c r="AC49" i="49"/>
  <c r="Z49" i="49"/>
  <c r="W49" i="49"/>
  <c r="T49" i="49"/>
  <c r="R49" i="49"/>
  <c r="O49" i="49"/>
  <c r="M49" i="49"/>
  <c r="J49" i="49"/>
  <c r="H49" i="49"/>
  <c r="F49" i="49"/>
  <c r="AN49" i="91"/>
  <c r="AK49" i="91"/>
  <c r="AH49" i="91"/>
  <c r="AE49" i="91"/>
  <c r="X49" i="91"/>
  <c r="U49" i="91"/>
  <c r="Q49" i="91"/>
  <c r="M49" i="91"/>
  <c r="F49" i="91"/>
  <c r="AM49" i="72"/>
  <c r="AJ49" i="72"/>
  <c r="AG49" i="72"/>
  <c r="AD49" i="72"/>
  <c r="AA49" i="72"/>
  <c r="X49" i="72"/>
  <c r="S49" i="72"/>
  <c r="O49" i="72"/>
  <c r="K49" i="72"/>
  <c r="H49" i="72"/>
  <c r="AM49" i="74"/>
  <c r="AK49" i="74"/>
  <c r="AH49" i="74"/>
  <c r="AE49" i="74"/>
  <c r="AB49" i="74"/>
  <c r="W49" i="74"/>
  <c r="S49" i="74"/>
  <c r="N49" i="74"/>
  <c r="K49" i="74"/>
  <c r="G49" i="74"/>
  <c r="AN49" i="89"/>
  <c r="AL49" i="89"/>
  <c r="AI49" i="89"/>
  <c r="AF49" i="89"/>
  <c r="AB49" i="89"/>
  <c r="X49" i="89"/>
  <c r="U49" i="89"/>
  <c r="O49" i="89"/>
  <c r="K49" i="89"/>
  <c r="H49" i="89"/>
  <c r="AN49" i="24"/>
  <c r="AM49" i="24"/>
  <c r="AK49" i="24"/>
  <c r="AJ49" i="24"/>
  <c r="AH49" i="24"/>
  <c r="AF49" i="24"/>
  <c r="AD49" i="24"/>
  <c r="AB49" i="24"/>
  <c r="Y49" i="24"/>
  <c r="W49" i="24"/>
  <c r="U49" i="24"/>
  <c r="S49" i="24"/>
  <c r="Q49" i="24"/>
  <c r="O49" i="24"/>
  <c r="N49" i="24"/>
  <c r="M49" i="24"/>
  <c r="K49" i="24"/>
  <c r="H49" i="24"/>
  <c r="F49" i="24"/>
  <c r="AN49" i="19"/>
  <c r="AL49" i="19"/>
  <c r="AK49" i="19"/>
  <c r="AI49" i="19"/>
  <c r="AG49" i="19"/>
  <c r="AE49" i="19"/>
  <c r="AC49" i="19"/>
  <c r="AB49" i="19"/>
  <c r="Z49" i="19"/>
  <c r="W49" i="19"/>
  <c r="U49" i="19"/>
  <c r="S49" i="19"/>
  <c r="Q49" i="19"/>
  <c r="N49" i="19"/>
  <c r="L49" i="19"/>
  <c r="J49" i="19"/>
  <c r="H49" i="19"/>
  <c r="AN49" i="30"/>
  <c r="AM49" i="30"/>
  <c r="AL49" i="30"/>
  <c r="AK49" i="30"/>
  <c r="AI49" i="30"/>
  <c r="AH49" i="30"/>
  <c r="AF49" i="30"/>
  <c r="AE49" i="30"/>
  <c r="AB49" i="30"/>
  <c r="Z49" i="30"/>
  <c r="Y49" i="30"/>
  <c r="W49" i="30"/>
  <c r="U49" i="30"/>
  <c r="R49" i="30"/>
  <c r="Q49" i="30"/>
  <c r="O49" i="30"/>
  <c r="M49" i="30"/>
  <c r="K49" i="30"/>
  <c r="I49" i="30"/>
  <c r="F49" i="30"/>
  <c r="AN49" i="33"/>
  <c r="AM49" i="33"/>
  <c r="AK49" i="33"/>
  <c r="AJ49" i="33"/>
  <c r="AI49" i="33"/>
  <c r="AG49" i="33"/>
  <c r="AE49" i="33"/>
  <c r="AD49" i="33"/>
  <c r="AB49" i="33"/>
  <c r="Z49" i="33"/>
  <c r="X49" i="33"/>
  <c r="V49" i="33"/>
  <c r="T49" i="33"/>
  <c r="R49" i="33"/>
  <c r="P49" i="33"/>
  <c r="N49" i="33"/>
  <c r="L49" i="33"/>
  <c r="J49" i="33"/>
  <c r="H49" i="33"/>
  <c r="F49" i="33"/>
  <c r="AK49" i="51"/>
  <c r="AH49" i="51"/>
  <c r="AE49" i="51"/>
  <c r="AC49" i="51"/>
  <c r="AA49" i="51"/>
  <c r="Y49" i="51"/>
  <c r="W49" i="51"/>
  <c r="V49" i="51"/>
  <c r="T49" i="51"/>
  <c r="R49" i="51"/>
  <c r="O49" i="51"/>
  <c r="M49" i="51"/>
  <c r="K49" i="51"/>
  <c r="I49" i="51"/>
  <c r="F49" i="51"/>
  <c r="AN49" i="52"/>
  <c r="AM49" i="52"/>
  <c r="AL49" i="52"/>
  <c r="AM49" i="68"/>
  <c r="AL49" i="68"/>
  <c r="AI49" i="68"/>
  <c r="AG49" i="68"/>
  <c r="AD49" i="68"/>
  <c r="Z49" i="68"/>
  <c r="V49" i="68"/>
  <c r="S49" i="68"/>
  <c r="O49" i="68"/>
  <c r="J49" i="68"/>
  <c r="H49" i="68"/>
  <c r="AL49" i="44"/>
  <c r="AF49" i="44"/>
  <c r="AB49" i="44"/>
  <c r="X49" i="44"/>
  <c r="S49" i="44"/>
  <c r="M49" i="44"/>
  <c r="I49" i="44"/>
  <c r="AM49" i="62"/>
  <c r="AJ49" i="62"/>
  <c r="AF49" i="62"/>
  <c r="AD49" i="62"/>
  <c r="AA49" i="62"/>
  <c r="X49" i="62"/>
  <c r="U49" i="62"/>
  <c r="R49" i="62"/>
  <c r="P49" i="62"/>
  <c r="M49" i="62"/>
  <c r="J49" i="62"/>
  <c r="F49" i="62"/>
  <c r="AJ49" i="91"/>
  <c r="AD49" i="91"/>
  <c r="Z49" i="91"/>
  <c r="W49" i="91"/>
  <c r="S49" i="91"/>
  <c r="P49" i="91"/>
  <c r="L49" i="91"/>
  <c r="I49" i="91"/>
  <c r="AL49" i="71"/>
  <c r="AH49" i="71"/>
  <c r="AG49" i="71"/>
  <c r="AC49" i="71"/>
  <c r="Y49" i="71"/>
  <c r="U49" i="71"/>
  <c r="Q49" i="71"/>
  <c r="N49" i="71"/>
  <c r="J49" i="71"/>
  <c r="H49" i="71"/>
  <c r="AL49" i="72"/>
  <c r="AI49" i="72"/>
  <c r="AF49" i="72"/>
  <c r="AB49" i="72"/>
  <c r="W49" i="72"/>
  <c r="Q49" i="72"/>
  <c r="M49" i="72"/>
  <c r="J49" i="72"/>
  <c r="G49" i="72"/>
  <c r="AL49" i="48"/>
  <c r="AI49" i="48"/>
  <c r="AE49" i="48"/>
  <c r="AB49" i="48"/>
  <c r="X49" i="48"/>
  <c r="U49" i="48"/>
  <c r="S49" i="48"/>
  <c r="O49" i="48"/>
  <c r="K49" i="48"/>
  <c r="H49" i="48"/>
  <c r="AL49" i="75"/>
  <c r="AI49" i="75"/>
  <c r="AF49" i="75"/>
  <c r="AB49" i="75"/>
  <c r="X49" i="75"/>
  <c r="T49" i="75"/>
  <c r="P49" i="75"/>
  <c r="M49" i="75"/>
  <c r="I49" i="75"/>
  <c r="AG49" i="90"/>
  <c r="Y49" i="90"/>
  <c r="U49" i="90"/>
  <c r="P49" i="90"/>
  <c r="M49" i="90"/>
  <c r="I49" i="90"/>
  <c r="AH49" i="88"/>
  <c r="AE49" i="88"/>
  <c r="Y49" i="88"/>
  <c r="U49" i="88"/>
  <c r="R49" i="88"/>
  <c r="O49" i="88"/>
  <c r="L49" i="88"/>
  <c r="H49" i="88"/>
  <c r="AN49" i="13"/>
  <c r="AL49" i="13"/>
  <c r="AJ49" i="13"/>
  <c r="AH49" i="13"/>
  <c r="AF49" i="13"/>
  <c r="AD49" i="13"/>
  <c r="AB49" i="13"/>
  <c r="Z49" i="13"/>
  <c r="X49" i="13"/>
  <c r="V49" i="13"/>
  <c r="U49" i="13"/>
  <c r="S49" i="13"/>
  <c r="Q49" i="13"/>
  <c r="N49" i="13"/>
  <c r="L49" i="13"/>
  <c r="J49" i="13"/>
  <c r="H49" i="13"/>
  <c r="F49" i="13"/>
  <c r="AM49" i="13"/>
  <c r="AK49" i="13"/>
  <c r="AI49" i="13"/>
  <c r="AG49" i="13"/>
  <c r="AE49" i="13"/>
  <c r="AC49" i="13"/>
  <c r="AA49" i="13"/>
  <c r="Y49" i="13"/>
  <c r="W49" i="13"/>
  <c r="T49" i="13"/>
  <c r="R49" i="13"/>
  <c r="P49" i="13"/>
  <c r="O49" i="13"/>
  <c r="M49" i="13"/>
  <c r="K49" i="13"/>
  <c r="I49" i="13"/>
  <c r="G49" i="13"/>
  <c r="E50" i="17"/>
  <c r="E49" i="73" s="1"/>
  <c r="AA35" i="99"/>
  <c r="AA37" i="99" s="1"/>
  <c r="Y35" i="99"/>
  <c r="Y37" i="99" s="1"/>
  <c r="X35" i="99"/>
  <c r="X37" i="99" s="1"/>
  <c r="W35" i="99"/>
  <c r="W37" i="99" s="1"/>
  <c r="V35" i="99"/>
  <c r="V37" i="99" s="1"/>
  <c r="U35" i="99"/>
  <c r="U37" i="99" s="1"/>
  <c r="T35" i="99"/>
  <c r="T37" i="99" s="1"/>
  <c r="S35" i="99"/>
  <c r="S37" i="99" s="1"/>
  <c r="R35" i="99"/>
  <c r="R37" i="99" s="1"/>
  <c r="Q35" i="99"/>
  <c r="Q37" i="99" s="1"/>
  <c r="AC35" i="99"/>
  <c r="AC37" i="99" s="1"/>
  <c r="AN35" i="99"/>
  <c r="AN37" i="99" s="1"/>
  <c r="AM35" i="99"/>
  <c r="AM37" i="99" s="1"/>
  <c r="AL35" i="99"/>
  <c r="AL37" i="99" s="1"/>
  <c r="AK35" i="99"/>
  <c r="AK37" i="99" s="1"/>
  <c r="AJ35" i="99"/>
  <c r="AJ37" i="99" s="1"/>
  <c r="AI35" i="99"/>
  <c r="AI37" i="99" s="1"/>
  <c r="AH35" i="99"/>
  <c r="AH37" i="99" s="1"/>
  <c r="AG35" i="99"/>
  <c r="AG37" i="99" s="1"/>
  <c r="AF35" i="99"/>
  <c r="AF37" i="99" s="1"/>
  <c r="AE35" i="99"/>
  <c r="AE37" i="99" s="1"/>
  <c r="AD35" i="99"/>
  <c r="AD37" i="99" s="1"/>
  <c r="AB35" i="99"/>
  <c r="AB37" i="99" s="1"/>
  <c r="Z35" i="99"/>
  <c r="Z37" i="99" s="1"/>
  <c r="H23" i="85"/>
  <c r="S23" i="34" s="1"/>
  <c r="G23" i="34" s="1"/>
  <c r="G23" i="85"/>
  <c r="R23" i="34" s="1"/>
  <c r="F23" i="34" s="1"/>
  <c r="H25" i="85"/>
  <c r="S25" i="34" s="1"/>
  <c r="G25" i="34" s="1"/>
  <c r="G25" i="85"/>
  <c r="R25" i="34" s="1"/>
  <c r="F25" i="34" s="1"/>
  <c r="F23" i="85"/>
  <c r="Q23" i="34" s="1"/>
  <c r="E23" i="34" s="1"/>
  <c r="H29" i="85"/>
  <c r="S29" i="34" s="1"/>
  <c r="G29" i="34" s="1"/>
  <c r="E24" i="34"/>
  <c r="AH52" i="17"/>
  <c r="AH53" i="17" s="1"/>
  <c r="AN52" i="17"/>
  <c r="AN53" i="17" s="1"/>
  <c r="AM52" i="17"/>
  <c r="AM53" i="17" s="1"/>
  <c r="AL52" i="17"/>
  <c r="AL53" i="17" s="1"/>
  <c r="AK52" i="17"/>
  <c r="AK53" i="17" s="1"/>
  <c r="AJ52" i="17"/>
  <c r="AJ53" i="17" s="1"/>
  <c r="AI52" i="17"/>
  <c r="AI53" i="17" s="1"/>
  <c r="AA52" i="17"/>
  <c r="AA53" i="17" s="1"/>
  <c r="AG52" i="17"/>
  <c r="AG53" i="17" s="1"/>
  <c r="AF52" i="17"/>
  <c r="AF53" i="17" s="1"/>
  <c r="AE52" i="17"/>
  <c r="AE53" i="17" s="1"/>
  <c r="AD52" i="17"/>
  <c r="AD53" i="17" s="1"/>
  <c r="AC52" i="17"/>
  <c r="AC53" i="17" s="1"/>
  <c r="AB52" i="17"/>
  <c r="AB53" i="17" s="1"/>
  <c r="F52" i="17"/>
  <c r="F53" i="17" s="1"/>
  <c r="Z52" i="17"/>
  <c r="Z53" i="17" s="1"/>
  <c r="Y52" i="17"/>
  <c r="Y53" i="17" s="1"/>
  <c r="X52" i="17"/>
  <c r="X53" i="17" s="1"/>
  <c r="W52" i="17"/>
  <c r="W53" i="17" s="1"/>
  <c r="V52" i="17"/>
  <c r="V53" i="17" s="1"/>
  <c r="U52" i="17"/>
  <c r="U53" i="17" s="1"/>
  <c r="T52" i="17"/>
  <c r="T53" i="17" s="1"/>
  <c r="S52" i="17"/>
  <c r="S53" i="17" s="1"/>
  <c r="R52" i="17"/>
  <c r="R53" i="17" s="1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Q52" i="17"/>
  <c r="Q53" i="17" s="1"/>
  <c r="P52" i="17"/>
  <c r="P53" i="17" s="1"/>
  <c r="O52" i="17"/>
  <c r="O53" i="17" s="1"/>
  <c r="N52" i="17"/>
  <c r="N53" i="17" s="1"/>
  <c r="M52" i="17"/>
  <c r="M53" i="17" s="1"/>
  <c r="L52" i="17"/>
  <c r="L53" i="17" s="1"/>
  <c r="K52" i="17"/>
  <c r="K53" i="17" s="1"/>
  <c r="J52" i="17"/>
  <c r="J53" i="17" s="1"/>
  <c r="I52" i="17"/>
  <c r="I53" i="17" s="1"/>
  <c r="H52" i="17"/>
  <c r="H53" i="17" s="1"/>
  <c r="G52" i="17"/>
  <c r="G53" i="17" s="1"/>
  <c r="F21" i="84"/>
  <c r="H21" i="85"/>
  <c r="N26" i="85"/>
  <c r="P26" i="85"/>
  <c r="K26" i="85"/>
  <c r="F21" i="85"/>
  <c r="G21" i="85"/>
  <c r="H24" i="85"/>
  <c r="S24" i="34" s="1"/>
  <c r="G24" i="34" s="1"/>
  <c r="G24" i="85"/>
  <c r="R24" i="34" s="1"/>
  <c r="F24" i="34" s="1"/>
  <c r="F25" i="85"/>
  <c r="Q25" i="34" s="1"/>
  <c r="E25" i="34" s="1"/>
  <c r="J26" i="85"/>
  <c r="N28" i="85"/>
  <c r="O26" i="85"/>
  <c r="L26" i="85"/>
  <c r="J22" i="85"/>
  <c r="J16" i="85" s="1"/>
  <c r="J28" i="85"/>
  <c r="K28" i="85"/>
  <c r="P28" i="85"/>
  <c r="L28" i="85"/>
  <c r="O28" i="85"/>
  <c r="N22" i="85"/>
  <c r="N16" i="85" s="1"/>
  <c r="S22" i="85"/>
  <c r="S16" i="85" s="1"/>
  <c r="H23" i="9" a="1"/>
  <c r="H23" i="9" s="1"/>
  <c r="R22" i="85"/>
  <c r="R16" i="85" s="1"/>
  <c r="T22" i="85"/>
  <c r="T16" i="85" s="1"/>
  <c r="K22" i="85"/>
  <c r="K16" i="85" s="1"/>
  <c r="P22" i="85"/>
  <c r="P16" i="85" s="1"/>
  <c r="O22" i="85"/>
  <c r="O16" i="85" s="1"/>
  <c r="L22" i="85"/>
  <c r="L16" i="85" s="1"/>
  <c r="G26" i="84"/>
  <c r="N26" i="34" s="1"/>
  <c r="F26" i="84"/>
  <c r="H26" i="84"/>
  <c r="O26" i="34" s="1"/>
  <c r="AP48" i="26" a="1"/>
  <c r="AP48" i="26" s="1"/>
  <c r="AP31" i="26" a="1"/>
  <c r="AP31" i="26" s="1"/>
  <c r="AP42" i="26" a="1"/>
  <c r="AP42" i="26" s="1"/>
  <c r="AP26" i="26" a="1"/>
  <c r="AP26" i="26" s="1"/>
  <c r="AQ32" i="26" a="1"/>
  <c r="AQ32" i="26" s="1"/>
  <c r="AP28" i="26" a="1"/>
  <c r="AP28" i="26" s="1"/>
  <c r="AQ33" i="26" a="1"/>
  <c r="AQ33" i="26" s="1"/>
  <c r="AR32" i="26" a="1"/>
  <c r="AR32" i="26" s="1"/>
  <c r="AP43" i="26" a="1"/>
  <c r="AP43" i="26" s="1"/>
  <c r="AP27" i="26" a="1"/>
  <c r="AP27" i="26" s="1"/>
  <c r="AP30" i="26" a="1"/>
  <c r="AP30" i="26" s="1"/>
  <c r="AR33" i="26" a="1"/>
  <c r="AR33" i="26" s="1"/>
  <c r="EH4" i="69"/>
  <c r="AX4" i="69" a="1"/>
  <c r="AN41" i="78"/>
  <c r="AN41" i="26" s="1"/>
  <c r="AI41" i="78"/>
  <c r="AI41" i="26" s="1"/>
  <c r="AF41" i="78"/>
  <c r="AF41" i="26" s="1"/>
  <c r="AD41" i="78"/>
  <c r="AD41" i="26" s="1"/>
  <c r="AB41" i="78"/>
  <c r="AB41" i="26" s="1"/>
  <c r="Y41" i="78"/>
  <c r="Y41" i="26" s="1"/>
  <c r="V41" i="78"/>
  <c r="V41" i="26" s="1"/>
  <c r="S41" i="78"/>
  <c r="S41" i="26" s="1"/>
  <c r="Q41" i="78"/>
  <c r="N41" i="78"/>
  <c r="N41" i="26" s="1"/>
  <c r="K41" i="78"/>
  <c r="K41" i="26" s="1"/>
  <c r="H41" i="78"/>
  <c r="H41" i="26" s="1"/>
  <c r="AM41" i="78"/>
  <c r="AM41" i="26" s="1"/>
  <c r="AJ41" i="78"/>
  <c r="AJ41" i="26" s="1"/>
  <c r="AH41" i="78"/>
  <c r="AH41" i="26" s="1"/>
  <c r="AE41" i="78"/>
  <c r="AE41" i="26" s="1"/>
  <c r="AC41" i="78"/>
  <c r="Z41" i="78"/>
  <c r="Z41" i="26" s="1"/>
  <c r="W41" i="78"/>
  <c r="W41" i="26" s="1"/>
  <c r="T41" i="78"/>
  <c r="T41" i="26" s="1"/>
  <c r="P41" i="78"/>
  <c r="P41" i="26" s="1"/>
  <c r="M41" i="78"/>
  <c r="M41" i="26" s="1"/>
  <c r="J41" i="78"/>
  <c r="J41" i="26" s="1"/>
  <c r="G41" i="78"/>
  <c r="G41" i="26" s="1"/>
  <c r="AL41" i="78"/>
  <c r="AL41" i="26" s="1"/>
  <c r="AG41" i="78"/>
  <c r="AG41" i="26" s="1"/>
  <c r="AA41" i="78"/>
  <c r="AA41" i="26" s="1"/>
  <c r="X41" i="78"/>
  <c r="X41" i="26" s="1"/>
  <c r="U41" i="78"/>
  <c r="U41" i="26" s="1"/>
  <c r="R41" i="78"/>
  <c r="R41" i="26" s="1"/>
  <c r="O41" i="78"/>
  <c r="O41" i="26" s="1"/>
  <c r="L41" i="78"/>
  <c r="L41" i="26" s="1"/>
  <c r="I41" i="78"/>
  <c r="I41" i="26" s="1"/>
  <c r="F41" i="78"/>
  <c r="F41" i="26" s="1"/>
  <c r="AK41" i="78"/>
  <c r="AK41" i="26" s="1"/>
  <c r="E44" i="78"/>
  <c r="E46" i="78"/>
  <c r="AC45" i="26"/>
  <c r="Q45" i="26"/>
  <c r="AB35" i="78"/>
  <c r="Y35" i="78"/>
  <c r="P35" i="78"/>
  <c r="Q35" i="78"/>
  <c r="H35" i="78"/>
  <c r="Z35" i="78"/>
  <c r="AA35" i="78"/>
  <c r="AC35" i="78"/>
  <c r="J35" i="78"/>
  <c r="L35" i="78"/>
  <c r="W35" i="78"/>
  <c r="AE35" i="78"/>
  <c r="AJ35" i="78"/>
  <c r="G35" i="78"/>
  <c r="AM35" i="78"/>
  <c r="N35" i="78"/>
  <c r="U35" i="78"/>
  <c r="S35" i="78"/>
  <c r="AK35" i="78"/>
  <c r="AG35" i="78"/>
  <c r="V35" i="78"/>
  <c r="K35" i="78"/>
  <c r="O35" i="78"/>
  <c r="AI35" i="78"/>
  <c r="F35" i="78"/>
  <c r="T35" i="78"/>
  <c r="M35" i="78"/>
  <c r="R35" i="78"/>
  <c r="AF35" i="78"/>
  <c r="I35" i="78"/>
  <c r="AH35" i="78"/>
  <c r="X35" i="78"/>
  <c r="AL35" i="78"/>
  <c r="AD35" i="78"/>
  <c r="AN35" i="78"/>
  <c r="E23" i="78"/>
  <c r="AE40" i="26"/>
  <c r="I40" i="26"/>
  <c r="V40" i="26"/>
  <c r="AB40" i="26"/>
  <c r="X40" i="26"/>
  <c r="H23" i="26"/>
  <c r="AG23" i="26"/>
  <c r="AD23" i="26"/>
  <c r="K40" i="26"/>
  <c r="Y23" i="26"/>
  <c r="U40" i="26"/>
  <c r="AM40" i="26"/>
  <c r="E40" i="78"/>
  <c r="E40" i="26" s="1"/>
  <c r="X23" i="26"/>
  <c r="N23" i="26"/>
  <c r="Q23" i="26"/>
  <c r="AL23" i="26"/>
  <c r="Q44" i="26"/>
  <c r="G23" i="26"/>
  <c r="J23" i="26"/>
  <c r="AI23" i="26"/>
  <c r="W23" i="26"/>
  <c r="AC44" i="26"/>
  <c r="E32" i="26"/>
  <c r="M40" i="26"/>
  <c r="F40" i="26"/>
  <c r="I23" i="26"/>
  <c r="AE23" i="26"/>
  <c r="AD40" i="26"/>
  <c r="O40" i="26"/>
  <c r="AM23" i="26"/>
  <c r="AB23" i="26"/>
  <c r="AQ23" i="26" s="1" a="1"/>
  <c r="AQ23" i="26" s="1"/>
  <c r="E33" i="26"/>
  <c r="Q46" i="26"/>
  <c r="P40" i="26"/>
  <c r="L40" i="26"/>
  <c r="AA40" i="26"/>
  <c r="M23" i="26"/>
  <c r="AJ23" i="26"/>
  <c r="L23" i="26"/>
  <c r="Y40" i="26"/>
  <c r="AH23" i="26"/>
  <c r="AN40" i="26"/>
  <c r="AG40" i="26"/>
  <c r="J40" i="26"/>
  <c r="K23" i="26"/>
  <c r="F23" i="26"/>
  <c r="AL40" i="26"/>
  <c r="S40" i="26"/>
  <c r="AC46" i="26"/>
  <c r="H40" i="26"/>
  <c r="N40" i="26"/>
  <c r="AK40" i="26"/>
  <c r="U23" i="26"/>
  <c r="P23" i="26"/>
  <c r="AP23" i="26" s="1" a="1"/>
  <c r="AP23" i="26" s="1"/>
  <c r="G40" i="26"/>
  <c r="W40" i="26"/>
  <c r="AH40" i="26"/>
  <c r="T23" i="26"/>
  <c r="R23" i="26"/>
  <c r="S23" i="26"/>
  <c r="V23" i="26"/>
  <c r="AC40" i="26"/>
  <c r="AJ40" i="26"/>
  <c r="R40" i="26"/>
  <c r="AI40" i="26"/>
  <c r="Z23" i="26"/>
  <c r="AF40" i="26"/>
  <c r="T40" i="26"/>
  <c r="AN23" i="26"/>
  <c r="AR23" i="26" s="1" a="1"/>
  <c r="AR23" i="26" s="1"/>
  <c r="AA23" i="26"/>
  <c r="Q40" i="26"/>
  <c r="Z40" i="26"/>
  <c r="AF23" i="26"/>
  <c r="AC23" i="26"/>
  <c r="O23" i="26"/>
  <c r="AK23" i="26"/>
  <c r="N36" i="84" l="1" a="1"/>
  <c r="N36" i="84" s="1"/>
  <c r="F36" i="84" s="1"/>
  <c r="O36" i="84" a="1"/>
  <c r="O36" i="84" s="1"/>
  <c r="G36" i="84" s="1"/>
  <c r="N36" i="34" s="1"/>
  <c r="P36" i="84" a="1"/>
  <c r="P36" i="84" s="1"/>
  <c r="H36" i="84" s="1"/>
  <c r="O36" i="34" s="1"/>
  <c r="S21" i="34"/>
  <c r="G21" i="34" s="1"/>
  <c r="Q21" i="34"/>
  <c r="R21" i="34"/>
  <c r="F21" i="34" s="1"/>
  <c r="M21" i="34"/>
  <c r="E21" i="34" s="1"/>
  <c r="I45" i="34"/>
  <c r="AE17" i="98"/>
  <c r="AI17" i="98"/>
  <c r="E50" i="73" a="1"/>
  <c r="L58" i="73" s="1"/>
  <c r="AA13" i="98"/>
  <c r="U20" i="98"/>
  <c r="M26" i="34"/>
  <c r="E49" i="13"/>
  <c r="E50" i="13" s="1" a="1"/>
  <c r="G52" i="13" s="1"/>
  <c r="G53" i="13" s="1"/>
  <c r="E49" i="23"/>
  <c r="E50" i="23" s="1" a="1"/>
  <c r="E49" i="29"/>
  <c r="E50" i="29" s="1" a="1"/>
  <c r="E49" i="24"/>
  <c r="E50" i="24" s="1" a="1"/>
  <c r="E49" i="30"/>
  <c r="E50" i="30" s="1" a="1"/>
  <c r="E49" i="33"/>
  <c r="E50" i="33" s="1" a="1"/>
  <c r="E49" i="60"/>
  <c r="E50" i="60" s="1" a="1"/>
  <c r="E49" i="61"/>
  <c r="E50" i="61" s="1" a="1"/>
  <c r="E49" i="88"/>
  <c r="E50" i="88" s="1" a="1"/>
  <c r="E49" i="32"/>
  <c r="E50" i="32" s="1" a="1"/>
  <c r="E49" i="31"/>
  <c r="E50" i="31" s="1" a="1"/>
  <c r="E49" i="25"/>
  <c r="E50" i="25" s="1" a="1"/>
  <c r="E49" i="50"/>
  <c r="E50" i="50" s="1" a="1"/>
  <c r="E49" i="35"/>
  <c r="E50" i="35" s="1" a="1"/>
  <c r="E49" i="70"/>
  <c r="E50" i="70" s="1" a="1"/>
  <c r="E49" i="89"/>
  <c r="E50" i="89" s="1" a="1"/>
  <c r="E49" i="52"/>
  <c r="E50" i="52" s="1" a="1"/>
  <c r="E49" i="37"/>
  <c r="E50" i="37" s="1" a="1"/>
  <c r="E49" i="65"/>
  <c r="E50" i="65" s="1" a="1"/>
  <c r="E49" i="66"/>
  <c r="E50" i="66" s="1" a="1"/>
  <c r="E49" i="67"/>
  <c r="E50" i="67" s="1" a="1"/>
  <c r="E49" i="53"/>
  <c r="E50" i="53" s="1" a="1"/>
  <c r="E49" i="45"/>
  <c r="E50" i="45" s="1" a="1"/>
  <c r="E49" i="62"/>
  <c r="E50" i="62" s="1" a="1"/>
  <c r="E49" i="48"/>
  <c r="E50" i="48" s="1" a="1"/>
  <c r="E49" i="38"/>
  <c r="E50" i="38" s="1" a="1"/>
  <c r="E49" i="54"/>
  <c r="E50" i="54" s="1" a="1"/>
  <c r="E49" i="39"/>
  <c r="E50" i="39" s="1" a="1"/>
  <c r="E49" i="55"/>
  <c r="E50" i="55" s="1" a="1"/>
  <c r="E49" i="56"/>
  <c r="E50" i="56" s="1" a="1"/>
  <c r="E49" i="41"/>
  <c r="E50" i="41" s="1" a="1"/>
  <c r="E49" i="49"/>
  <c r="E50" i="49" s="1" a="1"/>
  <c r="E49" i="71"/>
  <c r="E50" i="71" s="1" a="1"/>
  <c r="E49" i="74"/>
  <c r="E50" i="74" s="1" a="1"/>
  <c r="E49" i="57"/>
  <c r="E50" i="57" s="1" a="1"/>
  <c r="E49" i="59"/>
  <c r="E50" i="59" s="1" a="1"/>
  <c r="E49" i="63"/>
  <c r="E50" i="63" s="1" a="1"/>
  <c r="E49" i="72"/>
  <c r="E50" i="72" s="1" a="1"/>
  <c r="E49" i="19"/>
  <c r="E50" i="19" s="1" a="1"/>
  <c r="E49" i="51"/>
  <c r="E50" i="51" s="1" a="1"/>
  <c r="E49" i="68"/>
  <c r="E50" i="68" s="1" a="1"/>
  <c r="E49" i="44"/>
  <c r="E50" i="44" s="1" a="1"/>
  <c r="E49" i="91"/>
  <c r="E50" i="91" s="1" a="1"/>
  <c r="E49" i="75"/>
  <c r="E50" i="75" s="1" a="1"/>
  <c r="E49" i="90"/>
  <c r="E50" i="90" s="1" a="1"/>
  <c r="H28" i="85"/>
  <c r="S28" i="34" s="1"/>
  <c r="G28" i="34" s="1"/>
  <c r="E22" i="78" a="1"/>
  <c r="E22" i="78" s="1"/>
  <c r="F26" i="85"/>
  <c r="Q26" i="34" s="1"/>
  <c r="E26" i="34" s="1"/>
  <c r="H26" i="85"/>
  <c r="S26" i="34" s="1"/>
  <c r="G26" i="34" s="1"/>
  <c r="G26" i="85"/>
  <c r="R26" i="34" s="1"/>
  <c r="F26" i="34" s="1"/>
  <c r="F28" i="85"/>
  <c r="Q28" i="34" s="1"/>
  <c r="E28" i="34" s="1"/>
  <c r="J17" i="9"/>
  <c r="J23" i="9" a="1"/>
  <c r="J23" i="9" s="1"/>
  <c r="AP40" i="26" a="1"/>
  <c r="AP40" i="26" s="1"/>
  <c r="H22" i="85"/>
  <c r="H16" i="85" s="1"/>
  <c r="G22" i="85"/>
  <c r="G16" i="85" s="1"/>
  <c r="S36" i="85"/>
  <c r="N36" i="85"/>
  <c r="X10" i="98" s="1"/>
  <c r="L36" i="85"/>
  <c r="P36" i="85"/>
  <c r="J36" i="85"/>
  <c r="W10" i="98" s="1"/>
  <c r="O36" i="85"/>
  <c r="R36" i="85"/>
  <c r="Y10" i="98" s="1"/>
  <c r="T36" i="85"/>
  <c r="K36" i="85"/>
  <c r="F22" i="85"/>
  <c r="G28" i="85"/>
  <c r="R28" i="34" s="1"/>
  <c r="F28" i="34" s="1"/>
  <c r="L27" i="85"/>
  <c r="K27" i="85"/>
  <c r="O27" i="85"/>
  <c r="AR40" i="26" a="1"/>
  <c r="AR40" i="26" s="1"/>
  <c r="AQ40" i="26" a="1"/>
  <c r="AQ40" i="26" s="1"/>
  <c r="J27" i="85"/>
  <c r="T27" i="85"/>
  <c r="S27" i="85"/>
  <c r="R27" i="85"/>
  <c r="P27" i="85"/>
  <c r="N27" i="85"/>
  <c r="G22" i="84"/>
  <c r="H22" i="84"/>
  <c r="F22" i="84"/>
  <c r="F16" i="84" s="1"/>
  <c r="AR45" i="26" a="1"/>
  <c r="AR45" i="26" s="1"/>
  <c r="AQ45" i="26" a="1"/>
  <c r="AQ45" i="26" s="1"/>
  <c r="AQ44" i="26" a="1"/>
  <c r="AQ44" i="26" s="1"/>
  <c r="AR44" i="26" a="1"/>
  <c r="AR44" i="26" s="1"/>
  <c r="AP32" i="26" a="1"/>
  <c r="AP32" i="26" s="1"/>
  <c r="AP33" i="26" a="1"/>
  <c r="AP33" i="26" s="1"/>
  <c r="AQ46" i="26" a="1"/>
  <c r="AQ46" i="26" s="1"/>
  <c r="AR46" i="26" a="1"/>
  <c r="AR46" i="26" s="1"/>
  <c r="O17" i="9" a="1"/>
  <c r="O17" i="9" s="1"/>
  <c r="O23" i="9" s="1"/>
  <c r="N17" i="9" a="1"/>
  <c r="N17" i="9" s="1"/>
  <c r="N23" i="9" s="1"/>
  <c r="L17" i="9" a="1"/>
  <c r="L17" i="9" s="1"/>
  <c r="L23" i="9" s="1"/>
  <c r="M17" i="9" a="1"/>
  <c r="M17" i="9" s="1"/>
  <c r="M23" i="9" s="1"/>
  <c r="AX4" i="69"/>
  <c r="E41" i="78"/>
  <c r="Q41" i="26"/>
  <c r="AC41" i="26"/>
  <c r="E45" i="26"/>
  <c r="Y37" i="78"/>
  <c r="Z37" i="78"/>
  <c r="P37" i="78"/>
  <c r="J37" i="78"/>
  <c r="L37" i="78"/>
  <c r="E35" i="78"/>
  <c r="AB37" i="78"/>
  <c r="Q37" i="78"/>
  <c r="H37" i="78"/>
  <c r="AA37" i="78"/>
  <c r="AC37" i="78"/>
  <c r="G37" i="78"/>
  <c r="U37" i="78"/>
  <c r="W37" i="78"/>
  <c r="AE37" i="78"/>
  <c r="AJ37" i="78"/>
  <c r="AM37" i="78"/>
  <c r="T37" i="78"/>
  <c r="AF37" i="78"/>
  <c r="AD37" i="78"/>
  <c r="AN37" i="78"/>
  <c r="N37" i="78"/>
  <c r="S37" i="78"/>
  <c r="AK37" i="78"/>
  <c r="AG37" i="78"/>
  <c r="V37" i="78"/>
  <c r="K37" i="78"/>
  <c r="O37" i="78"/>
  <c r="AI37" i="78"/>
  <c r="F37" i="78"/>
  <c r="M37" i="78"/>
  <c r="R37" i="78"/>
  <c r="I37" i="78"/>
  <c r="AH37" i="78"/>
  <c r="X37" i="78"/>
  <c r="AL37" i="78"/>
  <c r="E23" i="26"/>
  <c r="E44" i="26"/>
  <c r="E46" i="26"/>
  <c r="N22" i="34" l="1"/>
  <c r="G16" i="84"/>
  <c r="O22" i="34"/>
  <c r="H16" i="84"/>
  <c r="Q22" i="34"/>
  <c r="F16" i="85"/>
  <c r="M22" i="34"/>
  <c r="E22" i="34" s="1"/>
  <c r="E16" i="34" s="1"/>
  <c r="C17" i="9"/>
  <c r="H17" i="9" s="1"/>
  <c r="V10" i="98"/>
  <c r="AA10" i="98" s="1"/>
  <c r="C26" i="9"/>
  <c r="J58" i="73"/>
  <c r="G58" i="73"/>
  <c r="E50" i="73"/>
  <c r="E52" i="73" s="1"/>
  <c r="E53" i="73" s="1"/>
  <c r="K58" i="73"/>
  <c r="H58" i="73"/>
  <c r="AN52" i="73"/>
  <c r="AN53" i="73" s="1"/>
  <c r="AM52" i="73"/>
  <c r="AM53" i="73" s="1"/>
  <c r="AE52" i="73"/>
  <c r="AE53" i="73" s="1"/>
  <c r="AD52" i="73"/>
  <c r="AD53" i="73" s="1"/>
  <c r="O52" i="73"/>
  <c r="O53" i="73" s="1"/>
  <c r="P52" i="73"/>
  <c r="P53" i="73" s="1"/>
  <c r="G52" i="73"/>
  <c r="G53" i="73" s="1"/>
  <c r="F52" i="73"/>
  <c r="F53" i="73" s="1"/>
  <c r="AN58" i="73"/>
  <c r="AH58" i="73"/>
  <c r="AC52" i="73"/>
  <c r="AC53" i="73" s="1"/>
  <c r="AE58" i="73"/>
  <c r="AB52" i="73"/>
  <c r="AB53" i="73" s="1"/>
  <c r="AL58" i="73"/>
  <c r="AA52" i="73"/>
  <c r="AA53" i="73" s="1"/>
  <c r="AK58" i="73"/>
  <c r="S52" i="73"/>
  <c r="S53" i="73" s="1"/>
  <c r="AJ58" i="73"/>
  <c r="AM58" i="73"/>
  <c r="R52" i="73"/>
  <c r="R53" i="73" s="1"/>
  <c r="AI58" i="73"/>
  <c r="N58" i="73"/>
  <c r="Q52" i="73"/>
  <c r="Q53" i="73" s="1"/>
  <c r="AF58" i="73"/>
  <c r="AG58" i="73"/>
  <c r="AL52" i="73"/>
  <c r="AL53" i="73" s="1"/>
  <c r="Z52" i="73"/>
  <c r="Z53" i="73" s="1"/>
  <c r="N52" i="73"/>
  <c r="N53" i="73" s="1"/>
  <c r="Z58" i="73"/>
  <c r="AB58" i="73"/>
  <c r="AD58" i="73"/>
  <c r="AK52" i="73"/>
  <c r="AK53" i="73" s="1"/>
  <c r="Y52" i="73"/>
  <c r="Y53" i="73" s="1"/>
  <c r="M52" i="73"/>
  <c r="M53" i="73" s="1"/>
  <c r="W58" i="73"/>
  <c r="Y58" i="73"/>
  <c r="AC58" i="73"/>
  <c r="AJ52" i="73"/>
  <c r="AJ53" i="73" s="1"/>
  <c r="X52" i="73"/>
  <c r="X53" i="73" s="1"/>
  <c r="L52" i="73"/>
  <c r="L53" i="73" s="1"/>
  <c r="R58" i="73"/>
  <c r="V58" i="73"/>
  <c r="AA58" i="73"/>
  <c r="AI52" i="73"/>
  <c r="AI53" i="73" s="1"/>
  <c r="W52" i="73"/>
  <c r="W53" i="73" s="1"/>
  <c r="K52" i="73"/>
  <c r="K53" i="73" s="1"/>
  <c r="P58" i="73"/>
  <c r="T58" i="73"/>
  <c r="X58" i="73"/>
  <c r="AH52" i="73"/>
  <c r="AH53" i="73" s="1"/>
  <c r="V52" i="73"/>
  <c r="V53" i="73" s="1"/>
  <c r="J52" i="73"/>
  <c r="J53" i="73" s="1"/>
  <c r="M58" i="73"/>
  <c r="Q58" i="73"/>
  <c r="U58" i="73"/>
  <c r="AG52" i="73"/>
  <c r="AG53" i="73" s="1"/>
  <c r="U52" i="73"/>
  <c r="U53" i="73" s="1"/>
  <c r="I52" i="73"/>
  <c r="I53" i="73" s="1"/>
  <c r="I58" i="73"/>
  <c r="O58" i="73"/>
  <c r="S58" i="73"/>
  <c r="AF52" i="73"/>
  <c r="AF53" i="73" s="1"/>
  <c r="T52" i="73"/>
  <c r="T53" i="73" s="1"/>
  <c r="H52" i="73"/>
  <c r="H53" i="73" s="1"/>
  <c r="F58" i="73"/>
  <c r="H52" i="13"/>
  <c r="H53" i="13" s="1"/>
  <c r="K52" i="13"/>
  <c r="K53" i="13" s="1"/>
  <c r="L52" i="13"/>
  <c r="L53" i="13" s="1"/>
  <c r="N52" i="13"/>
  <c r="N53" i="13" s="1"/>
  <c r="P52" i="13"/>
  <c r="P53" i="13" s="1"/>
  <c r="R52" i="13"/>
  <c r="R53" i="13" s="1"/>
  <c r="U52" i="13"/>
  <c r="U53" i="13" s="1"/>
  <c r="W52" i="13"/>
  <c r="W53" i="13" s="1"/>
  <c r="X52" i="13"/>
  <c r="X53" i="13" s="1"/>
  <c r="Z52" i="13"/>
  <c r="Z53" i="13" s="1"/>
  <c r="AB52" i="13"/>
  <c r="AB53" i="13" s="1"/>
  <c r="AD52" i="13"/>
  <c r="AD53" i="13" s="1"/>
  <c r="AG52" i="13"/>
  <c r="AG53" i="13" s="1"/>
  <c r="AI52" i="13"/>
  <c r="AI53" i="13" s="1"/>
  <c r="AK52" i="13"/>
  <c r="AK53" i="13" s="1"/>
  <c r="AM52" i="13"/>
  <c r="AM53" i="13" s="1"/>
  <c r="J58" i="13"/>
  <c r="Q58" i="13"/>
  <c r="H58" i="13"/>
  <c r="M58" i="13"/>
  <c r="R58" i="13"/>
  <c r="W58" i="13"/>
  <c r="AA58" i="13"/>
  <c r="AE58" i="13"/>
  <c r="AG58" i="13"/>
  <c r="AI58" i="13"/>
  <c r="AL58" i="13"/>
  <c r="AM58" i="13"/>
  <c r="G58" i="13"/>
  <c r="L58" i="13"/>
  <c r="S58" i="13"/>
  <c r="X58" i="13"/>
  <c r="AJ58" i="13"/>
  <c r="F52" i="13"/>
  <c r="F53" i="13" s="1"/>
  <c r="I52" i="13"/>
  <c r="I53" i="13" s="1"/>
  <c r="J52" i="13"/>
  <c r="J53" i="13" s="1"/>
  <c r="M52" i="13"/>
  <c r="M53" i="13" s="1"/>
  <c r="O52" i="13"/>
  <c r="O53" i="13" s="1"/>
  <c r="Q52" i="13"/>
  <c r="Q53" i="13" s="1"/>
  <c r="S52" i="13"/>
  <c r="S53" i="13" s="1"/>
  <c r="T52" i="13"/>
  <c r="T53" i="13" s="1"/>
  <c r="V52" i="13"/>
  <c r="V53" i="13" s="1"/>
  <c r="Y52" i="13"/>
  <c r="Y53" i="13" s="1"/>
  <c r="AA52" i="13"/>
  <c r="AA53" i="13" s="1"/>
  <c r="AC52" i="13"/>
  <c r="AC53" i="13" s="1"/>
  <c r="AE52" i="13"/>
  <c r="AE53" i="13" s="1"/>
  <c r="AF52" i="13"/>
  <c r="AF53" i="13" s="1"/>
  <c r="AH52" i="13"/>
  <c r="AH53" i="13" s="1"/>
  <c r="AJ52" i="13"/>
  <c r="AJ53" i="13" s="1"/>
  <c r="AL52" i="13"/>
  <c r="AL53" i="13" s="1"/>
  <c r="AN52" i="13"/>
  <c r="AN53" i="13" s="1"/>
  <c r="F58" i="13"/>
  <c r="N58" i="13"/>
  <c r="U58" i="13"/>
  <c r="AD58" i="13"/>
  <c r="K58" i="13"/>
  <c r="P58" i="13"/>
  <c r="T58" i="13"/>
  <c r="Y58" i="13"/>
  <c r="AC58" i="13"/>
  <c r="AF58" i="13"/>
  <c r="AH58" i="13"/>
  <c r="AK58" i="13"/>
  <c r="AN58" i="13"/>
  <c r="I58" i="13"/>
  <c r="O58" i="13"/>
  <c r="V58" i="13"/>
  <c r="Z58" i="13"/>
  <c r="AB58" i="13"/>
  <c r="E50" i="13"/>
  <c r="F52" i="23"/>
  <c r="F53" i="23" s="1"/>
  <c r="G52" i="23"/>
  <c r="G53" i="23" s="1"/>
  <c r="H52" i="23"/>
  <c r="H53" i="23" s="1"/>
  <c r="I52" i="23"/>
  <c r="I53" i="23" s="1"/>
  <c r="J52" i="23"/>
  <c r="J53" i="23" s="1"/>
  <c r="K52" i="23"/>
  <c r="K53" i="23" s="1"/>
  <c r="L52" i="23"/>
  <c r="L53" i="23" s="1"/>
  <c r="M52" i="23"/>
  <c r="M53" i="23" s="1"/>
  <c r="N52" i="23"/>
  <c r="N53" i="23" s="1"/>
  <c r="O52" i="23"/>
  <c r="O53" i="23" s="1"/>
  <c r="P52" i="23"/>
  <c r="P53" i="23" s="1"/>
  <c r="Q52" i="23"/>
  <c r="Q53" i="23" s="1"/>
  <c r="R52" i="23"/>
  <c r="R53" i="23" s="1"/>
  <c r="S52" i="23"/>
  <c r="S53" i="23" s="1"/>
  <c r="T52" i="23"/>
  <c r="T53" i="23" s="1"/>
  <c r="U52" i="23"/>
  <c r="U53" i="23" s="1"/>
  <c r="V52" i="23"/>
  <c r="V53" i="23" s="1"/>
  <c r="W52" i="23"/>
  <c r="W53" i="23" s="1"/>
  <c r="X52" i="23"/>
  <c r="X53" i="23" s="1"/>
  <c r="Y52" i="23"/>
  <c r="Y53" i="23" s="1"/>
  <c r="Z52" i="23"/>
  <c r="Z53" i="23" s="1"/>
  <c r="AA52" i="23"/>
  <c r="AA53" i="23" s="1"/>
  <c r="AB52" i="23"/>
  <c r="AB53" i="23" s="1"/>
  <c r="AC52" i="23"/>
  <c r="AC53" i="23" s="1"/>
  <c r="AD52" i="23"/>
  <c r="AD53" i="23" s="1"/>
  <c r="AE52" i="23"/>
  <c r="AE53" i="23" s="1"/>
  <c r="AF52" i="23"/>
  <c r="AF53" i="23" s="1"/>
  <c r="AG52" i="23"/>
  <c r="AG53" i="23" s="1"/>
  <c r="AH52" i="23"/>
  <c r="AH53" i="23" s="1"/>
  <c r="AI52" i="23"/>
  <c r="AI53" i="23" s="1"/>
  <c r="AJ52" i="23"/>
  <c r="AJ53" i="23" s="1"/>
  <c r="AK52" i="23"/>
  <c r="AK53" i="23" s="1"/>
  <c r="AL52" i="23"/>
  <c r="AL53" i="23" s="1"/>
  <c r="AM52" i="23"/>
  <c r="AM53" i="23" s="1"/>
  <c r="AN52" i="23"/>
  <c r="AN53" i="23" s="1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E50" i="23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AN52" i="29"/>
  <c r="AN53" i="29" s="1"/>
  <c r="AM52" i="29"/>
  <c r="AM53" i="29" s="1"/>
  <c r="AL52" i="29"/>
  <c r="AL53" i="29" s="1"/>
  <c r="AK52" i="29"/>
  <c r="AK53" i="29" s="1"/>
  <c r="AJ52" i="29"/>
  <c r="AJ53" i="29" s="1"/>
  <c r="AI52" i="29"/>
  <c r="AI53" i="29" s="1"/>
  <c r="AH52" i="29"/>
  <c r="AH53" i="29" s="1"/>
  <c r="AG52" i="29"/>
  <c r="AG53" i="29" s="1"/>
  <c r="AF52" i="29"/>
  <c r="AF53" i="29" s="1"/>
  <c r="AE52" i="29"/>
  <c r="AE53" i="29" s="1"/>
  <c r="AD52" i="29"/>
  <c r="AD53" i="29" s="1"/>
  <c r="AC52" i="29"/>
  <c r="AC53" i="29" s="1"/>
  <c r="AB52" i="29"/>
  <c r="AB53" i="29" s="1"/>
  <c r="AA52" i="29"/>
  <c r="AA53" i="29" s="1"/>
  <c r="Z52" i="29"/>
  <c r="Z53" i="29" s="1"/>
  <c r="Y52" i="29"/>
  <c r="Y53" i="29" s="1"/>
  <c r="X52" i="29"/>
  <c r="X53" i="29" s="1"/>
  <c r="W52" i="29"/>
  <c r="W53" i="29" s="1"/>
  <c r="V52" i="29"/>
  <c r="V53" i="29" s="1"/>
  <c r="U52" i="29"/>
  <c r="U53" i="29" s="1"/>
  <c r="T52" i="29"/>
  <c r="T53" i="29" s="1"/>
  <c r="S52" i="29"/>
  <c r="S53" i="29" s="1"/>
  <c r="R52" i="29"/>
  <c r="R53" i="29" s="1"/>
  <c r="Q52" i="29"/>
  <c r="Q53" i="29" s="1"/>
  <c r="P52" i="29"/>
  <c r="P53" i="29" s="1"/>
  <c r="O52" i="29"/>
  <c r="O53" i="29" s="1"/>
  <c r="N52" i="29"/>
  <c r="N53" i="29" s="1"/>
  <c r="M52" i="29"/>
  <c r="M53" i="29" s="1"/>
  <c r="L52" i="29"/>
  <c r="L53" i="29" s="1"/>
  <c r="K52" i="29"/>
  <c r="K53" i="29" s="1"/>
  <c r="J52" i="29"/>
  <c r="J53" i="29" s="1"/>
  <c r="I52" i="29"/>
  <c r="I53" i="29" s="1"/>
  <c r="H52" i="29"/>
  <c r="H53" i="29" s="1"/>
  <c r="G52" i="29"/>
  <c r="G53" i="29" s="1"/>
  <c r="F52" i="29"/>
  <c r="F53" i="29" s="1"/>
  <c r="E50" i="29"/>
  <c r="I52" i="24"/>
  <c r="I53" i="24" s="1"/>
  <c r="M52" i="24"/>
  <c r="M53" i="24" s="1"/>
  <c r="T52" i="24"/>
  <c r="T53" i="24" s="1"/>
  <c r="V52" i="24"/>
  <c r="V53" i="24" s="1"/>
  <c r="Y52" i="24"/>
  <c r="Y53" i="24" s="1"/>
  <c r="AC52" i="24"/>
  <c r="AC53" i="24" s="1"/>
  <c r="AF52" i="24"/>
  <c r="AF53" i="24" s="1"/>
  <c r="AH52" i="24"/>
  <c r="AH53" i="24" s="1"/>
  <c r="AJ52" i="24"/>
  <c r="AJ53" i="24" s="1"/>
  <c r="AL52" i="24"/>
  <c r="AL53" i="24" s="1"/>
  <c r="AN52" i="24"/>
  <c r="AN53" i="24" s="1"/>
  <c r="I58" i="24"/>
  <c r="F52" i="24"/>
  <c r="F53" i="24" s="1"/>
  <c r="L52" i="24"/>
  <c r="L53" i="24" s="1"/>
  <c r="P52" i="24"/>
  <c r="P53" i="24" s="1"/>
  <c r="R52" i="24"/>
  <c r="R53" i="24" s="1"/>
  <c r="X52" i="24"/>
  <c r="X53" i="24" s="1"/>
  <c r="AB52" i="24"/>
  <c r="AB53" i="24" s="1"/>
  <c r="H58" i="24"/>
  <c r="J58" i="24"/>
  <c r="L58" i="24"/>
  <c r="M58" i="24"/>
  <c r="P58" i="24"/>
  <c r="R58" i="24"/>
  <c r="U58" i="24"/>
  <c r="V58" i="24"/>
  <c r="Y58" i="24"/>
  <c r="AA58" i="24"/>
  <c r="AC58" i="24"/>
  <c r="AE58" i="24"/>
  <c r="AG58" i="24"/>
  <c r="AI58" i="24"/>
  <c r="AK58" i="24"/>
  <c r="AN58" i="24"/>
  <c r="G52" i="24"/>
  <c r="G53" i="24" s="1"/>
  <c r="K52" i="24"/>
  <c r="K53" i="24" s="1"/>
  <c r="O52" i="24"/>
  <c r="O53" i="24" s="1"/>
  <c r="Q52" i="24"/>
  <c r="Q53" i="24" s="1"/>
  <c r="W52" i="24"/>
  <c r="W53" i="24" s="1"/>
  <c r="AA52" i="24"/>
  <c r="AA53" i="24" s="1"/>
  <c r="AD52" i="24"/>
  <c r="AD53" i="24" s="1"/>
  <c r="AE52" i="24"/>
  <c r="AE53" i="24" s="1"/>
  <c r="AG52" i="24"/>
  <c r="AG53" i="24" s="1"/>
  <c r="AI52" i="24"/>
  <c r="AI53" i="24" s="1"/>
  <c r="AK52" i="24"/>
  <c r="AK53" i="24" s="1"/>
  <c r="AM52" i="24"/>
  <c r="AM53" i="24" s="1"/>
  <c r="F58" i="24"/>
  <c r="O58" i="24"/>
  <c r="H52" i="24"/>
  <c r="H53" i="24" s="1"/>
  <c r="J52" i="24"/>
  <c r="J53" i="24" s="1"/>
  <c r="N52" i="24"/>
  <c r="N53" i="24" s="1"/>
  <c r="S52" i="24"/>
  <c r="S53" i="24" s="1"/>
  <c r="U52" i="24"/>
  <c r="U53" i="24" s="1"/>
  <c r="Z52" i="24"/>
  <c r="Z53" i="24" s="1"/>
  <c r="G58" i="24"/>
  <c r="K58" i="24"/>
  <c r="N58" i="24"/>
  <c r="Q58" i="24"/>
  <c r="S58" i="24"/>
  <c r="T58" i="24"/>
  <c r="W58" i="24"/>
  <c r="X58" i="24"/>
  <c r="Z58" i="24"/>
  <c r="AB58" i="24"/>
  <c r="AD58" i="24"/>
  <c r="AF58" i="24"/>
  <c r="AH58" i="24"/>
  <c r="AJ58" i="24"/>
  <c r="AL58" i="24"/>
  <c r="AM58" i="24"/>
  <c r="E50" i="24"/>
  <c r="G52" i="30"/>
  <c r="G53" i="30" s="1"/>
  <c r="I52" i="30"/>
  <c r="I53" i="30" s="1"/>
  <c r="K52" i="30"/>
  <c r="K53" i="30" s="1"/>
  <c r="M52" i="30"/>
  <c r="M53" i="30" s="1"/>
  <c r="O52" i="30"/>
  <c r="O53" i="30" s="1"/>
  <c r="Q52" i="30"/>
  <c r="Q53" i="30" s="1"/>
  <c r="S52" i="30"/>
  <c r="S53" i="30" s="1"/>
  <c r="U52" i="30"/>
  <c r="U53" i="30" s="1"/>
  <c r="V52" i="30"/>
  <c r="V53" i="30" s="1"/>
  <c r="X52" i="30"/>
  <c r="X53" i="30" s="1"/>
  <c r="Z52" i="30"/>
  <c r="Z53" i="30" s="1"/>
  <c r="AB52" i="30"/>
  <c r="AB53" i="30" s="1"/>
  <c r="AD52" i="30"/>
  <c r="AD53" i="30" s="1"/>
  <c r="AF52" i="30"/>
  <c r="AF53" i="30" s="1"/>
  <c r="AI52" i="30"/>
  <c r="AI53" i="30" s="1"/>
  <c r="AK52" i="30"/>
  <c r="AK53" i="30" s="1"/>
  <c r="AM52" i="30"/>
  <c r="AM53" i="30" s="1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F52" i="30"/>
  <c r="F53" i="30" s="1"/>
  <c r="H52" i="30"/>
  <c r="H53" i="30" s="1"/>
  <c r="J52" i="30"/>
  <c r="J53" i="30" s="1"/>
  <c r="L52" i="30"/>
  <c r="L53" i="30" s="1"/>
  <c r="N52" i="30"/>
  <c r="N53" i="30" s="1"/>
  <c r="P52" i="30"/>
  <c r="P53" i="30" s="1"/>
  <c r="R52" i="30"/>
  <c r="R53" i="30" s="1"/>
  <c r="T52" i="30"/>
  <c r="T53" i="30" s="1"/>
  <c r="W52" i="30"/>
  <c r="W53" i="30" s="1"/>
  <c r="Y52" i="30"/>
  <c r="Y53" i="30" s="1"/>
  <c r="AA52" i="30"/>
  <c r="AA53" i="30" s="1"/>
  <c r="AC52" i="30"/>
  <c r="AC53" i="30" s="1"/>
  <c r="AE52" i="30"/>
  <c r="AE53" i="30" s="1"/>
  <c r="AG52" i="30"/>
  <c r="AG53" i="30" s="1"/>
  <c r="AH52" i="30"/>
  <c r="AH53" i="30" s="1"/>
  <c r="AJ52" i="30"/>
  <c r="AJ53" i="30" s="1"/>
  <c r="AL52" i="30"/>
  <c r="AL53" i="30" s="1"/>
  <c r="AN52" i="30"/>
  <c r="AN53" i="30" s="1"/>
  <c r="E50" i="30"/>
  <c r="L52" i="33"/>
  <c r="L53" i="33" s="1"/>
  <c r="F52" i="33"/>
  <c r="F53" i="33" s="1"/>
  <c r="G52" i="33"/>
  <c r="G53" i="33" s="1"/>
  <c r="H52" i="33"/>
  <c r="H53" i="33" s="1"/>
  <c r="I52" i="33"/>
  <c r="I53" i="33" s="1"/>
  <c r="J52" i="33"/>
  <c r="J53" i="33" s="1"/>
  <c r="K52" i="33"/>
  <c r="K53" i="33" s="1"/>
  <c r="M52" i="33"/>
  <c r="M53" i="33" s="1"/>
  <c r="N52" i="33"/>
  <c r="N53" i="33" s="1"/>
  <c r="O52" i="33"/>
  <c r="O53" i="33" s="1"/>
  <c r="P52" i="33"/>
  <c r="P53" i="33" s="1"/>
  <c r="Q52" i="33"/>
  <c r="Q53" i="33" s="1"/>
  <c r="R52" i="33"/>
  <c r="R53" i="33" s="1"/>
  <c r="S52" i="33"/>
  <c r="S53" i="33" s="1"/>
  <c r="T52" i="33"/>
  <c r="T53" i="33" s="1"/>
  <c r="U52" i="33"/>
  <c r="U53" i="33" s="1"/>
  <c r="V52" i="33"/>
  <c r="V53" i="33" s="1"/>
  <c r="W52" i="33"/>
  <c r="W53" i="33" s="1"/>
  <c r="X52" i="33"/>
  <c r="X53" i="33" s="1"/>
  <c r="Y52" i="33"/>
  <c r="Y53" i="33" s="1"/>
  <c r="Z52" i="33"/>
  <c r="Z53" i="33" s="1"/>
  <c r="AA52" i="33"/>
  <c r="AA53" i="33" s="1"/>
  <c r="AB52" i="33"/>
  <c r="AB53" i="33" s="1"/>
  <c r="AC52" i="33"/>
  <c r="AC53" i="33" s="1"/>
  <c r="AD52" i="33"/>
  <c r="AD53" i="33" s="1"/>
  <c r="AE52" i="33"/>
  <c r="AE53" i="33" s="1"/>
  <c r="AF52" i="33"/>
  <c r="AF53" i="33" s="1"/>
  <c r="AG52" i="33"/>
  <c r="AG53" i="33" s="1"/>
  <c r="AH52" i="33"/>
  <c r="AH53" i="33" s="1"/>
  <c r="AI52" i="33"/>
  <c r="AI53" i="33" s="1"/>
  <c r="AJ52" i="33"/>
  <c r="AJ53" i="33" s="1"/>
  <c r="AK52" i="33"/>
  <c r="AK53" i="33" s="1"/>
  <c r="AL52" i="33"/>
  <c r="AL53" i="33" s="1"/>
  <c r="AM52" i="33"/>
  <c r="AM53" i="33" s="1"/>
  <c r="AN52" i="33"/>
  <c r="AN53" i="33" s="1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AF58" i="33"/>
  <c r="AG58" i="33"/>
  <c r="AH58" i="33"/>
  <c r="AI58" i="33"/>
  <c r="AJ58" i="33"/>
  <c r="AK58" i="33"/>
  <c r="AL58" i="33"/>
  <c r="AM58" i="33"/>
  <c r="AN58" i="33"/>
  <c r="E50" i="33"/>
  <c r="W52" i="60"/>
  <c r="W53" i="60" s="1"/>
  <c r="AB52" i="60"/>
  <c r="AB53" i="60" s="1"/>
  <c r="F52" i="60"/>
  <c r="F53" i="60" s="1"/>
  <c r="J52" i="60"/>
  <c r="J53" i="60" s="1"/>
  <c r="M52" i="60"/>
  <c r="M53" i="60" s="1"/>
  <c r="S52" i="60"/>
  <c r="S53" i="60" s="1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Z58" i="60"/>
  <c r="AA58" i="60"/>
  <c r="AB58" i="60"/>
  <c r="AC58" i="60"/>
  <c r="AD58" i="60"/>
  <c r="AE58" i="60"/>
  <c r="AF58" i="60"/>
  <c r="AG58" i="60"/>
  <c r="AH58" i="60"/>
  <c r="AI58" i="60"/>
  <c r="AJ58" i="60"/>
  <c r="AK58" i="60"/>
  <c r="AL58" i="60"/>
  <c r="AM58" i="60"/>
  <c r="AN58" i="60"/>
  <c r="G52" i="60"/>
  <c r="G53" i="60" s="1"/>
  <c r="I52" i="60"/>
  <c r="I53" i="60" s="1"/>
  <c r="L52" i="60"/>
  <c r="L53" i="60" s="1"/>
  <c r="O52" i="60"/>
  <c r="O53" i="60" s="1"/>
  <c r="Q52" i="60"/>
  <c r="Q53" i="60" s="1"/>
  <c r="T52" i="60"/>
  <c r="T53" i="60" s="1"/>
  <c r="V52" i="60"/>
  <c r="V53" i="60" s="1"/>
  <c r="X52" i="60"/>
  <c r="X53" i="60" s="1"/>
  <c r="Y52" i="60"/>
  <c r="Y53" i="60" s="1"/>
  <c r="Z52" i="60"/>
  <c r="Z53" i="60" s="1"/>
  <c r="AA52" i="60"/>
  <c r="AA53" i="60" s="1"/>
  <c r="AC52" i="60"/>
  <c r="AC53" i="60" s="1"/>
  <c r="AD52" i="60"/>
  <c r="AD53" i="60" s="1"/>
  <c r="AE52" i="60"/>
  <c r="AE53" i="60" s="1"/>
  <c r="AF52" i="60"/>
  <c r="AF53" i="60" s="1"/>
  <c r="AG52" i="60"/>
  <c r="AG53" i="60" s="1"/>
  <c r="AH52" i="60"/>
  <c r="AH53" i="60" s="1"/>
  <c r="AI52" i="60"/>
  <c r="AI53" i="60" s="1"/>
  <c r="AJ52" i="60"/>
  <c r="AJ53" i="60" s="1"/>
  <c r="AK52" i="60"/>
  <c r="AK53" i="60" s="1"/>
  <c r="AL52" i="60"/>
  <c r="AL53" i="60" s="1"/>
  <c r="AM52" i="60"/>
  <c r="AM53" i="60" s="1"/>
  <c r="AN52" i="60"/>
  <c r="AN53" i="60" s="1"/>
  <c r="H52" i="60"/>
  <c r="H53" i="60" s="1"/>
  <c r="K52" i="60"/>
  <c r="K53" i="60" s="1"/>
  <c r="N52" i="60"/>
  <c r="N53" i="60" s="1"/>
  <c r="P52" i="60"/>
  <c r="P53" i="60" s="1"/>
  <c r="R52" i="60"/>
  <c r="R53" i="60" s="1"/>
  <c r="U52" i="60"/>
  <c r="U53" i="60" s="1"/>
  <c r="E50" i="60"/>
  <c r="AN52" i="61"/>
  <c r="AN53" i="61" s="1"/>
  <c r="AK52" i="61"/>
  <c r="AK53" i="61" s="1"/>
  <c r="AI52" i="61"/>
  <c r="AI53" i="61" s="1"/>
  <c r="AG52" i="61"/>
  <c r="AG53" i="61" s="1"/>
  <c r="AE52" i="61"/>
  <c r="AE53" i="61" s="1"/>
  <c r="AC52" i="61"/>
  <c r="AC53" i="61" s="1"/>
  <c r="AA52" i="61"/>
  <c r="AA53" i="61" s="1"/>
  <c r="Y52" i="61"/>
  <c r="Y53" i="61" s="1"/>
  <c r="V52" i="61"/>
  <c r="V53" i="61" s="1"/>
  <c r="T52" i="61"/>
  <c r="T53" i="61" s="1"/>
  <c r="S52" i="61"/>
  <c r="S53" i="61" s="1"/>
  <c r="Q52" i="61"/>
  <c r="Q53" i="61" s="1"/>
  <c r="N52" i="61"/>
  <c r="N53" i="61" s="1"/>
  <c r="L52" i="61"/>
  <c r="L53" i="61" s="1"/>
  <c r="I52" i="61"/>
  <c r="I53" i="61" s="1"/>
  <c r="G52" i="61"/>
  <c r="G53" i="61" s="1"/>
  <c r="AN58" i="61"/>
  <c r="AM58" i="61"/>
  <c r="AL58" i="61"/>
  <c r="AK58" i="61"/>
  <c r="AJ58" i="61"/>
  <c r="AI58" i="61"/>
  <c r="AH58" i="61"/>
  <c r="AG58" i="61"/>
  <c r="AF58" i="61"/>
  <c r="AE58" i="61"/>
  <c r="AD58" i="61"/>
  <c r="AC58" i="61"/>
  <c r="AB58" i="61"/>
  <c r="AA58" i="61"/>
  <c r="Z58" i="61"/>
  <c r="Y58" i="61"/>
  <c r="X58" i="61"/>
  <c r="W58" i="61"/>
  <c r="V58" i="61"/>
  <c r="U58" i="61"/>
  <c r="T58" i="61"/>
  <c r="S58" i="61"/>
  <c r="R58" i="61"/>
  <c r="Q58" i="61"/>
  <c r="P58" i="61"/>
  <c r="O58" i="61"/>
  <c r="N58" i="61"/>
  <c r="M58" i="61"/>
  <c r="L58" i="61"/>
  <c r="K58" i="61"/>
  <c r="J58" i="61"/>
  <c r="I58" i="61"/>
  <c r="H58" i="61"/>
  <c r="G58" i="61"/>
  <c r="F58" i="61"/>
  <c r="AM52" i="61"/>
  <c r="AM53" i="61" s="1"/>
  <c r="AL52" i="61"/>
  <c r="AL53" i="61" s="1"/>
  <c r="AJ52" i="61"/>
  <c r="AJ53" i="61" s="1"/>
  <c r="AH52" i="61"/>
  <c r="AH53" i="61" s="1"/>
  <c r="AF52" i="61"/>
  <c r="AF53" i="61" s="1"/>
  <c r="AD52" i="61"/>
  <c r="AD53" i="61" s="1"/>
  <c r="AB52" i="61"/>
  <c r="AB53" i="61" s="1"/>
  <c r="Z52" i="61"/>
  <c r="Z53" i="61" s="1"/>
  <c r="X52" i="61"/>
  <c r="X53" i="61" s="1"/>
  <c r="W52" i="61"/>
  <c r="W53" i="61" s="1"/>
  <c r="U52" i="61"/>
  <c r="U53" i="61" s="1"/>
  <c r="R52" i="61"/>
  <c r="R53" i="61" s="1"/>
  <c r="O52" i="61"/>
  <c r="O53" i="61" s="1"/>
  <c r="M52" i="61"/>
  <c r="M53" i="61" s="1"/>
  <c r="J52" i="61"/>
  <c r="J53" i="61" s="1"/>
  <c r="P52" i="61"/>
  <c r="P53" i="61" s="1"/>
  <c r="K52" i="61"/>
  <c r="K53" i="61" s="1"/>
  <c r="H52" i="61"/>
  <c r="H53" i="61" s="1"/>
  <c r="F52" i="61"/>
  <c r="F53" i="61" s="1"/>
  <c r="E50" i="61"/>
  <c r="E50" i="88"/>
  <c r="F52" i="88"/>
  <c r="F53" i="88" s="1"/>
  <c r="AA52" i="88"/>
  <c r="AA53" i="88" s="1"/>
  <c r="AD52" i="88"/>
  <c r="AD53" i="88" s="1"/>
  <c r="AF52" i="88"/>
  <c r="AF53" i="88" s="1"/>
  <c r="AI52" i="88"/>
  <c r="AI53" i="88" s="1"/>
  <c r="AM52" i="88"/>
  <c r="AM53" i="88" s="1"/>
  <c r="H52" i="88"/>
  <c r="H53" i="88" s="1"/>
  <c r="J52" i="88"/>
  <c r="J53" i="88" s="1"/>
  <c r="L52" i="88"/>
  <c r="L53" i="88" s="1"/>
  <c r="N52" i="88"/>
  <c r="N53" i="88" s="1"/>
  <c r="P52" i="88"/>
  <c r="P53" i="88" s="1"/>
  <c r="Q52" i="88"/>
  <c r="Q53" i="88" s="1"/>
  <c r="S52" i="88"/>
  <c r="S53" i="88" s="1"/>
  <c r="U52" i="88"/>
  <c r="U53" i="88" s="1"/>
  <c r="W52" i="88"/>
  <c r="W53" i="88" s="1"/>
  <c r="Y52" i="88"/>
  <c r="Y53" i="88" s="1"/>
  <c r="AB52" i="88"/>
  <c r="AB53" i="88" s="1"/>
  <c r="AE52" i="88"/>
  <c r="AE53" i="88" s="1"/>
  <c r="AG52" i="88"/>
  <c r="AG53" i="88" s="1"/>
  <c r="AJ52" i="88"/>
  <c r="AJ53" i="88" s="1"/>
  <c r="AK52" i="88"/>
  <c r="AK53" i="88" s="1"/>
  <c r="AL52" i="88"/>
  <c r="AL53" i="88" s="1"/>
  <c r="AN52" i="88"/>
  <c r="AN53" i="88" s="1"/>
  <c r="G58" i="88"/>
  <c r="I58" i="88"/>
  <c r="K58" i="88"/>
  <c r="M58" i="88"/>
  <c r="O58" i="88"/>
  <c r="Q58" i="88"/>
  <c r="T58" i="88"/>
  <c r="V58" i="88"/>
  <c r="X58" i="88"/>
  <c r="Z58" i="88"/>
  <c r="AB58" i="88"/>
  <c r="AD58" i="88"/>
  <c r="AE58" i="88"/>
  <c r="AF58" i="88"/>
  <c r="AG58" i="88"/>
  <c r="AH58" i="88"/>
  <c r="AJ58" i="88"/>
  <c r="AK58" i="88"/>
  <c r="AL58" i="88"/>
  <c r="AM58" i="88"/>
  <c r="AN58" i="88"/>
  <c r="G52" i="88"/>
  <c r="G53" i="88" s="1"/>
  <c r="I52" i="88"/>
  <c r="I53" i="88" s="1"/>
  <c r="K52" i="88"/>
  <c r="K53" i="88" s="1"/>
  <c r="M52" i="88"/>
  <c r="M53" i="88" s="1"/>
  <c r="O52" i="88"/>
  <c r="O53" i="88" s="1"/>
  <c r="R52" i="88"/>
  <c r="R53" i="88" s="1"/>
  <c r="T52" i="88"/>
  <c r="T53" i="88" s="1"/>
  <c r="V52" i="88"/>
  <c r="V53" i="88" s="1"/>
  <c r="X52" i="88"/>
  <c r="X53" i="88" s="1"/>
  <c r="Z52" i="88"/>
  <c r="Z53" i="88" s="1"/>
  <c r="AC52" i="88"/>
  <c r="AC53" i="88" s="1"/>
  <c r="AH52" i="88"/>
  <c r="AH53" i="88" s="1"/>
  <c r="F58" i="88"/>
  <c r="H58" i="88"/>
  <c r="J58" i="88"/>
  <c r="L58" i="88"/>
  <c r="N58" i="88"/>
  <c r="P58" i="88"/>
  <c r="R58" i="88"/>
  <c r="S58" i="88"/>
  <c r="U58" i="88"/>
  <c r="W58" i="88"/>
  <c r="Y58" i="88"/>
  <c r="AA58" i="88"/>
  <c r="AC58" i="88"/>
  <c r="AI58" i="88"/>
  <c r="F52" i="32"/>
  <c r="F53" i="32" s="1"/>
  <c r="G52" i="32"/>
  <c r="G53" i="32" s="1"/>
  <c r="H52" i="32"/>
  <c r="H53" i="32" s="1"/>
  <c r="I52" i="32"/>
  <c r="I53" i="32" s="1"/>
  <c r="J52" i="32"/>
  <c r="J53" i="32" s="1"/>
  <c r="K52" i="32"/>
  <c r="K53" i="32" s="1"/>
  <c r="L52" i="32"/>
  <c r="L53" i="32" s="1"/>
  <c r="M52" i="32"/>
  <c r="M53" i="32" s="1"/>
  <c r="N52" i="32"/>
  <c r="N53" i="32" s="1"/>
  <c r="O52" i="32"/>
  <c r="O53" i="32" s="1"/>
  <c r="P52" i="32"/>
  <c r="P53" i="32" s="1"/>
  <c r="Q52" i="32"/>
  <c r="Q53" i="32" s="1"/>
  <c r="R52" i="32"/>
  <c r="R53" i="32" s="1"/>
  <c r="S52" i="32"/>
  <c r="S53" i="32" s="1"/>
  <c r="T52" i="32"/>
  <c r="T53" i="32" s="1"/>
  <c r="U52" i="32"/>
  <c r="U53" i="32" s="1"/>
  <c r="V52" i="32"/>
  <c r="V53" i="32" s="1"/>
  <c r="W52" i="32"/>
  <c r="W53" i="32" s="1"/>
  <c r="X52" i="32"/>
  <c r="X53" i="32" s="1"/>
  <c r="Y52" i="32"/>
  <c r="Y53" i="32" s="1"/>
  <c r="Z52" i="32"/>
  <c r="Z53" i="32" s="1"/>
  <c r="AA52" i="32"/>
  <c r="AA53" i="32" s="1"/>
  <c r="AB52" i="32"/>
  <c r="AB53" i="32" s="1"/>
  <c r="AC52" i="32"/>
  <c r="AC53" i="32" s="1"/>
  <c r="AD52" i="32"/>
  <c r="AD53" i="32" s="1"/>
  <c r="AE52" i="32"/>
  <c r="AE53" i="32" s="1"/>
  <c r="AF52" i="32"/>
  <c r="AF53" i="32" s="1"/>
  <c r="AG52" i="32"/>
  <c r="AG53" i="32" s="1"/>
  <c r="AH52" i="32"/>
  <c r="AH53" i="32" s="1"/>
  <c r="AI52" i="32"/>
  <c r="AI53" i="32" s="1"/>
  <c r="AJ52" i="32"/>
  <c r="AJ53" i="32" s="1"/>
  <c r="AK52" i="32"/>
  <c r="AK53" i="32" s="1"/>
  <c r="AL52" i="32"/>
  <c r="AL53" i="32" s="1"/>
  <c r="AM52" i="32"/>
  <c r="AM53" i="32" s="1"/>
  <c r="AN52" i="32"/>
  <c r="AN53" i="32" s="1"/>
  <c r="F58" i="32"/>
  <c r="H58" i="32"/>
  <c r="J58" i="32"/>
  <c r="L58" i="32"/>
  <c r="N58" i="32"/>
  <c r="P58" i="32"/>
  <c r="R58" i="32"/>
  <c r="T58" i="32"/>
  <c r="V58" i="32"/>
  <c r="X58" i="32"/>
  <c r="AB58" i="32"/>
  <c r="G58" i="32"/>
  <c r="I58" i="32"/>
  <c r="K58" i="32"/>
  <c r="M58" i="32"/>
  <c r="O58" i="32"/>
  <c r="Q58" i="32"/>
  <c r="S58" i="32"/>
  <c r="U58" i="32"/>
  <c r="W58" i="32"/>
  <c r="Y58" i="32"/>
  <c r="Z58" i="32"/>
  <c r="AA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E50" i="32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AN52" i="31"/>
  <c r="AN53" i="31" s="1"/>
  <c r="AM52" i="31"/>
  <c r="AM53" i="31" s="1"/>
  <c r="AL52" i="31"/>
  <c r="AL53" i="31" s="1"/>
  <c r="AK52" i="31"/>
  <c r="AK53" i="31" s="1"/>
  <c r="AJ52" i="31"/>
  <c r="AJ53" i="31" s="1"/>
  <c r="AI52" i="31"/>
  <c r="AI53" i="31" s="1"/>
  <c r="AH52" i="31"/>
  <c r="AH53" i="31" s="1"/>
  <c r="AG52" i="31"/>
  <c r="AG53" i="31" s="1"/>
  <c r="AF52" i="31"/>
  <c r="AF53" i="31" s="1"/>
  <c r="AE52" i="31"/>
  <c r="AE53" i="31" s="1"/>
  <c r="AD52" i="31"/>
  <c r="AD53" i="31" s="1"/>
  <c r="AC52" i="31"/>
  <c r="AC53" i="31" s="1"/>
  <c r="AB52" i="31"/>
  <c r="AB53" i="31" s="1"/>
  <c r="AA52" i="31"/>
  <c r="AA53" i="31" s="1"/>
  <c r="Z52" i="31"/>
  <c r="Z53" i="31" s="1"/>
  <c r="Y52" i="31"/>
  <c r="Y53" i="31" s="1"/>
  <c r="X52" i="31"/>
  <c r="X53" i="31" s="1"/>
  <c r="W52" i="31"/>
  <c r="W53" i="31" s="1"/>
  <c r="V52" i="31"/>
  <c r="V53" i="31" s="1"/>
  <c r="U52" i="31"/>
  <c r="U53" i="31" s="1"/>
  <c r="T52" i="31"/>
  <c r="T53" i="31" s="1"/>
  <c r="S52" i="31"/>
  <c r="S53" i="31" s="1"/>
  <c r="R52" i="31"/>
  <c r="R53" i="31" s="1"/>
  <c r="Q52" i="31"/>
  <c r="Q53" i="31" s="1"/>
  <c r="P52" i="31"/>
  <c r="P53" i="31" s="1"/>
  <c r="O52" i="31"/>
  <c r="O53" i="31" s="1"/>
  <c r="N52" i="31"/>
  <c r="N53" i="31" s="1"/>
  <c r="M52" i="31"/>
  <c r="M53" i="31" s="1"/>
  <c r="L52" i="31"/>
  <c r="L53" i="31" s="1"/>
  <c r="K52" i="31"/>
  <c r="K53" i="31" s="1"/>
  <c r="J52" i="31"/>
  <c r="J53" i="31" s="1"/>
  <c r="I52" i="31"/>
  <c r="I53" i="31" s="1"/>
  <c r="H52" i="31"/>
  <c r="H53" i="31" s="1"/>
  <c r="G52" i="31"/>
  <c r="G53" i="31" s="1"/>
  <c r="F52" i="31"/>
  <c r="F53" i="31" s="1"/>
  <c r="E50" i="31"/>
  <c r="X52" i="25"/>
  <c r="X53" i="25" s="1"/>
  <c r="AJ52" i="25"/>
  <c r="AJ53" i="25" s="1"/>
  <c r="AM52" i="25"/>
  <c r="AM53" i="25" s="1"/>
  <c r="R58" i="25"/>
  <c r="T58" i="25"/>
  <c r="W58" i="25"/>
  <c r="AC58" i="25"/>
  <c r="AI58" i="25"/>
  <c r="I52" i="25"/>
  <c r="I53" i="25" s="1"/>
  <c r="M52" i="25"/>
  <c r="M53" i="25" s="1"/>
  <c r="W52" i="25"/>
  <c r="W53" i="25" s="1"/>
  <c r="AB52" i="25"/>
  <c r="AB53" i="25" s="1"/>
  <c r="AG52" i="25"/>
  <c r="AG53" i="25" s="1"/>
  <c r="AL52" i="25"/>
  <c r="AL53" i="25" s="1"/>
  <c r="G58" i="25"/>
  <c r="O58" i="25"/>
  <c r="X58" i="25"/>
  <c r="AK58" i="25"/>
  <c r="L52" i="25"/>
  <c r="L53" i="25" s="1"/>
  <c r="Q52" i="25"/>
  <c r="Q53" i="25" s="1"/>
  <c r="AF52" i="25"/>
  <c r="AF53" i="25" s="1"/>
  <c r="AI52" i="25"/>
  <c r="AI53" i="25" s="1"/>
  <c r="J58" i="25"/>
  <c r="L58" i="25"/>
  <c r="S58" i="25"/>
  <c r="Y58" i="25"/>
  <c r="AF58" i="25"/>
  <c r="AL58" i="25"/>
  <c r="G52" i="25"/>
  <c r="G53" i="25" s="1"/>
  <c r="O52" i="25"/>
  <c r="O53" i="25" s="1"/>
  <c r="U52" i="25"/>
  <c r="U53" i="25" s="1"/>
  <c r="AE52" i="25"/>
  <c r="AE53" i="25" s="1"/>
  <c r="AN52" i="25"/>
  <c r="AN53" i="25" s="1"/>
  <c r="I58" i="25"/>
  <c r="M58" i="25"/>
  <c r="Q58" i="25"/>
  <c r="AB58" i="25"/>
  <c r="AD58" i="25"/>
  <c r="AH58" i="25"/>
  <c r="AN58" i="25"/>
  <c r="H52" i="25"/>
  <c r="H53" i="25" s="1"/>
  <c r="J52" i="25"/>
  <c r="J53" i="25" s="1"/>
  <c r="N52" i="25"/>
  <c r="N53" i="25" s="1"/>
  <c r="P52" i="25"/>
  <c r="P53" i="25" s="1"/>
  <c r="S52" i="25"/>
  <c r="S53" i="25" s="1"/>
  <c r="T52" i="25"/>
  <c r="T53" i="25" s="1"/>
  <c r="Y52" i="25"/>
  <c r="Y53" i="25" s="1"/>
  <c r="AA52" i="25"/>
  <c r="AA53" i="25" s="1"/>
  <c r="AD52" i="25"/>
  <c r="AD53" i="25" s="1"/>
  <c r="AH52" i="25"/>
  <c r="AH53" i="25" s="1"/>
  <c r="F58" i="25"/>
  <c r="H58" i="25"/>
  <c r="K58" i="25"/>
  <c r="P58" i="25"/>
  <c r="V58" i="25"/>
  <c r="AA58" i="25"/>
  <c r="AG58" i="25"/>
  <c r="AM58" i="25"/>
  <c r="F52" i="25"/>
  <c r="F53" i="25" s="1"/>
  <c r="K52" i="25"/>
  <c r="K53" i="25" s="1"/>
  <c r="R52" i="25"/>
  <c r="R53" i="25" s="1"/>
  <c r="V52" i="25"/>
  <c r="V53" i="25" s="1"/>
  <c r="Z52" i="25"/>
  <c r="Z53" i="25" s="1"/>
  <c r="AC52" i="25"/>
  <c r="AC53" i="25" s="1"/>
  <c r="AK52" i="25"/>
  <c r="AK53" i="25" s="1"/>
  <c r="N58" i="25"/>
  <c r="U58" i="25"/>
  <c r="Z58" i="25"/>
  <c r="AE58" i="25"/>
  <c r="AJ58" i="25"/>
  <c r="E50" i="25"/>
  <c r="F52" i="50"/>
  <c r="F53" i="50" s="1"/>
  <c r="G52" i="50"/>
  <c r="G53" i="50" s="1"/>
  <c r="H52" i="50"/>
  <c r="H53" i="50" s="1"/>
  <c r="I52" i="50"/>
  <c r="I53" i="50" s="1"/>
  <c r="J52" i="50"/>
  <c r="J53" i="50" s="1"/>
  <c r="K52" i="50"/>
  <c r="K53" i="50" s="1"/>
  <c r="L52" i="50"/>
  <c r="L53" i="50" s="1"/>
  <c r="M52" i="50"/>
  <c r="M53" i="50" s="1"/>
  <c r="N52" i="50"/>
  <c r="N53" i="50" s="1"/>
  <c r="O52" i="50"/>
  <c r="O53" i="50" s="1"/>
  <c r="P52" i="50"/>
  <c r="P53" i="50" s="1"/>
  <c r="Q52" i="50"/>
  <c r="Q53" i="50" s="1"/>
  <c r="R52" i="50"/>
  <c r="R53" i="50" s="1"/>
  <c r="S52" i="50"/>
  <c r="S53" i="50" s="1"/>
  <c r="T52" i="50"/>
  <c r="T53" i="50" s="1"/>
  <c r="U52" i="50"/>
  <c r="U53" i="50" s="1"/>
  <c r="V52" i="50"/>
  <c r="V53" i="50" s="1"/>
  <c r="W52" i="50"/>
  <c r="W53" i="50" s="1"/>
  <c r="X52" i="50"/>
  <c r="X53" i="50" s="1"/>
  <c r="Y52" i="50"/>
  <c r="Y53" i="50" s="1"/>
  <c r="Z52" i="50"/>
  <c r="Z53" i="50" s="1"/>
  <c r="AA52" i="50"/>
  <c r="AA53" i="50" s="1"/>
  <c r="AB52" i="50"/>
  <c r="AB53" i="50" s="1"/>
  <c r="AC52" i="50"/>
  <c r="AC53" i="50" s="1"/>
  <c r="AD52" i="50"/>
  <c r="AD53" i="50" s="1"/>
  <c r="AE52" i="50"/>
  <c r="AE53" i="50" s="1"/>
  <c r="AF52" i="50"/>
  <c r="AF53" i="50" s="1"/>
  <c r="AG52" i="50"/>
  <c r="AG53" i="50" s="1"/>
  <c r="AH52" i="50"/>
  <c r="AH53" i="50" s="1"/>
  <c r="AI52" i="50"/>
  <c r="AI53" i="50" s="1"/>
  <c r="AJ52" i="50"/>
  <c r="AJ53" i="50" s="1"/>
  <c r="AK52" i="50"/>
  <c r="AK53" i="50" s="1"/>
  <c r="AL52" i="50"/>
  <c r="AL53" i="50" s="1"/>
  <c r="AM52" i="50"/>
  <c r="AM53" i="50" s="1"/>
  <c r="AN52" i="50"/>
  <c r="AN53" i="50" s="1"/>
  <c r="F58" i="50"/>
  <c r="G58" i="50"/>
  <c r="H58" i="50"/>
  <c r="I58" i="50"/>
  <c r="J58" i="50"/>
  <c r="K58" i="50"/>
  <c r="L58" i="50"/>
  <c r="M58" i="50"/>
  <c r="N58" i="50"/>
  <c r="O58" i="50"/>
  <c r="P58" i="50"/>
  <c r="Q58" i="50"/>
  <c r="R58" i="50"/>
  <c r="S58" i="50"/>
  <c r="T58" i="50"/>
  <c r="U58" i="50"/>
  <c r="V58" i="50"/>
  <c r="W58" i="50"/>
  <c r="X58" i="50"/>
  <c r="Y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E50" i="50"/>
  <c r="AN58" i="35"/>
  <c r="AM58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AN52" i="35"/>
  <c r="AN53" i="35" s="1"/>
  <c r="AM52" i="35"/>
  <c r="AM53" i="35" s="1"/>
  <c r="AL52" i="35"/>
  <c r="AL53" i="35" s="1"/>
  <c r="AK52" i="35"/>
  <c r="AK53" i="35" s="1"/>
  <c r="AJ52" i="35"/>
  <c r="AJ53" i="35" s="1"/>
  <c r="AI52" i="35"/>
  <c r="AI53" i="35" s="1"/>
  <c r="AH52" i="35"/>
  <c r="AH53" i="35" s="1"/>
  <c r="AG52" i="35"/>
  <c r="AG53" i="35" s="1"/>
  <c r="AF52" i="35"/>
  <c r="AF53" i="35" s="1"/>
  <c r="AE52" i="35"/>
  <c r="AE53" i="35" s="1"/>
  <c r="AD52" i="35"/>
  <c r="AD53" i="35" s="1"/>
  <c r="AC52" i="35"/>
  <c r="AC53" i="35" s="1"/>
  <c r="AB52" i="35"/>
  <c r="AB53" i="35" s="1"/>
  <c r="AA52" i="35"/>
  <c r="AA53" i="35" s="1"/>
  <c r="Z52" i="35"/>
  <c r="Z53" i="35" s="1"/>
  <c r="Y52" i="35"/>
  <c r="Y53" i="35" s="1"/>
  <c r="X52" i="35"/>
  <c r="X53" i="35" s="1"/>
  <c r="W52" i="35"/>
  <c r="W53" i="35" s="1"/>
  <c r="V52" i="35"/>
  <c r="V53" i="35" s="1"/>
  <c r="U52" i="35"/>
  <c r="U53" i="35" s="1"/>
  <c r="T52" i="35"/>
  <c r="T53" i="35" s="1"/>
  <c r="S52" i="35"/>
  <c r="S53" i="35" s="1"/>
  <c r="R52" i="35"/>
  <c r="R53" i="35" s="1"/>
  <c r="Q52" i="35"/>
  <c r="Q53" i="35" s="1"/>
  <c r="P52" i="35"/>
  <c r="P53" i="35" s="1"/>
  <c r="O52" i="35"/>
  <c r="O53" i="35" s="1"/>
  <c r="N52" i="35"/>
  <c r="N53" i="35" s="1"/>
  <c r="M52" i="35"/>
  <c r="M53" i="35" s="1"/>
  <c r="L52" i="35"/>
  <c r="L53" i="35" s="1"/>
  <c r="K52" i="35"/>
  <c r="K53" i="35" s="1"/>
  <c r="J52" i="35"/>
  <c r="J53" i="35" s="1"/>
  <c r="I52" i="35"/>
  <c r="I53" i="35" s="1"/>
  <c r="H52" i="35"/>
  <c r="H53" i="35" s="1"/>
  <c r="G52" i="35"/>
  <c r="G53" i="35" s="1"/>
  <c r="F52" i="35"/>
  <c r="F53" i="35" s="1"/>
  <c r="E50" i="35"/>
  <c r="E50" i="70"/>
  <c r="F52" i="70"/>
  <c r="F53" i="70" s="1"/>
  <c r="H52" i="70"/>
  <c r="H53" i="70" s="1"/>
  <c r="K52" i="70"/>
  <c r="K53" i="70" s="1"/>
  <c r="O52" i="70"/>
  <c r="O53" i="70" s="1"/>
  <c r="R52" i="70"/>
  <c r="R53" i="70" s="1"/>
  <c r="W52" i="70"/>
  <c r="W53" i="70" s="1"/>
  <c r="Z52" i="70"/>
  <c r="Z53" i="70" s="1"/>
  <c r="AC52" i="70"/>
  <c r="AC53" i="70" s="1"/>
  <c r="AE52" i="70"/>
  <c r="AE53" i="70" s="1"/>
  <c r="AH52" i="70"/>
  <c r="AH53" i="70" s="1"/>
  <c r="AL52" i="70"/>
  <c r="AL53" i="70" s="1"/>
  <c r="AM52" i="70"/>
  <c r="AM53" i="70" s="1"/>
  <c r="G52" i="70"/>
  <c r="G53" i="70" s="1"/>
  <c r="J52" i="70"/>
  <c r="J53" i="70" s="1"/>
  <c r="M52" i="70"/>
  <c r="M53" i="70" s="1"/>
  <c r="P52" i="70"/>
  <c r="P53" i="70" s="1"/>
  <c r="S52" i="70"/>
  <c r="S53" i="70" s="1"/>
  <c r="U52" i="70"/>
  <c r="U53" i="70" s="1"/>
  <c r="X52" i="70"/>
  <c r="X53" i="70" s="1"/>
  <c r="AB52" i="70"/>
  <c r="AB53" i="70" s="1"/>
  <c r="AF52" i="70"/>
  <c r="AF53" i="70" s="1"/>
  <c r="AI52" i="70"/>
  <c r="AI53" i="70" s="1"/>
  <c r="AK52" i="70"/>
  <c r="AK53" i="70" s="1"/>
  <c r="AN52" i="70"/>
  <c r="AN53" i="70" s="1"/>
  <c r="I52" i="70"/>
  <c r="I53" i="70" s="1"/>
  <c r="L52" i="70"/>
  <c r="L53" i="70" s="1"/>
  <c r="N52" i="70"/>
  <c r="N53" i="70" s="1"/>
  <c r="Q52" i="70"/>
  <c r="Q53" i="70" s="1"/>
  <c r="T52" i="70"/>
  <c r="T53" i="70" s="1"/>
  <c r="V52" i="70"/>
  <c r="V53" i="70" s="1"/>
  <c r="Y52" i="70"/>
  <c r="Y53" i="70" s="1"/>
  <c r="AA52" i="70"/>
  <c r="AA53" i="70" s="1"/>
  <c r="AD52" i="70"/>
  <c r="AD53" i="70" s="1"/>
  <c r="AG52" i="70"/>
  <c r="AG53" i="70" s="1"/>
  <c r="AJ52" i="70"/>
  <c r="AJ53" i="70" s="1"/>
  <c r="G58" i="70"/>
  <c r="I58" i="70"/>
  <c r="K58" i="70"/>
  <c r="M58" i="70"/>
  <c r="O58" i="70"/>
  <c r="Q58" i="70"/>
  <c r="S58" i="70"/>
  <c r="U58" i="70"/>
  <c r="W58" i="70"/>
  <c r="X58" i="70"/>
  <c r="Z58" i="70"/>
  <c r="AB58" i="70"/>
  <c r="AD58" i="70"/>
  <c r="AF58" i="70"/>
  <c r="AG58" i="70"/>
  <c r="AH58" i="70"/>
  <c r="AI58" i="70"/>
  <c r="AK58" i="70"/>
  <c r="AL58" i="70"/>
  <c r="AM58" i="70"/>
  <c r="AN58" i="70"/>
  <c r="F58" i="70"/>
  <c r="H58" i="70"/>
  <c r="J58" i="70"/>
  <c r="L58" i="70"/>
  <c r="N58" i="70"/>
  <c r="P58" i="70"/>
  <c r="R58" i="70"/>
  <c r="T58" i="70"/>
  <c r="V58" i="70"/>
  <c r="Y58" i="70"/>
  <c r="AA58" i="70"/>
  <c r="AC58" i="70"/>
  <c r="AE58" i="70"/>
  <c r="AJ58" i="70"/>
  <c r="G52" i="89"/>
  <c r="G53" i="89" s="1"/>
  <c r="K52" i="89"/>
  <c r="K53" i="89" s="1"/>
  <c r="P52" i="89"/>
  <c r="P53" i="89" s="1"/>
  <c r="T52" i="89"/>
  <c r="T53" i="89" s="1"/>
  <c r="G58" i="89"/>
  <c r="H58" i="89"/>
  <c r="J58" i="89"/>
  <c r="L58" i="89"/>
  <c r="N58" i="89"/>
  <c r="P58" i="89"/>
  <c r="R58" i="89"/>
  <c r="T58" i="89"/>
  <c r="V58" i="89"/>
  <c r="X58" i="89"/>
  <c r="Z58" i="89"/>
  <c r="AF58" i="89"/>
  <c r="H52" i="89"/>
  <c r="H53" i="89" s="1"/>
  <c r="M52" i="89"/>
  <c r="M53" i="89" s="1"/>
  <c r="Q52" i="89"/>
  <c r="Q53" i="89" s="1"/>
  <c r="U52" i="89"/>
  <c r="U53" i="89" s="1"/>
  <c r="V52" i="89"/>
  <c r="V53" i="89" s="1"/>
  <c r="Z52" i="89"/>
  <c r="Z53" i="89" s="1"/>
  <c r="AB52" i="89"/>
  <c r="AB53" i="89" s="1"/>
  <c r="AD52" i="89"/>
  <c r="AD53" i="89" s="1"/>
  <c r="AF52" i="89"/>
  <c r="AF53" i="89" s="1"/>
  <c r="AH52" i="89"/>
  <c r="AH53" i="89" s="1"/>
  <c r="AJ52" i="89"/>
  <c r="AJ53" i="89" s="1"/>
  <c r="AK52" i="89"/>
  <c r="AK53" i="89" s="1"/>
  <c r="AL52" i="89"/>
  <c r="AL53" i="89" s="1"/>
  <c r="AN52" i="89"/>
  <c r="AN53" i="89" s="1"/>
  <c r="F58" i="89"/>
  <c r="I58" i="89"/>
  <c r="K58" i="89"/>
  <c r="M58" i="89"/>
  <c r="O58" i="89"/>
  <c r="Q58" i="89"/>
  <c r="S58" i="89"/>
  <c r="U58" i="89"/>
  <c r="W58" i="89"/>
  <c r="Y58" i="89"/>
  <c r="AA58" i="89"/>
  <c r="AB58" i="89"/>
  <c r="AC58" i="89"/>
  <c r="AD58" i="89"/>
  <c r="AE58" i="89"/>
  <c r="AG58" i="89"/>
  <c r="AH58" i="89"/>
  <c r="AI58" i="89"/>
  <c r="AJ58" i="89"/>
  <c r="AK58" i="89"/>
  <c r="AL58" i="89"/>
  <c r="AM58" i="89"/>
  <c r="AN58" i="89"/>
  <c r="F52" i="89"/>
  <c r="F53" i="89" s="1"/>
  <c r="J52" i="89"/>
  <c r="J53" i="89" s="1"/>
  <c r="N52" i="89"/>
  <c r="N53" i="89" s="1"/>
  <c r="R52" i="89"/>
  <c r="R53" i="89" s="1"/>
  <c r="X52" i="89"/>
  <c r="X53" i="89" s="1"/>
  <c r="I52" i="89"/>
  <c r="I53" i="89" s="1"/>
  <c r="L52" i="89"/>
  <c r="L53" i="89" s="1"/>
  <c r="O52" i="89"/>
  <c r="O53" i="89" s="1"/>
  <c r="S52" i="89"/>
  <c r="S53" i="89" s="1"/>
  <c r="W52" i="89"/>
  <c r="W53" i="89" s="1"/>
  <c r="Y52" i="89"/>
  <c r="Y53" i="89" s="1"/>
  <c r="AA52" i="89"/>
  <c r="AA53" i="89" s="1"/>
  <c r="AC52" i="89"/>
  <c r="AC53" i="89" s="1"/>
  <c r="AE52" i="89"/>
  <c r="AE53" i="89" s="1"/>
  <c r="AG52" i="89"/>
  <c r="AG53" i="89" s="1"/>
  <c r="AI52" i="89"/>
  <c r="AI53" i="89" s="1"/>
  <c r="AM52" i="89"/>
  <c r="AM53" i="89" s="1"/>
  <c r="E50" i="89"/>
  <c r="M52" i="52"/>
  <c r="M53" i="52" s="1"/>
  <c r="G52" i="52"/>
  <c r="G53" i="52" s="1"/>
  <c r="AL58" i="52"/>
  <c r="AI58" i="52"/>
  <c r="AG58" i="52"/>
  <c r="AD58" i="52"/>
  <c r="AA58" i="52"/>
  <c r="V58" i="52"/>
  <c r="R58" i="52"/>
  <c r="O58" i="52"/>
  <c r="L58" i="52"/>
  <c r="J58" i="52"/>
  <c r="G58" i="52"/>
  <c r="AM52" i="52"/>
  <c r="AM53" i="52" s="1"/>
  <c r="AJ52" i="52"/>
  <c r="AJ53" i="52" s="1"/>
  <c r="AG52" i="52"/>
  <c r="AG53" i="52" s="1"/>
  <c r="AE52" i="52"/>
  <c r="AE53" i="52" s="1"/>
  <c r="AB52" i="52"/>
  <c r="AB53" i="52" s="1"/>
  <c r="AN58" i="52"/>
  <c r="AJ58" i="52"/>
  <c r="AE58" i="52"/>
  <c r="AC58" i="52"/>
  <c r="Z58" i="52"/>
  <c r="X58" i="52"/>
  <c r="U58" i="52"/>
  <c r="S58" i="52"/>
  <c r="Q58" i="52"/>
  <c r="M58" i="52"/>
  <c r="I58" i="52"/>
  <c r="AN52" i="52"/>
  <c r="AN53" i="52" s="1"/>
  <c r="AL52" i="52"/>
  <c r="AL53" i="52" s="1"/>
  <c r="AI52" i="52"/>
  <c r="AI53" i="52" s="1"/>
  <c r="AF52" i="52"/>
  <c r="AF53" i="52" s="1"/>
  <c r="AD52" i="52"/>
  <c r="AD53" i="52" s="1"/>
  <c r="AA52" i="52"/>
  <c r="AA53" i="52" s="1"/>
  <c r="W52" i="52"/>
  <c r="W53" i="52" s="1"/>
  <c r="F58" i="52"/>
  <c r="I52" i="52"/>
  <c r="I53" i="52" s="1"/>
  <c r="AM58" i="52"/>
  <c r="AK58" i="52"/>
  <c r="AH58" i="52"/>
  <c r="AF58" i="52"/>
  <c r="AB58" i="52"/>
  <c r="Y58" i="52"/>
  <c r="W58" i="52"/>
  <c r="T58" i="52"/>
  <c r="P58" i="52"/>
  <c r="N58" i="52"/>
  <c r="K58" i="52"/>
  <c r="H58" i="52"/>
  <c r="AK52" i="52"/>
  <c r="AK53" i="52" s="1"/>
  <c r="AH52" i="52"/>
  <c r="AH53" i="52" s="1"/>
  <c r="AC52" i="52"/>
  <c r="AC53" i="52" s="1"/>
  <c r="Z52" i="52"/>
  <c r="Z53" i="52" s="1"/>
  <c r="Y52" i="52"/>
  <c r="Y53" i="52" s="1"/>
  <c r="X52" i="52"/>
  <c r="X53" i="52" s="1"/>
  <c r="V52" i="52"/>
  <c r="V53" i="52" s="1"/>
  <c r="U52" i="52"/>
  <c r="U53" i="52" s="1"/>
  <c r="T52" i="52"/>
  <c r="T53" i="52" s="1"/>
  <c r="S52" i="52"/>
  <c r="S53" i="52" s="1"/>
  <c r="R52" i="52"/>
  <c r="R53" i="52" s="1"/>
  <c r="Q52" i="52"/>
  <c r="Q53" i="52" s="1"/>
  <c r="P52" i="52"/>
  <c r="P53" i="52" s="1"/>
  <c r="O52" i="52"/>
  <c r="O53" i="52" s="1"/>
  <c r="N52" i="52"/>
  <c r="N53" i="52" s="1"/>
  <c r="L52" i="52"/>
  <c r="L53" i="52" s="1"/>
  <c r="K52" i="52"/>
  <c r="K53" i="52" s="1"/>
  <c r="J52" i="52"/>
  <c r="J53" i="52" s="1"/>
  <c r="H52" i="52"/>
  <c r="H53" i="52" s="1"/>
  <c r="F52" i="52"/>
  <c r="F53" i="52" s="1"/>
  <c r="E50" i="52"/>
  <c r="AN58" i="37"/>
  <c r="AM58" i="37"/>
  <c r="AL58" i="37"/>
  <c r="AK58" i="37"/>
  <c r="AJ58" i="37"/>
  <c r="AI58" i="37"/>
  <c r="AH58" i="37"/>
  <c r="AG58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AN52" i="37"/>
  <c r="AN53" i="37" s="1"/>
  <c r="AM52" i="37"/>
  <c r="AM53" i="37" s="1"/>
  <c r="AL52" i="37"/>
  <c r="AL53" i="37" s="1"/>
  <c r="AK52" i="37"/>
  <c r="AK53" i="37" s="1"/>
  <c r="AJ52" i="37"/>
  <c r="AJ53" i="37" s="1"/>
  <c r="AI52" i="37"/>
  <c r="AI53" i="37" s="1"/>
  <c r="AH52" i="37"/>
  <c r="AH53" i="37" s="1"/>
  <c r="AG52" i="37"/>
  <c r="AG53" i="37" s="1"/>
  <c r="AF52" i="37"/>
  <c r="AF53" i="37" s="1"/>
  <c r="AE52" i="37"/>
  <c r="AE53" i="37" s="1"/>
  <c r="AD52" i="37"/>
  <c r="AD53" i="37" s="1"/>
  <c r="AC52" i="37"/>
  <c r="AC53" i="37" s="1"/>
  <c r="AB52" i="37"/>
  <c r="AB53" i="37" s="1"/>
  <c r="AA52" i="37"/>
  <c r="AA53" i="37" s="1"/>
  <c r="Z52" i="37"/>
  <c r="Z53" i="37" s="1"/>
  <c r="Y52" i="37"/>
  <c r="Y53" i="37" s="1"/>
  <c r="X52" i="37"/>
  <c r="X53" i="37" s="1"/>
  <c r="W52" i="37"/>
  <c r="W53" i="37" s="1"/>
  <c r="V52" i="37"/>
  <c r="V53" i="37" s="1"/>
  <c r="U52" i="37"/>
  <c r="U53" i="37" s="1"/>
  <c r="T52" i="37"/>
  <c r="T53" i="37" s="1"/>
  <c r="S52" i="37"/>
  <c r="S53" i="37" s="1"/>
  <c r="R52" i="37"/>
  <c r="R53" i="37" s="1"/>
  <c r="Q52" i="37"/>
  <c r="Q53" i="37" s="1"/>
  <c r="P52" i="37"/>
  <c r="P53" i="37" s="1"/>
  <c r="O52" i="37"/>
  <c r="O53" i="37" s="1"/>
  <c r="N52" i="37"/>
  <c r="N53" i="37" s="1"/>
  <c r="M52" i="37"/>
  <c r="M53" i="37" s="1"/>
  <c r="L52" i="37"/>
  <c r="L53" i="37" s="1"/>
  <c r="K52" i="37"/>
  <c r="K53" i="37" s="1"/>
  <c r="J52" i="37"/>
  <c r="J53" i="37" s="1"/>
  <c r="I52" i="37"/>
  <c r="I53" i="37" s="1"/>
  <c r="H52" i="37"/>
  <c r="H53" i="37" s="1"/>
  <c r="G52" i="37"/>
  <c r="G53" i="37" s="1"/>
  <c r="F52" i="37"/>
  <c r="F53" i="37" s="1"/>
  <c r="E50" i="37"/>
  <c r="F52" i="65"/>
  <c r="F53" i="65" s="1"/>
  <c r="G52" i="65"/>
  <c r="G53" i="65" s="1"/>
  <c r="H52" i="65"/>
  <c r="H53" i="65" s="1"/>
  <c r="I52" i="65"/>
  <c r="I53" i="65" s="1"/>
  <c r="J52" i="65"/>
  <c r="J53" i="65" s="1"/>
  <c r="K52" i="65"/>
  <c r="K53" i="65" s="1"/>
  <c r="L52" i="65"/>
  <c r="L53" i="65" s="1"/>
  <c r="M52" i="65"/>
  <c r="M53" i="65" s="1"/>
  <c r="N52" i="65"/>
  <c r="N53" i="65" s="1"/>
  <c r="O52" i="65"/>
  <c r="O53" i="65" s="1"/>
  <c r="P52" i="65"/>
  <c r="P53" i="65" s="1"/>
  <c r="Q52" i="65"/>
  <c r="Q53" i="65" s="1"/>
  <c r="R52" i="65"/>
  <c r="R53" i="65" s="1"/>
  <c r="S52" i="65"/>
  <c r="S53" i="65" s="1"/>
  <c r="T52" i="65"/>
  <c r="T53" i="65" s="1"/>
  <c r="U52" i="65"/>
  <c r="U53" i="65" s="1"/>
  <c r="V52" i="65"/>
  <c r="V53" i="65" s="1"/>
  <c r="W52" i="65"/>
  <c r="W53" i="65" s="1"/>
  <c r="X52" i="65"/>
  <c r="X53" i="65" s="1"/>
  <c r="Y52" i="65"/>
  <c r="Y53" i="65" s="1"/>
  <c r="Z52" i="65"/>
  <c r="Z53" i="65" s="1"/>
  <c r="AA52" i="65"/>
  <c r="AA53" i="65" s="1"/>
  <c r="AB52" i="65"/>
  <c r="AB53" i="65" s="1"/>
  <c r="AC52" i="65"/>
  <c r="AC53" i="65" s="1"/>
  <c r="AD52" i="65"/>
  <c r="AD53" i="65" s="1"/>
  <c r="AE52" i="65"/>
  <c r="AE53" i="65" s="1"/>
  <c r="AF52" i="65"/>
  <c r="AF53" i="65" s="1"/>
  <c r="AG52" i="65"/>
  <c r="AG53" i="65" s="1"/>
  <c r="AH52" i="65"/>
  <c r="AH53" i="65" s="1"/>
  <c r="AI52" i="65"/>
  <c r="AI53" i="65" s="1"/>
  <c r="AJ52" i="65"/>
  <c r="AJ53" i="65" s="1"/>
  <c r="AK52" i="65"/>
  <c r="AK53" i="65" s="1"/>
  <c r="AL52" i="65"/>
  <c r="AL53" i="65" s="1"/>
  <c r="AM52" i="65"/>
  <c r="AM53" i="65" s="1"/>
  <c r="AN52" i="65"/>
  <c r="AN53" i="65" s="1"/>
  <c r="F58" i="65"/>
  <c r="G58" i="65"/>
  <c r="H58" i="65"/>
  <c r="I58" i="65"/>
  <c r="J58" i="65"/>
  <c r="K58" i="65"/>
  <c r="L58" i="65"/>
  <c r="M58" i="65"/>
  <c r="N58" i="65"/>
  <c r="O58" i="65"/>
  <c r="P58" i="65"/>
  <c r="Q58" i="65"/>
  <c r="R58" i="65"/>
  <c r="S58" i="65"/>
  <c r="T58" i="65"/>
  <c r="U58" i="65"/>
  <c r="V58" i="65"/>
  <c r="W58" i="65"/>
  <c r="X58" i="65"/>
  <c r="Y58" i="65"/>
  <c r="Z58" i="65"/>
  <c r="AA58" i="65"/>
  <c r="AB58" i="65"/>
  <c r="AC58" i="65"/>
  <c r="AD58" i="65"/>
  <c r="AE58" i="65"/>
  <c r="AF58" i="65"/>
  <c r="AG58" i="65"/>
  <c r="AH58" i="65"/>
  <c r="AI58" i="65"/>
  <c r="AJ58" i="65"/>
  <c r="AK58" i="65"/>
  <c r="AL58" i="65"/>
  <c r="AM58" i="65"/>
  <c r="AN58" i="65"/>
  <c r="E50" i="65"/>
  <c r="AN58" i="66"/>
  <c r="AM58" i="66"/>
  <c r="AL58" i="66"/>
  <c r="AK58" i="66"/>
  <c r="AJ58" i="66"/>
  <c r="AI58" i="66"/>
  <c r="AH58" i="66"/>
  <c r="AG58" i="66"/>
  <c r="AF58" i="66"/>
  <c r="AE58" i="66"/>
  <c r="AD58" i="66"/>
  <c r="AC58" i="66"/>
  <c r="AB58" i="66"/>
  <c r="AA58" i="66"/>
  <c r="Z58" i="66"/>
  <c r="Y58" i="66"/>
  <c r="X58" i="66"/>
  <c r="W58" i="66"/>
  <c r="V58" i="66"/>
  <c r="U58" i="66"/>
  <c r="T58" i="66"/>
  <c r="S58" i="66"/>
  <c r="R58" i="66"/>
  <c r="Q58" i="66"/>
  <c r="P58" i="66"/>
  <c r="O58" i="66"/>
  <c r="N58" i="66"/>
  <c r="M58" i="66"/>
  <c r="L58" i="66"/>
  <c r="K58" i="66"/>
  <c r="J58" i="66"/>
  <c r="I58" i="66"/>
  <c r="H58" i="66"/>
  <c r="G58" i="66"/>
  <c r="F58" i="66"/>
  <c r="AN52" i="66"/>
  <c r="AN53" i="66" s="1"/>
  <c r="AM52" i="66"/>
  <c r="AM53" i="66" s="1"/>
  <c r="AL52" i="66"/>
  <c r="AL53" i="66" s="1"/>
  <c r="AK52" i="66"/>
  <c r="AK53" i="66" s="1"/>
  <c r="AJ52" i="66"/>
  <c r="AJ53" i="66" s="1"/>
  <c r="AI52" i="66"/>
  <c r="AI53" i="66" s="1"/>
  <c r="AH52" i="66"/>
  <c r="AH53" i="66" s="1"/>
  <c r="AG52" i="66"/>
  <c r="AG53" i="66" s="1"/>
  <c r="AF52" i="66"/>
  <c r="AF53" i="66" s="1"/>
  <c r="AE52" i="66"/>
  <c r="AE53" i="66" s="1"/>
  <c r="AD52" i="66"/>
  <c r="AD53" i="66" s="1"/>
  <c r="AC52" i="66"/>
  <c r="AC53" i="66" s="1"/>
  <c r="AB52" i="66"/>
  <c r="AB53" i="66" s="1"/>
  <c r="AA52" i="66"/>
  <c r="AA53" i="66" s="1"/>
  <c r="Z52" i="66"/>
  <c r="Z53" i="66" s="1"/>
  <c r="Y52" i="66"/>
  <c r="Y53" i="66" s="1"/>
  <c r="X52" i="66"/>
  <c r="X53" i="66" s="1"/>
  <c r="W52" i="66"/>
  <c r="W53" i="66" s="1"/>
  <c r="V52" i="66"/>
  <c r="V53" i="66" s="1"/>
  <c r="U52" i="66"/>
  <c r="U53" i="66" s="1"/>
  <c r="T52" i="66"/>
  <c r="T53" i="66" s="1"/>
  <c r="S52" i="66"/>
  <c r="S53" i="66" s="1"/>
  <c r="R52" i="66"/>
  <c r="R53" i="66" s="1"/>
  <c r="Q52" i="66"/>
  <c r="Q53" i="66" s="1"/>
  <c r="P52" i="66"/>
  <c r="P53" i="66" s="1"/>
  <c r="O52" i="66"/>
  <c r="O53" i="66" s="1"/>
  <c r="N52" i="66"/>
  <c r="N53" i="66" s="1"/>
  <c r="M52" i="66"/>
  <c r="M53" i="66" s="1"/>
  <c r="L52" i="66"/>
  <c r="L53" i="66" s="1"/>
  <c r="K52" i="66"/>
  <c r="K53" i="66" s="1"/>
  <c r="J52" i="66"/>
  <c r="J53" i="66" s="1"/>
  <c r="I52" i="66"/>
  <c r="I53" i="66" s="1"/>
  <c r="H52" i="66"/>
  <c r="H53" i="66" s="1"/>
  <c r="G52" i="66"/>
  <c r="G53" i="66" s="1"/>
  <c r="F52" i="66"/>
  <c r="F53" i="66" s="1"/>
  <c r="E50" i="66"/>
  <c r="E50" i="67"/>
  <c r="G52" i="67"/>
  <c r="G53" i="67" s="1"/>
  <c r="H52" i="67"/>
  <c r="H53" i="67" s="1"/>
  <c r="L52" i="67"/>
  <c r="L53" i="67" s="1"/>
  <c r="N52" i="67"/>
  <c r="N53" i="67" s="1"/>
  <c r="S52" i="67"/>
  <c r="S53" i="67" s="1"/>
  <c r="U52" i="67"/>
  <c r="U53" i="67" s="1"/>
  <c r="Z52" i="67"/>
  <c r="Z53" i="67" s="1"/>
  <c r="AE52" i="67"/>
  <c r="AE53" i="67" s="1"/>
  <c r="AG52" i="67"/>
  <c r="AG53" i="67" s="1"/>
  <c r="AJ52" i="67"/>
  <c r="AJ53" i="67" s="1"/>
  <c r="AL52" i="67"/>
  <c r="AL53" i="67" s="1"/>
  <c r="H58" i="67"/>
  <c r="J58" i="67"/>
  <c r="L58" i="67"/>
  <c r="P58" i="67"/>
  <c r="S58" i="67"/>
  <c r="X58" i="67"/>
  <c r="AB58" i="67"/>
  <c r="AF58" i="67"/>
  <c r="AH58" i="67"/>
  <c r="AJ58" i="67"/>
  <c r="AN58" i="67"/>
  <c r="J52" i="67"/>
  <c r="J53" i="67" s="1"/>
  <c r="O52" i="67"/>
  <c r="O53" i="67" s="1"/>
  <c r="Q52" i="67"/>
  <c r="Q53" i="67" s="1"/>
  <c r="T52" i="67"/>
  <c r="T53" i="67" s="1"/>
  <c r="V52" i="67"/>
  <c r="V53" i="67" s="1"/>
  <c r="X52" i="67"/>
  <c r="X53" i="67" s="1"/>
  <c r="AA52" i="67"/>
  <c r="AA53" i="67" s="1"/>
  <c r="AC52" i="67"/>
  <c r="AC53" i="67" s="1"/>
  <c r="AF52" i="67"/>
  <c r="AF53" i="67" s="1"/>
  <c r="AH52" i="67"/>
  <c r="AH53" i="67" s="1"/>
  <c r="AM52" i="67"/>
  <c r="AM53" i="67" s="1"/>
  <c r="F58" i="67"/>
  <c r="I58" i="67"/>
  <c r="M58" i="67"/>
  <c r="R58" i="67"/>
  <c r="U58" i="67"/>
  <c r="W58" i="67"/>
  <c r="Z58" i="67"/>
  <c r="AC58" i="67"/>
  <c r="AI58" i="67"/>
  <c r="AL58" i="67"/>
  <c r="F52" i="67"/>
  <c r="F53" i="67" s="1"/>
  <c r="I52" i="67"/>
  <c r="I53" i="67" s="1"/>
  <c r="K52" i="67"/>
  <c r="K53" i="67" s="1"/>
  <c r="M52" i="67"/>
  <c r="M53" i="67" s="1"/>
  <c r="P52" i="67"/>
  <c r="P53" i="67" s="1"/>
  <c r="R52" i="67"/>
  <c r="R53" i="67" s="1"/>
  <c r="W52" i="67"/>
  <c r="W53" i="67" s="1"/>
  <c r="Y52" i="67"/>
  <c r="Y53" i="67" s="1"/>
  <c r="AB52" i="67"/>
  <c r="AB53" i="67" s="1"/>
  <c r="AD52" i="67"/>
  <c r="AD53" i="67" s="1"/>
  <c r="AI52" i="67"/>
  <c r="AI53" i="67" s="1"/>
  <c r="AK52" i="67"/>
  <c r="AK53" i="67" s="1"/>
  <c r="AN52" i="67"/>
  <c r="AN53" i="67" s="1"/>
  <c r="G58" i="67"/>
  <c r="K58" i="67"/>
  <c r="N58" i="67"/>
  <c r="O58" i="67"/>
  <c r="Q58" i="67"/>
  <c r="T58" i="67"/>
  <c r="V58" i="67"/>
  <c r="Y58" i="67"/>
  <c r="AA58" i="67"/>
  <c r="AD58" i="67"/>
  <c r="AE58" i="67"/>
  <c r="AG58" i="67"/>
  <c r="AK58" i="67"/>
  <c r="AM58" i="67"/>
  <c r="F52" i="53"/>
  <c r="F53" i="53" s="1"/>
  <c r="X52" i="53"/>
  <c r="X53" i="53" s="1"/>
  <c r="AC52" i="53"/>
  <c r="AC53" i="53" s="1"/>
  <c r="AF52" i="53"/>
  <c r="AF53" i="53" s="1"/>
  <c r="AI52" i="53"/>
  <c r="AI53" i="53" s="1"/>
  <c r="F58" i="53"/>
  <c r="W58" i="53"/>
  <c r="AK58" i="53"/>
  <c r="M52" i="53"/>
  <c r="M53" i="53" s="1"/>
  <c r="W52" i="53"/>
  <c r="W53" i="53" s="1"/>
  <c r="H52" i="53"/>
  <c r="H53" i="53" s="1"/>
  <c r="P52" i="53"/>
  <c r="P53" i="53" s="1"/>
  <c r="AA52" i="53"/>
  <c r="AA53" i="53" s="1"/>
  <c r="AK52" i="53"/>
  <c r="AK53" i="53" s="1"/>
  <c r="AN52" i="53"/>
  <c r="AN53" i="53" s="1"/>
  <c r="G58" i="53"/>
  <c r="K58" i="53"/>
  <c r="Q58" i="53"/>
  <c r="U58" i="53"/>
  <c r="Y58" i="53"/>
  <c r="AB58" i="53"/>
  <c r="AD58" i="53"/>
  <c r="AG58" i="53"/>
  <c r="AJ58" i="53"/>
  <c r="AM58" i="53"/>
  <c r="G52" i="53"/>
  <c r="G53" i="53" s="1"/>
  <c r="O52" i="53"/>
  <c r="O53" i="53" s="1"/>
  <c r="AB52" i="53"/>
  <c r="AB53" i="53" s="1"/>
  <c r="J52" i="53"/>
  <c r="J53" i="53" s="1"/>
  <c r="N52" i="53"/>
  <c r="N53" i="53" s="1"/>
  <c r="T52" i="53"/>
  <c r="T53" i="53" s="1"/>
  <c r="AE52" i="53"/>
  <c r="AE53" i="53" s="1"/>
  <c r="AH52" i="53"/>
  <c r="AH53" i="53" s="1"/>
  <c r="AL52" i="53"/>
  <c r="AL53" i="53" s="1"/>
  <c r="L58" i="53"/>
  <c r="O58" i="53"/>
  <c r="P58" i="53"/>
  <c r="S58" i="53"/>
  <c r="V58" i="53"/>
  <c r="Z58" i="53"/>
  <c r="AE58" i="53"/>
  <c r="AH58" i="53"/>
  <c r="AL58" i="53"/>
  <c r="I52" i="53"/>
  <c r="I53" i="53" s="1"/>
  <c r="S52" i="53"/>
  <c r="S53" i="53" s="1"/>
  <c r="L52" i="53"/>
  <c r="L53" i="53" s="1"/>
  <c r="R52" i="53"/>
  <c r="R53" i="53" s="1"/>
  <c r="V52" i="53"/>
  <c r="V53" i="53" s="1"/>
  <c r="Y52" i="53"/>
  <c r="Y53" i="53" s="1"/>
  <c r="Z52" i="53"/>
  <c r="Z53" i="53" s="1"/>
  <c r="AD52" i="53"/>
  <c r="AD53" i="53" s="1"/>
  <c r="AG52" i="53"/>
  <c r="AG53" i="53" s="1"/>
  <c r="AJ52" i="53"/>
  <c r="AJ53" i="53" s="1"/>
  <c r="AM52" i="53"/>
  <c r="AM53" i="53" s="1"/>
  <c r="H58" i="53"/>
  <c r="N58" i="53"/>
  <c r="I58" i="53"/>
  <c r="J58" i="53"/>
  <c r="M58" i="53"/>
  <c r="R58" i="53"/>
  <c r="T58" i="53"/>
  <c r="X58" i="53"/>
  <c r="AA58" i="53"/>
  <c r="AC58" i="53"/>
  <c r="AF58" i="53"/>
  <c r="AI58" i="53"/>
  <c r="AN58" i="53"/>
  <c r="K52" i="53"/>
  <c r="K53" i="53" s="1"/>
  <c r="Q52" i="53"/>
  <c r="Q53" i="53" s="1"/>
  <c r="U52" i="53"/>
  <c r="U53" i="53" s="1"/>
  <c r="E50" i="53"/>
  <c r="G52" i="45"/>
  <c r="G53" i="45" s="1"/>
  <c r="I52" i="45"/>
  <c r="I53" i="45" s="1"/>
  <c r="K52" i="45"/>
  <c r="K53" i="45" s="1"/>
  <c r="N52" i="45"/>
  <c r="N53" i="45" s="1"/>
  <c r="P52" i="45"/>
  <c r="P53" i="45" s="1"/>
  <c r="S52" i="45"/>
  <c r="S53" i="45" s="1"/>
  <c r="V52" i="45"/>
  <c r="V53" i="45" s="1"/>
  <c r="I58" i="45"/>
  <c r="K58" i="45"/>
  <c r="M58" i="45"/>
  <c r="P58" i="45"/>
  <c r="S58" i="45"/>
  <c r="V58" i="45"/>
  <c r="X58" i="45"/>
  <c r="Z58" i="45"/>
  <c r="AB58" i="45"/>
  <c r="AD58" i="45"/>
  <c r="AF58" i="45"/>
  <c r="AH58" i="45"/>
  <c r="AJ58" i="45"/>
  <c r="AK58" i="45"/>
  <c r="AL58" i="45"/>
  <c r="AM58" i="45"/>
  <c r="AN58" i="45"/>
  <c r="H52" i="45"/>
  <c r="H53" i="45" s="1"/>
  <c r="L52" i="45"/>
  <c r="L53" i="45" s="1"/>
  <c r="Q52" i="45"/>
  <c r="Q53" i="45" s="1"/>
  <c r="U52" i="45"/>
  <c r="U53" i="45" s="1"/>
  <c r="W52" i="45"/>
  <c r="W53" i="45" s="1"/>
  <c r="Y52" i="45"/>
  <c r="Y53" i="45" s="1"/>
  <c r="AA52" i="45"/>
  <c r="AA53" i="45" s="1"/>
  <c r="AC52" i="45"/>
  <c r="AC53" i="45" s="1"/>
  <c r="AE52" i="45"/>
  <c r="AE53" i="45" s="1"/>
  <c r="AF52" i="45"/>
  <c r="AF53" i="45" s="1"/>
  <c r="AH52" i="45"/>
  <c r="AH53" i="45" s="1"/>
  <c r="AJ52" i="45"/>
  <c r="AJ53" i="45" s="1"/>
  <c r="AK52" i="45"/>
  <c r="AK53" i="45" s="1"/>
  <c r="AM52" i="45"/>
  <c r="AM53" i="45" s="1"/>
  <c r="AN52" i="45"/>
  <c r="AN53" i="45" s="1"/>
  <c r="F58" i="45"/>
  <c r="J58" i="45"/>
  <c r="O58" i="45"/>
  <c r="R58" i="45"/>
  <c r="U58" i="45"/>
  <c r="W58" i="45"/>
  <c r="Y58" i="45"/>
  <c r="AA58" i="45"/>
  <c r="AC58" i="45"/>
  <c r="AG58" i="45"/>
  <c r="AI58" i="45"/>
  <c r="G58" i="45"/>
  <c r="F52" i="45"/>
  <c r="F53" i="45" s="1"/>
  <c r="J52" i="45"/>
  <c r="J53" i="45" s="1"/>
  <c r="M52" i="45"/>
  <c r="M53" i="45" s="1"/>
  <c r="O52" i="45"/>
  <c r="O53" i="45" s="1"/>
  <c r="R52" i="45"/>
  <c r="R53" i="45" s="1"/>
  <c r="T52" i="45"/>
  <c r="T53" i="45" s="1"/>
  <c r="X52" i="45"/>
  <c r="X53" i="45" s="1"/>
  <c r="Z52" i="45"/>
  <c r="Z53" i="45" s="1"/>
  <c r="AB52" i="45"/>
  <c r="AB53" i="45" s="1"/>
  <c r="AD52" i="45"/>
  <c r="AD53" i="45" s="1"/>
  <c r="AG52" i="45"/>
  <c r="AG53" i="45" s="1"/>
  <c r="AI52" i="45"/>
  <c r="AI53" i="45" s="1"/>
  <c r="AL52" i="45"/>
  <c r="AL53" i="45" s="1"/>
  <c r="H58" i="45"/>
  <c r="L58" i="45"/>
  <c r="N58" i="45"/>
  <c r="Q58" i="45"/>
  <c r="T58" i="45"/>
  <c r="AE58" i="45"/>
  <c r="E50" i="45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Z58" i="62"/>
  <c r="AA58" i="62"/>
  <c r="AB58" i="62"/>
  <c r="AC58" i="62"/>
  <c r="AD58" i="62"/>
  <c r="AE58" i="62"/>
  <c r="AF58" i="62"/>
  <c r="AG58" i="62"/>
  <c r="AH58" i="62"/>
  <c r="AI58" i="62"/>
  <c r="AJ58" i="62"/>
  <c r="AK58" i="62"/>
  <c r="AL58" i="62"/>
  <c r="AM58" i="62"/>
  <c r="AN58" i="62"/>
  <c r="F52" i="62"/>
  <c r="F53" i="62" s="1"/>
  <c r="I52" i="62"/>
  <c r="I53" i="62" s="1"/>
  <c r="L52" i="62"/>
  <c r="L53" i="62" s="1"/>
  <c r="N52" i="62"/>
  <c r="N53" i="62" s="1"/>
  <c r="O52" i="62"/>
  <c r="O53" i="62" s="1"/>
  <c r="R52" i="62"/>
  <c r="R53" i="62" s="1"/>
  <c r="T52" i="62"/>
  <c r="T53" i="62" s="1"/>
  <c r="X52" i="62"/>
  <c r="X53" i="62" s="1"/>
  <c r="AA52" i="62"/>
  <c r="AA53" i="62" s="1"/>
  <c r="AD52" i="62"/>
  <c r="AD53" i="62" s="1"/>
  <c r="AE52" i="62"/>
  <c r="AE53" i="62" s="1"/>
  <c r="AG52" i="62"/>
  <c r="AG53" i="62" s="1"/>
  <c r="AI52" i="62"/>
  <c r="AI53" i="62" s="1"/>
  <c r="AK52" i="62"/>
  <c r="AK53" i="62" s="1"/>
  <c r="AM52" i="62"/>
  <c r="AM53" i="62" s="1"/>
  <c r="G52" i="62"/>
  <c r="G53" i="62" s="1"/>
  <c r="J52" i="62"/>
  <c r="J53" i="62" s="1"/>
  <c r="M52" i="62"/>
  <c r="M53" i="62" s="1"/>
  <c r="P52" i="62"/>
  <c r="P53" i="62" s="1"/>
  <c r="V52" i="62"/>
  <c r="V53" i="62" s="1"/>
  <c r="Y52" i="62"/>
  <c r="Y53" i="62" s="1"/>
  <c r="AB52" i="62"/>
  <c r="AB53" i="62" s="1"/>
  <c r="H52" i="62"/>
  <c r="H53" i="62" s="1"/>
  <c r="K52" i="62"/>
  <c r="K53" i="62" s="1"/>
  <c r="Q52" i="62"/>
  <c r="Q53" i="62" s="1"/>
  <c r="S52" i="62"/>
  <c r="S53" i="62" s="1"/>
  <c r="U52" i="62"/>
  <c r="U53" i="62" s="1"/>
  <c r="W52" i="62"/>
  <c r="W53" i="62" s="1"/>
  <c r="Z52" i="62"/>
  <c r="Z53" i="62" s="1"/>
  <c r="AC52" i="62"/>
  <c r="AC53" i="62" s="1"/>
  <c r="AF52" i="62"/>
  <c r="AF53" i="62" s="1"/>
  <c r="AH52" i="62"/>
  <c r="AH53" i="62" s="1"/>
  <c r="AJ52" i="62"/>
  <c r="AJ53" i="62" s="1"/>
  <c r="AL52" i="62"/>
  <c r="AL53" i="62" s="1"/>
  <c r="AN52" i="62"/>
  <c r="AN53" i="62" s="1"/>
  <c r="E50" i="62"/>
  <c r="E50" i="48"/>
  <c r="L52" i="48"/>
  <c r="L53" i="48" s="1"/>
  <c r="R52" i="48"/>
  <c r="R53" i="48" s="1"/>
  <c r="X52" i="48"/>
  <c r="X53" i="48" s="1"/>
  <c r="H52" i="48"/>
  <c r="H53" i="48" s="1"/>
  <c r="O52" i="48"/>
  <c r="O53" i="48" s="1"/>
  <c r="U52" i="48"/>
  <c r="U53" i="48" s="1"/>
  <c r="AA52" i="48"/>
  <c r="AA53" i="48" s="1"/>
  <c r="AD52" i="48"/>
  <c r="AD53" i="48" s="1"/>
  <c r="AG52" i="48"/>
  <c r="AG53" i="48" s="1"/>
  <c r="AJ52" i="48"/>
  <c r="AJ53" i="48" s="1"/>
  <c r="AN52" i="48"/>
  <c r="AN53" i="48" s="1"/>
  <c r="G52" i="48"/>
  <c r="G53" i="48" s="1"/>
  <c r="K52" i="48"/>
  <c r="K53" i="48" s="1"/>
  <c r="Q52" i="48"/>
  <c r="Q53" i="48" s="1"/>
  <c r="V52" i="48"/>
  <c r="V53" i="48" s="1"/>
  <c r="Y52" i="48"/>
  <c r="Y53" i="48" s="1"/>
  <c r="AB52" i="48"/>
  <c r="AB53" i="48" s="1"/>
  <c r="AF52" i="48"/>
  <c r="AF53" i="48" s="1"/>
  <c r="AI52" i="48"/>
  <c r="AI53" i="48" s="1"/>
  <c r="AL52" i="48"/>
  <c r="AL53" i="48" s="1"/>
  <c r="F52" i="48"/>
  <c r="F53" i="48" s="1"/>
  <c r="I52" i="48"/>
  <c r="I53" i="48" s="1"/>
  <c r="M52" i="48"/>
  <c r="M53" i="48" s="1"/>
  <c r="P52" i="48"/>
  <c r="P53" i="48" s="1"/>
  <c r="S52" i="48"/>
  <c r="S53" i="48" s="1"/>
  <c r="W52" i="48"/>
  <c r="W53" i="48" s="1"/>
  <c r="Z52" i="48"/>
  <c r="Z53" i="48" s="1"/>
  <c r="AC52" i="48"/>
  <c r="AC53" i="48" s="1"/>
  <c r="AE52" i="48"/>
  <c r="AE53" i="48" s="1"/>
  <c r="AH52" i="48"/>
  <c r="AH53" i="48" s="1"/>
  <c r="AK52" i="48"/>
  <c r="AK53" i="48" s="1"/>
  <c r="AM52" i="48"/>
  <c r="AM53" i="48" s="1"/>
  <c r="G58" i="48"/>
  <c r="I58" i="48"/>
  <c r="K58" i="48"/>
  <c r="M58" i="48"/>
  <c r="O58" i="48"/>
  <c r="Q58" i="48"/>
  <c r="S58" i="48"/>
  <c r="U58" i="48"/>
  <c r="AA58" i="48"/>
  <c r="J52" i="48"/>
  <c r="J53" i="48" s="1"/>
  <c r="N52" i="48"/>
  <c r="N53" i="48" s="1"/>
  <c r="T52" i="48"/>
  <c r="T53" i="48" s="1"/>
  <c r="F58" i="48"/>
  <c r="H58" i="48"/>
  <c r="J58" i="48"/>
  <c r="L58" i="48"/>
  <c r="N58" i="48"/>
  <c r="P58" i="48"/>
  <c r="R58" i="48"/>
  <c r="T58" i="48"/>
  <c r="V58" i="48"/>
  <c r="W58" i="48"/>
  <c r="X58" i="48"/>
  <c r="Y58" i="48"/>
  <c r="Z58" i="48"/>
  <c r="AB58" i="48"/>
  <c r="AC58" i="48"/>
  <c r="AD58" i="48"/>
  <c r="AE58" i="48"/>
  <c r="AF58" i="48"/>
  <c r="AG58" i="48"/>
  <c r="AH58" i="48"/>
  <c r="AI58" i="48"/>
  <c r="AJ58" i="48"/>
  <c r="AK58" i="48"/>
  <c r="AL58" i="48"/>
  <c r="AM58" i="48"/>
  <c r="AN58" i="48"/>
  <c r="AN58" i="38"/>
  <c r="AM58" i="38"/>
  <c r="AL58" i="38"/>
  <c r="AK58" i="38"/>
  <c r="AJ58" i="38"/>
  <c r="AI58" i="38"/>
  <c r="AH58" i="38"/>
  <c r="AG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AN52" i="38"/>
  <c r="AN53" i="38" s="1"/>
  <c r="AM52" i="38"/>
  <c r="AM53" i="38" s="1"/>
  <c r="AL52" i="38"/>
  <c r="AL53" i="38" s="1"/>
  <c r="AK52" i="38"/>
  <c r="AK53" i="38" s="1"/>
  <c r="AJ52" i="38"/>
  <c r="AJ53" i="38" s="1"/>
  <c r="AI52" i="38"/>
  <c r="AI53" i="38" s="1"/>
  <c r="AH52" i="38"/>
  <c r="AH53" i="38" s="1"/>
  <c r="AG52" i="38"/>
  <c r="AG53" i="38" s="1"/>
  <c r="AF52" i="38"/>
  <c r="AF53" i="38" s="1"/>
  <c r="AE52" i="38"/>
  <c r="AE53" i="38" s="1"/>
  <c r="AD52" i="38"/>
  <c r="AD53" i="38" s="1"/>
  <c r="AC52" i="38"/>
  <c r="AC53" i="38" s="1"/>
  <c r="AB52" i="38"/>
  <c r="AB53" i="38" s="1"/>
  <c r="AA52" i="38"/>
  <c r="AA53" i="38" s="1"/>
  <c r="Z52" i="38"/>
  <c r="Z53" i="38" s="1"/>
  <c r="Y52" i="38"/>
  <c r="Y53" i="38" s="1"/>
  <c r="X52" i="38"/>
  <c r="X53" i="38" s="1"/>
  <c r="W52" i="38"/>
  <c r="W53" i="38" s="1"/>
  <c r="V52" i="38"/>
  <c r="V53" i="38" s="1"/>
  <c r="U52" i="38"/>
  <c r="U53" i="38" s="1"/>
  <c r="T52" i="38"/>
  <c r="T53" i="38" s="1"/>
  <c r="S52" i="38"/>
  <c r="S53" i="38" s="1"/>
  <c r="R52" i="38"/>
  <c r="R53" i="38" s="1"/>
  <c r="Q52" i="38"/>
  <c r="Q53" i="38" s="1"/>
  <c r="P52" i="38"/>
  <c r="P53" i="38" s="1"/>
  <c r="O52" i="38"/>
  <c r="O53" i="38" s="1"/>
  <c r="N52" i="38"/>
  <c r="N53" i="38" s="1"/>
  <c r="M52" i="38"/>
  <c r="M53" i="38" s="1"/>
  <c r="L52" i="38"/>
  <c r="L53" i="38" s="1"/>
  <c r="K52" i="38"/>
  <c r="K53" i="38" s="1"/>
  <c r="J52" i="38"/>
  <c r="J53" i="38" s="1"/>
  <c r="I52" i="38"/>
  <c r="I53" i="38" s="1"/>
  <c r="H52" i="38"/>
  <c r="H53" i="38" s="1"/>
  <c r="G52" i="38"/>
  <c r="G53" i="38" s="1"/>
  <c r="F52" i="38"/>
  <c r="F53" i="38" s="1"/>
  <c r="E50" i="38"/>
  <c r="AN58" i="54"/>
  <c r="AL58" i="54"/>
  <c r="AK58" i="54"/>
  <c r="AI58" i="54"/>
  <c r="AG58" i="54"/>
  <c r="AE58" i="54"/>
  <c r="AC58" i="54"/>
  <c r="AB58" i="54"/>
  <c r="Z58" i="54"/>
  <c r="W58" i="54"/>
  <c r="U58" i="54"/>
  <c r="T58" i="54"/>
  <c r="R58" i="54"/>
  <c r="P58" i="54"/>
  <c r="N58" i="54"/>
  <c r="L58" i="54"/>
  <c r="J58" i="54"/>
  <c r="H58" i="54"/>
  <c r="G58" i="54"/>
  <c r="AN52" i="54"/>
  <c r="AN53" i="54" s="1"/>
  <c r="AL52" i="54"/>
  <c r="AL53" i="54" s="1"/>
  <c r="AJ52" i="54"/>
  <c r="AJ53" i="54" s="1"/>
  <c r="AI52" i="54"/>
  <c r="AI53" i="54" s="1"/>
  <c r="AF52" i="54"/>
  <c r="AF53" i="54" s="1"/>
  <c r="AD52" i="54"/>
  <c r="AD53" i="54" s="1"/>
  <c r="AB52" i="54"/>
  <c r="AB53" i="54" s="1"/>
  <c r="Z52" i="54"/>
  <c r="Z53" i="54" s="1"/>
  <c r="X52" i="54"/>
  <c r="X53" i="54" s="1"/>
  <c r="V52" i="54"/>
  <c r="V53" i="54" s="1"/>
  <c r="T52" i="54"/>
  <c r="T53" i="54" s="1"/>
  <c r="S52" i="54"/>
  <c r="S53" i="54" s="1"/>
  <c r="Q52" i="54"/>
  <c r="Q53" i="54" s="1"/>
  <c r="O52" i="54"/>
  <c r="O53" i="54" s="1"/>
  <c r="M52" i="54"/>
  <c r="M53" i="54" s="1"/>
  <c r="K52" i="54"/>
  <c r="K53" i="54" s="1"/>
  <c r="I52" i="54"/>
  <c r="I53" i="54" s="1"/>
  <c r="F52" i="54"/>
  <c r="F53" i="54" s="1"/>
  <c r="AM58" i="54"/>
  <c r="AJ58" i="54"/>
  <c r="AH58" i="54"/>
  <c r="AF58" i="54"/>
  <c r="AD58" i="54"/>
  <c r="AA58" i="54"/>
  <c r="Y58" i="54"/>
  <c r="X58" i="54"/>
  <c r="V58" i="54"/>
  <c r="S58" i="54"/>
  <c r="Q58" i="54"/>
  <c r="O58" i="54"/>
  <c r="M58" i="54"/>
  <c r="K58" i="54"/>
  <c r="I58" i="54"/>
  <c r="F58" i="54"/>
  <c r="AM52" i="54"/>
  <c r="AM53" i="54" s="1"/>
  <c r="AK52" i="54"/>
  <c r="AK53" i="54" s="1"/>
  <c r="AH52" i="54"/>
  <c r="AH53" i="54" s="1"/>
  <c r="AG52" i="54"/>
  <c r="AG53" i="54" s="1"/>
  <c r="AE52" i="54"/>
  <c r="AE53" i="54" s="1"/>
  <c r="AC52" i="54"/>
  <c r="AC53" i="54" s="1"/>
  <c r="AA52" i="54"/>
  <c r="AA53" i="54" s="1"/>
  <c r="Y52" i="54"/>
  <c r="Y53" i="54" s="1"/>
  <c r="W52" i="54"/>
  <c r="W53" i="54" s="1"/>
  <c r="U52" i="54"/>
  <c r="U53" i="54" s="1"/>
  <c r="R52" i="54"/>
  <c r="R53" i="54" s="1"/>
  <c r="P52" i="54"/>
  <c r="P53" i="54" s="1"/>
  <c r="N52" i="54"/>
  <c r="N53" i="54" s="1"/>
  <c r="L52" i="54"/>
  <c r="L53" i="54" s="1"/>
  <c r="J52" i="54"/>
  <c r="J53" i="54" s="1"/>
  <c r="H52" i="54"/>
  <c r="H53" i="54" s="1"/>
  <c r="G52" i="54"/>
  <c r="G53" i="54" s="1"/>
  <c r="E50" i="54"/>
  <c r="AN58" i="39"/>
  <c r="AM58" i="39"/>
  <c r="AL58" i="39"/>
  <c r="AK58" i="39"/>
  <c r="AJ58" i="39"/>
  <c r="AI58" i="39"/>
  <c r="AH58" i="39"/>
  <c r="AG58" i="39"/>
  <c r="AF58" i="39"/>
  <c r="AE58" i="39"/>
  <c r="AD58" i="39"/>
  <c r="AC58" i="39"/>
  <c r="AB58" i="39"/>
  <c r="AA58" i="39"/>
  <c r="Z58" i="39"/>
  <c r="Y58" i="39"/>
  <c r="X58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AN52" i="39"/>
  <c r="AN53" i="39" s="1"/>
  <c r="AM52" i="39"/>
  <c r="AM53" i="39" s="1"/>
  <c r="AL52" i="39"/>
  <c r="AL53" i="39" s="1"/>
  <c r="AK52" i="39"/>
  <c r="AK53" i="39" s="1"/>
  <c r="AJ52" i="39"/>
  <c r="AJ53" i="39" s="1"/>
  <c r="AI52" i="39"/>
  <c r="AI53" i="39" s="1"/>
  <c r="AH52" i="39"/>
  <c r="AH53" i="39" s="1"/>
  <c r="AG52" i="39"/>
  <c r="AG53" i="39" s="1"/>
  <c r="AF52" i="39"/>
  <c r="AF53" i="39" s="1"/>
  <c r="AE52" i="39"/>
  <c r="AE53" i="39" s="1"/>
  <c r="AD52" i="39"/>
  <c r="AD53" i="39" s="1"/>
  <c r="AC52" i="39"/>
  <c r="AC53" i="39" s="1"/>
  <c r="AB52" i="39"/>
  <c r="AB53" i="39" s="1"/>
  <c r="AA52" i="39"/>
  <c r="AA53" i="39" s="1"/>
  <c r="Z52" i="39"/>
  <c r="Z53" i="39" s="1"/>
  <c r="Y52" i="39"/>
  <c r="Y53" i="39" s="1"/>
  <c r="X52" i="39"/>
  <c r="X53" i="39" s="1"/>
  <c r="W52" i="39"/>
  <c r="W53" i="39" s="1"/>
  <c r="V52" i="39"/>
  <c r="V53" i="39" s="1"/>
  <c r="U52" i="39"/>
  <c r="U53" i="39" s="1"/>
  <c r="T52" i="39"/>
  <c r="T53" i="39" s="1"/>
  <c r="S52" i="39"/>
  <c r="S53" i="39" s="1"/>
  <c r="R52" i="39"/>
  <c r="R53" i="39" s="1"/>
  <c r="Q52" i="39"/>
  <c r="Q53" i="39" s="1"/>
  <c r="P52" i="39"/>
  <c r="P53" i="39" s="1"/>
  <c r="O52" i="39"/>
  <c r="O53" i="39" s="1"/>
  <c r="N52" i="39"/>
  <c r="N53" i="39" s="1"/>
  <c r="M52" i="39"/>
  <c r="M53" i="39" s="1"/>
  <c r="L52" i="39"/>
  <c r="L53" i="39" s="1"/>
  <c r="K52" i="39"/>
  <c r="K53" i="39" s="1"/>
  <c r="J52" i="39"/>
  <c r="J53" i="39" s="1"/>
  <c r="I52" i="39"/>
  <c r="I53" i="39" s="1"/>
  <c r="H52" i="39"/>
  <c r="H53" i="39" s="1"/>
  <c r="G52" i="39"/>
  <c r="G53" i="39" s="1"/>
  <c r="F52" i="39"/>
  <c r="F53" i="39" s="1"/>
  <c r="E50" i="39"/>
  <c r="F52" i="55"/>
  <c r="F53" i="55" s="1"/>
  <c r="G52" i="55"/>
  <c r="G53" i="55" s="1"/>
  <c r="H52" i="55"/>
  <c r="H53" i="55" s="1"/>
  <c r="I52" i="55"/>
  <c r="I53" i="55" s="1"/>
  <c r="J52" i="55"/>
  <c r="J53" i="55" s="1"/>
  <c r="K52" i="55"/>
  <c r="K53" i="55" s="1"/>
  <c r="L52" i="55"/>
  <c r="L53" i="55" s="1"/>
  <c r="M52" i="55"/>
  <c r="M53" i="55" s="1"/>
  <c r="N52" i="55"/>
  <c r="N53" i="55" s="1"/>
  <c r="O52" i="55"/>
  <c r="O53" i="55" s="1"/>
  <c r="P52" i="55"/>
  <c r="P53" i="55" s="1"/>
  <c r="Q52" i="55"/>
  <c r="Q53" i="55" s="1"/>
  <c r="R52" i="55"/>
  <c r="R53" i="55" s="1"/>
  <c r="S52" i="55"/>
  <c r="S53" i="55" s="1"/>
  <c r="T52" i="55"/>
  <c r="T53" i="55" s="1"/>
  <c r="U52" i="55"/>
  <c r="U53" i="55" s="1"/>
  <c r="V52" i="55"/>
  <c r="V53" i="55" s="1"/>
  <c r="W52" i="55"/>
  <c r="W53" i="55" s="1"/>
  <c r="X52" i="55"/>
  <c r="X53" i="55" s="1"/>
  <c r="Y52" i="55"/>
  <c r="Y53" i="55" s="1"/>
  <c r="Z52" i="55"/>
  <c r="Z53" i="55" s="1"/>
  <c r="AA52" i="55"/>
  <c r="AA53" i="55" s="1"/>
  <c r="AB52" i="55"/>
  <c r="AB53" i="55" s="1"/>
  <c r="AC52" i="55"/>
  <c r="AC53" i="55" s="1"/>
  <c r="AD52" i="55"/>
  <c r="AD53" i="55" s="1"/>
  <c r="AE52" i="55"/>
  <c r="AE53" i="55" s="1"/>
  <c r="AF52" i="55"/>
  <c r="AF53" i="55" s="1"/>
  <c r="AG52" i="55"/>
  <c r="AG53" i="55" s="1"/>
  <c r="AH52" i="55"/>
  <c r="AH53" i="55" s="1"/>
  <c r="AI52" i="55"/>
  <c r="AI53" i="55" s="1"/>
  <c r="AJ52" i="55"/>
  <c r="AJ53" i="55" s="1"/>
  <c r="AK52" i="55"/>
  <c r="AK53" i="55" s="1"/>
  <c r="AL52" i="55"/>
  <c r="AL53" i="55" s="1"/>
  <c r="AM52" i="55"/>
  <c r="AM53" i="55" s="1"/>
  <c r="AN52" i="55"/>
  <c r="AN53" i="55" s="1"/>
  <c r="F58" i="55"/>
  <c r="G58" i="55"/>
  <c r="H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Z58" i="55"/>
  <c r="AA58" i="55"/>
  <c r="AB58" i="55"/>
  <c r="AC58" i="55"/>
  <c r="AD58" i="55"/>
  <c r="AE58" i="55"/>
  <c r="AF58" i="55"/>
  <c r="AG58" i="55"/>
  <c r="AH58" i="55"/>
  <c r="AI58" i="55"/>
  <c r="AJ58" i="55"/>
  <c r="AK58" i="55"/>
  <c r="AL58" i="55"/>
  <c r="AM58" i="55"/>
  <c r="AN58" i="55"/>
  <c r="E50" i="55"/>
  <c r="F52" i="56"/>
  <c r="F53" i="56" s="1"/>
  <c r="G52" i="56"/>
  <c r="G53" i="56" s="1"/>
  <c r="H52" i="56"/>
  <c r="H53" i="56" s="1"/>
  <c r="I52" i="56"/>
  <c r="I53" i="56" s="1"/>
  <c r="J52" i="56"/>
  <c r="J53" i="56" s="1"/>
  <c r="K52" i="56"/>
  <c r="K53" i="56" s="1"/>
  <c r="L52" i="56"/>
  <c r="L53" i="56" s="1"/>
  <c r="M52" i="56"/>
  <c r="M53" i="56" s="1"/>
  <c r="N52" i="56"/>
  <c r="N53" i="56" s="1"/>
  <c r="O52" i="56"/>
  <c r="O53" i="56" s="1"/>
  <c r="P52" i="56"/>
  <c r="P53" i="56" s="1"/>
  <c r="Q52" i="56"/>
  <c r="Q53" i="56" s="1"/>
  <c r="R52" i="56"/>
  <c r="R53" i="56" s="1"/>
  <c r="S52" i="56"/>
  <c r="S53" i="56" s="1"/>
  <c r="T52" i="56"/>
  <c r="T53" i="56" s="1"/>
  <c r="U52" i="56"/>
  <c r="U53" i="56" s="1"/>
  <c r="V52" i="56"/>
  <c r="V53" i="56" s="1"/>
  <c r="W52" i="56"/>
  <c r="W53" i="56" s="1"/>
  <c r="X52" i="56"/>
  <c r="X53" i="56" s="1"/>
  <c r="Y52" i="56"/>
  <c r="Y53" i="56" s="1"/>
  <c r="Z52" i="56"/>
  <c r="Z53" i="56" s="1"/>
  <c r="AA52" i="56"/>
  <c r="AA53" i="56" s="1"/>
  <c r="AB52" i="56"/>
  <c r="AB53" i="56" s="1"/>
  <c r="AC52" i="56"/>
  <c r="AC53" i="56" s="1"/>
  <c r="AD52" i="56"/>
  <c r="AD53" i="56" s="1"/>
  <c r="AE52" i="56"/>
  <c r="AE53" i="56" s="1"/>
  <c r="AF52" i="56"/>
  <c r="AF53" i="56" s="1"/>
  <c r="AG52" i="56"/>
  <c r="AG53" i="56" s="1"/>
  <c r="AH52" i="56"/>
  <c r="AH53" i="56" s="1"/>
  <c r="AI52" i="56"/>
  <c r="AI53" i="56" s="1"/>
  <c r="AJ52" i="56"/>
  <c r="AJ53" i="56" s="1"/>
  <c r="AK52" i="56"/>
  <c r="AK53" i="56" s="1"/>
  <c r="AL52" i="56"/>
  <c r="AL53" i="56" s="1"/>
  <c r="AM52" i="56"/>
  <c r="AM53" i="56" s="1"/>
  <c r="AN52" i="56"/>
  <c r="AN53" i="56" s="1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AE58" i="56"/>
  <c r="AF58" i="56"/>
  <c r="AG58" i="56"/>
  <c r="AH58" i="56"/>
  <c r="AI58" i="56"/>
  <c r="AJ58" i="56"/>
  <c r="AK58" i="56"/>
  <c r="AL58" i="56"/>
  <c r="AM58" i="56"/>
  <c r="AN58" i="56"/>
  <c r="E50" i="56"/>
  <c r="J52" i="41"/>
  <c r="J53" i="41" s="1"/>
  <c r="L52" i="41"/>
  <c r="L53" i="41" s="1"/>
  <c r="P52" i="41"/>
  <c r="P53" i="41" s="1"/>
  <c r="R52" i="41"/>
  <c r="R53" i="41" s="1"/>
  <c r="Z52" i="41"/>
  <c r="Z53" i="41" s="1"/>
  <c r="AG52" i="41"/>
  <c r="AG53" i="41" s="1"/>
  <c r="AK52" i="41"/>
  <c r="AK53" i="41" s="1"/>
  <c r="O58" i="41"/>
  <c r="S58" i="41"/>
  <c r="Y58" i="41"/>
  <c r="AD58" i="41"/>
  <c r="AH58" i="41"/>
  <c r="AJ58" i="41"/>
  <c r="H52" i="41"/>
  <c r="H53" i="41" s="1"/>
  <c r="K52" i="41"/>
  <c r="K53" i="41" s="1"/>
  <c r="M52" i="41"/>
  <c r="M53" i="41" s="1"/>
  <c r="Q52" i="41"/>
  <c r="Q53" i="41" s="1"/>
  <c r="T52" i="41"/>
  <c r="T53" i="41" s="1"/>
  <c r="X52" i="41"/>
  <c r="X53" i="41" s="1"/>
  <c r="AF52" i="41"/>
  <c r="AF53" i="41" s="1"/>
  <c r="AH52" i="41"/>
  <c r="AH53" i="41" s="1"/>
  <c r="AL52" i="41"/>
  <c r="AL53" i="41" s="1"/>
  <c r="F58" i="41"/>
  <c r="K58" i="41"/>
  <c r="V58" i="41"/>
  <c r="Z58" i="41"/>
  <c r="AE58" i="41"/>
  <c r="AI58" i="41"/>
  <c r="AN58" i="41"/>
  <c r="I52" i="41"/>
  <c r="I53" i="41" s="1"/>
  <c r="N52" i="41"/>
  <c r="N53" i="41" s="1"/>
  <c r="U52" i="41"/>
  <c r="U53" i="41" s="1"/>
  <c r="Y52" i="41"/>
  <c r="Y53" i="41" s="1"/>
  <c r="AB52" i="41"/>
  <c r="AB53" i="41" s="1"/>
  <c r="AE52" i="41"/>
  <c r="AE53" i="41" s="1"/>
  <c r="AI52" i="41"/>
  <c r="AI53" i="41" s="1"/>
  <c r="H58" i="41"/>
  <c r="M58" i="41"/>
  <c r="Q58" i="41"/>
  <c r="T58" i="41"/>
  <c r="W58" i="41"/>
  <c r="AB58" i="41"/>
  <c r="AL58" i="41"/>
  <c r="G52" i="41"/>
  <c r="G53" i="41" s="1"/>
  <c r="O52" i="41"/>
  <c r="O53" i="41" s="1"/>
  <c r="V52" i="41"/>
  <c r="V53" i="41" s="1"/>
  <c r="AC52" i="41"/>
  <c r="AC53" i="41" s="1"/>
  <c r="AJ52" i="41"/>
  <c r="AJ53" i="41" s="1"/>
  <c r="AN52" i="41"/>
  <c r="AN53" i="41" s="1"/>
  <c r="I58" i="41"/>
  <c r="L58" i="41"/>
  <c r="X58" i="41"/>
  <c r="AC58" i="41"/>
  <c r="AF58" i="41"/>
  <c r="AM58" i="41"/>
  <c r="W52" i="41"/>
  <c r="W53" i="41" s="1"/>
  <c r="F52" i="41"/>
  <c r="F53" i="41" s="1"/>
  <c r="S52" i="41"/>
  <c r="S53" i="41" s="1"/>
  <c r="AA52" i="41"/>
  <c r="AA53" i="41" s="1"/>
  <c r="AD52" i="41"/>
  <c r="AD53" i="41" s="1"/>
  <c r="AM52" i="41"/>
  <c r="AM53" i="41" s="1"/>
  <c r="G58" i="41"/>
  <c r="J58" i="41"/>
  <c r="N58" i="41"/>
  <c r="P58" i="41"/>
  <c r="R58" i="41"/>
  <c r="U58" i="41"/>
  <c r="AA58" i="41"/>
  <c r="AG58" i="41"/>
  <c r="AK58" i="41"/>
  <c r="E50" i="41"/>
  <c r="G52" i="49"/>
  <c r="G53" i="49" s="1"/>
  <c r="J52" i="49"/>
  <c r="J53" i="49" s="1"/>
  <c r="L52" i="49"/>
  <c r="L53" i="49" s="1"/>
  <c r="N52" i="49"/>
  <c r="N53" i="49" s="1"/>
  <c r="P52" i="49"/>
  <c r="P53" i="49" s="1"/>
  <c r="S52" i="49"/>
  <c r="S53" i="49" s="1"/>
  <c r="U52" i="49"/>
  <c r="U53" i="49" s="1"/>
  <c r="W52" i="49"/>
  <c r="W53" i="49" s="1"/>
  <c r="Y52" i="49"/>
  <c r="Y53" i="49" s="1"/>
  <c r="AA52" i="49"/>
  <c r="AA53" i="49" s="1"/>
  <c r="AC52" i="49"/>
  <c r="AC53" i="49" s="1"/>
  <c r="AE52" i="49"/>
  <c r="AE53" i="49" s="1"/>
  <c r="AG52" i="49"/>
  <c r="AG53" i="49" s="1"/>
  <c r="AI52" i="49"/>
  <c r="AI53" i="49" s="1"/>
  <c r="AK52" i="49"/>
  <c r="AK53" i="49" s="1"/>
  <c r="AL52" i="49"/>
  <c r="AL53" i="49" s="1"/>
  <c r="AN52" i="49"/>
  <c r="AN53" i="49" s="1"/>
  <c r="F52" i="49"/>
  <c r="F53" i="49" s="1"/>
  <c r="I52" i="49"/>
  <c r="I53" i="49" s="1"/>
  <c r="O52" i="49"/>
  <c r="O53" i="49" s="1"/>
  <c r="F58" i="49"/>
  <c r="G58" i="49"/>
  <c r="H58" i="49"/>
  <c r="I58" i="49"/>
  <c r="J58" i="49"/>
  <c r="K58" i="49"/>
  <c r="L58" i="49"/>
  <c r="M58" i="49"/>
  <c r="N58" i="49"/>
  <c r="O58" i="49"/>
  <c r="P58" i="49"/>
  <c r="Q58" i="49"/>
  <c r="R58" i="49"/>
  <c r="S58" i="49"/>
  <c r="T58" i="49"/>
  <c r="U58" i="49"/>
  <c r="V58" i="49"/>
  <c r="W58" i="49"/>
  <c r="X58" i="49"/>
  <c r="Y58" i="49"/>
  <c r="Z58" i="49"/>
  <c r="AA58" i="49"/>
  <c r="AB58" i="49"/>
  <c r="AC58" i="49"/>
  <c r="AD58" i="49"/>
  <c r="AE58" i="49"/>
  <c r="AF58" i="49"/>
  <c r="AG58" i="49"/>
  <c r="AH58" i="49"/>
  <c r="AI58" i="49"/>
  <c r="AJ58" i="49"/>
  <c r="AK58" i="49"/>
  <c r="AL58" i="49"/>
  <c r="AM58" i="49"/>
  <c r="AN58" i="49"/>
  <c r="H52" i="49"/>
  <c r="H53" i="49" s="1"/>
  <c r="K52" i="49"/>
  <c r="K53" i="49" s="1"/>
  <c r="M52" i="49"/>
  <c r="M53" i="49" s="1"/>
  <c r="Q52" i="49"/>
  <c r="Q53" i="49" s="1"/>
  <c r="R52" i="49"/>
  <c r="R53" i="49" s="1"/>
  <c r="T52" i="49"/>
  <c r="T53" i="49" s="1"/>
  <c r="V52" i="49"/>
  <c r="V53" i="49" s="1"/>
  <c r="X52" i="49"/>
  <c r="X53" i="49" s="1"/>
  <c r="Z52" i="49"/>
  <c r="Z53" i="49" s="1"/>
  <c r="AB52" i="49"/>
  <c r="AB53" i="49" s="1"/>
  <c r="AD52" i="49"/>
  <c r="AD53" i="49" s="1"/>
  <c r="AF52" i="49"/>
  <c r="AF53" i="49" s="1"/>
  <c r="AH52" i="49"/>
  <c r="AH53" i="49" s="1"/>
  <c r="AJ52" i="49"/>
  <c r="AJ53" i="49" s="1"/>
  <c r="AM52" i="49"/>
  <c r="AM53" i="49" s="1"/>
  <c r="E50" i="49"/>
  <c r="E50" i="71"/>
  <c r="F52" i="71"/>
  <c r="F53" i="71" s="1"/>
  <c r="H58" i="71"/>
  <c r="L58" i="71"/>
  <c r="P58" i="71"/>
  <c r="T58" i="71"/>
  <c r="V58" i="71"/>
  <c r="X58" i="71"/>
  <c r="AD58" i="71"/>
  <c r="AI58" i="71"/>
  <c r="AK58" i="71"/>
  <c r="G58" i="71"/>
  <c r="K58" i="71"/>
  <c r="M58" i="71"/>
  <c r="Q58" i="71"/>
  <c r="S58" i="71"/>
  <c r="W58" i="71"/>
  <c r="Z58" i="71"/>
  <c r="AA58" i="71"/>
  <c r="AE58" i="71"/>
  <c r="AH58" i="71"/>
  <c r="AL58" i="71"/>
  <c r="H52" i="71"/>
  <c r="H53" i="71" s="1"/>
  <c r="J52" i="71"/>
  <c r="J53" i="71" s="1"/>
  <c r="N52" i="71"/>
  <c r="N53" i="71" s="1"/>
  <c r="P52" i="71"/>
  <c r="P53" i="71" s="1"/>
  <c r="R52" i="71"/>
  <c r="R53" i="71" s="1"/>
  <c r="V52" i="71"/>
  <c r="V53" i="71" s="1"/>
  <c r="Z52" i="71"/>
  <c r="Z53" i="71" s="1"/>
  <c r="AD52" i="71"/>
  <c r="AD53" i="71" s="1"/>
  <c r="AH52" i="71"/>
  <c r="AH53" i="71" s="1"/>
  <c r="AM52" i="71"/>
  <c r="AM53" i="71" s="1"/>
  <c r="I52" i="71"/>
  <c r="I53" i="71" s="1"/>
  <c r="M52" i="71"/>
  <c r="M53" i="71" s="1"/>
  <c r="Q52" i="71"/>
  <c r="Q53" i="71" s="1"/>
  <c r="U52" i="71"/>
  <c r="U53" i="71" s="1"/>
  <c r="Y52" i="71"/>
  <c r="Y53" i="71" s="1"/>
  <c r="AE52" i="71"/>
  <c r="AE53" i="71" s="1"/>
  <c r="AI52" i="71"/>
  <c r="AI53" i="71" s="1"/>
  <c r="AN52" i="71"/>
  <c r="AN53" i="71" s="1"/>
  <c r="F58" i="71"/>
  <c r="J58" i="71"/>
  <c r="N58" i="71"/>
  <c r="R58" i="71"/>
  <c r="AB58" i="71"/>
  <c r="AG58" i="71"/>
  <c r="AM58" i="71"/>
  <c r="I58" i="71"/>
  <c r="O58" i="71"/>
  <c r="U58" i="71"/>
  <c r="Y58" i="71"/>
  <c r="AC58" i="71"/>
  <c r="AF58" i="71"/>
  <c r="AJ58" i="71"/>
  <c r="AN58" i="71"/>
  <c r="L52" i="71"/>
  <c r="L53" i="71" s="1"/>
  <c r="T52" i="71"/>
  <c r="T53" i="71" s="1"/>
  <c r="X52" i="71"/>
  <c r="X53" i="71" s="1"/>
  <c r="AB52" i="71"/>
  <c r="AB53" i="71" s="1"/>
  <c r="AF52" i="71"/>
  <c r="AF53" i="71" s="1"/>
  <c r="AK52" i="71"/>
  <c r="AK53" i="71" s="1"/>
  <c r="G52" i="71"/>
  <c r="G53" i="71" s="1"/>
  <c r="K52" i="71"/>
  <c r="K53" i="71" s="1"/>
  <c r="O52" i="71"/>
  <c r="O53" i="71" s="1"/>
  <c r="S52" i="71"/>
  <c r="S53" i="71" s="1"/>
  <c r="W52" i="71"/>
  <c r="W53" i="71" s="1"/>
  <c r="AC52" i="71"/>
  <c r="AC53" i="71" s="1"/>
  <c r="AG52" i="71"/>
  <c r="AG53" i="71" s="1"/>
  <c r="AJ52" i="71"/>
  <c r="AJ53" i="71" s="1"/>
  <c r="AA52" i="71"/>
  <c r="AA53" i="71" s="1"/>
  <c r="AL52" i="71"/>
  <c r="AL53" i="71" s="1"/>
  <c r="H52" i="74"/>
  <c r="H53" i="74" s="1"/>
  <c r="K52" i="74"/>
  <c r="K53" i="74" s="1"/>
  <c r="N52" i="74"/>
  <c r="N53" i="74" s="1"/>
  <c r="R52" i="74"/>
  <c r="R53" i="74" s="1"/>
  <c r="F58" i="74"/>
  <c r="H58" i="74"/>
  <c r="I58" i="74"/>
  <c r="J58" i="74"/>
  <c r="K58" i="74"/>
  <c r="L58" i="74"/>
  <c r="M58" i="74"/>
  <c r="N58" i="74"/>
  <c r="O58" i="74"/>
  <c r="P58" i="74"/>
  <c r="Q58" i="74"/>
  <c r="R58" i="74"/>
  <c r="S58" i="74"/>
  <c r="T58" i="74"/>
  <c r="U58" i="74"/>
  <c r="V58" i="74"/>
  <c r="W58" i="74"/>
  <c r="X58" i="74"/>
  <c r="Y58" i="74"/>
  <c r="Z58" i="74"/>
  <c r="AB58" i="74"/>
  <c r="AD58" i="74"/>
  <c r="AF58" i="74"/>
  <c r="AH58" i="74"/>
  <c r="AK58" i="74"/>
  <c r="AL58" i="74"/>
  <c r="AN58" i="74"/>
  <c r="G58" i="74"/>
  <c r="AA58" i="74"/>
  <c r="AC58" i="74"/>
  <c r="AE58" i="74"/>
  <c r="AG58" i="74"/>
  <c r="AI58" i="74"/>
  <c r="AJ58" i="74"/>
  <c r="AM58" i="74"/>
  <c r="G52" i="74"/>
  <c r="G53" i="74" s="1"/>
  <c r="J52" i="74"/>
  <c r="J53" i="74" s="1"/>
  <c r="M52" i="74"/>
  <c r="M53" i="74" s="1"/>
  <c r="O52" i="74"/>
  <c r="O53" i="74" s="1"/>
  <c r="Q52" i="74"/>
  <c r="Q53" i="74" s="1"/>
  <c r="T52" i="74"/>
  <c r="T53" i="74" s="1"/>
  <c r="V52" i="74"/>
  <c r="V53" i="74" s="1"/>
  <c r="X52" i="74"/>
  <c r="X53" i="74" s="1"/>
  <c r="Z52" i="74"/>
  <c r="Z53" i="74" s="1"/>
  <c r="AB52" i="74"/>
  <c r="AB53" i="74" s="1"/>
  <c r="AC52" i="74"/>
  <c r="AC53" i="74" s="1"/>
  <c r="AE52" i="74"/>
  <c r="AE53" i="74" s="1"/>
  <c r="AG52" i="74"/>
  <c r="AG53" i="74" s="1"/>
  <c r="AI52" i="74"/>
  <c r="AI53" i="74" s="1"/>
  <c r="AK52" i="74"/>
  <c r="AK53" i="74" s="1"/>
  <c r="AM52" i="74"/>
  <c r="AM53" i="74" s="1"/>
  <c r="F52" i="74"/>
  <c r="F53" i="74" s="1"/>
  <c r="I52" i="74"/>
  <c r="I53" i="74" s="1"/>
  <c r="L52" i="74"/>
  <c r="L53" i="74" s="1"/>
  <c r="P52" i="74"/>
  <c r="P53" i="74" s="1"/>
  <c r="S52" i="74"/>
  <c r="S53" i="74" s="1"/>
  <c r="U52" i="74"/>
  <c r="U53" i="74" s="1"/>
  <c r="W52" i="74"/>
  <c r="W53" i="74" s="1"/>
  <c r="Y52" i="74"/>
  <c r="Y53" i="74" s="1"/>
  <c r="AA52" i="74"/>
  <c r="AA53" i="74" s="1"/>
  <c r="AD52" i="74"/>
  <c r="AD53" i="74" s="1"/>
  <c r="AF52" i="74"/>
  <c r="AF53" i="74" s="1"/>
  <c r="AH52" i="74"/>
  <c r="AH53" i="74" s="1"/>
  <c r="AJ52" i="74"/>
  <c r="AJ53" i="74" s="1"/>
  <c r="AL52" i="74"/>
  <c r="AL53" i="74" s="1"/>
  <c r="AN52" i="74"/>
  <c r="AN53" i="74" s="1"/>
  <c r="E50" i="74"/>
  <c r="AN58" i="57"/>
  <c r="AL58" i="57"/>
  <c r="AK58" i="57"/>
  <c r="AJ58" i="57"/>
  <c r="AH58" i="57"/>
  <c r="AG58" i="57"/>
  <c r="AE58" i="57"/>
  <c r="AB58" i="57"/>
  <c r="Z58" i="57"/>
  <c r="X58" i="57"/>
  <c r="V58" i="57"/>
  <c r="T58" i="57"/>
  <c r="R58" i="57"/>
  <c r="P58" i="57"/>
  <c r="N58" i="57"/>
  <c r="L58" i="57"/>
  <c r="J58" i="57"/>
  <c r="H58" i="57"/>
  <c r="AM58" i="57"/>
  <c r="AI58" i="57"/>
  <c r="AF58" i="57"/>
  <c r="AD58" i="57"/>
  <c r="AC58" i="57"/>
  <c r="AA58" i="57"/>
  <c r="Y58" i="57"/>
  <c r="W58" i="57"/>
  <c r="U58" i="57"/>
  <c r="S58" i="57"/>
  <c r="Q58" i="57"/>
  <c r="O58" i="57"/>
  <c r="M58" i="57"/>
  <c r="K58" i="57"/>
  <c r="I58" i="57"/>
  <c r="G58" i="57"/>
  <c r="F58" i="57"/>
  <c r="AN52" i="57"/>
  <c r="AN53" i="57" s="1"/>
  <c r="AM52" i="57"/>
  <c r="AM53" i="57" s="1"/>
  <c r="AL52" i="57"/>
  <c r="AL53" i="57" s="1"/>
  <c r="AK52" i="57"/>
  <c r="AK53" i="57" s="1"/>
  <c r="AJ52" i="57"/>
  <c r="AJ53" i="57" s="1"/>
  <c r="AI52" i="57"/>
  <c r="AI53" i="57" s="1"/>
  <c r="AH52" i="57"/>
  <c r="AH53" i="57" s="1"/>
  <c r="AG52" i="57"/>
  <c r="AG53" i="57" s="1"/>
  <c r="AF52" i="57"/>
  <c r="AF53" i="57" s="1"/>
  <c r="AE52" i="57"/>
  <c r="AE53" i="57" s="1"/>
  <c r="AD52" i="57"/>
  <c r="AD53" i="57" s="1"/>
  <c r="AC52" i="57"/>
  <c r="AC53" i="57" s="1"/>
  <c r="AB52" i="57"/>
  <c r="AB53" i="57" s="1"/>
  <c r="AA52" i="57"/>
  <c r="AA53" i="57" s="1"/>
  <c r="Z52" i="57"/>
  <c r="Z53" i="57" s="1"/>
  <c r="Y52" i="57"/>
  <c r="Y53" i="57" s="1"/>
  <c r="X52" i="57"/>
  <c r="X53" i="57" s="1"/>
  <c r="W52" i="57"/>
  <c r="W53" i="57" s="1"/>
  <c r="V52" i="57"/>
  <c r="V53" i="57" s="1"/>
  <c r="U52" i="57"/>
  <c r="U53" i="57" s="1"/>
  <c r="T52" i="57"/>
  <c r="T53" i="57" s="1"/>
  <c r="S52" i="57"/>
  <c r="S53" i="57" s="1"/>
  <c r="R52" i="57"/>
  <c r="R53" i="57" s="1"/>
  <c r="Q52" i="57"/>
  <c r="Q53" i="57" s="1"/>
  <c r="P52" i="57"/>
  <c r="P53" i="57" s="1"/>
  <c r="O52" i="57"/>
  <c r="O53" i="57" s="1"/>
  <c r="N52" i="57"/>
  <c r="N53" i="57" s="1"/>
  <c r="M52" i="57"/>
  <c r="M53" i="57" s="1"/>
  <c r="L52" i="57"/>
  <c r="L53" i="57" s="1"/>
  <c r="K52" i="57"/>
  <c r="K53" i="57" s="1"/>
  <c r="J52" i="57"/>
  <c r="J53" i="57" s="1"/>
  <c r="I52" i="57"/>
  <c r="I53" i="57" s="1"/>
  <c r="H52" i="57"/>
  <c r="H53" i="57" s="1"/>
  <c r="G52" i="57"/>
  <c r="G53" i="57" s="1"/>
  <c r="F52" i="57"/>
  <c r="F53" i="57" s="1"/>
  <c r="E50" i="57"/>
  <c r="F52" i="59"/>
  <c r="F53" i="59" s="1"/>
  <c r="G52" i="59"/>
  <c r="G53" i="59" s="1"/>
  <c r="H52" i="59"/>
  <c r="H53" i="59" s="1"/>
  <c r="I52" i="59"/>
  <c r="I53" i="59" s="1"/>
  <c r="J52" i="59"/>
  <c r="J53" i="59" s="1"/>
  <c r="K52" i="59"/>
  <c r="K53" i="59" s="1"/>
  <c r="L52" i="59"/>
  <c r="L53" i="59" s="1"/>
  <c r="M52" i="59"/>
  <c r="M53" i="59" s="1"/>
  <c r="N52" i="59"/>
  <c r="N53" i="59" s="1"/>
  <c r="O52" i="59"/>
  <c r="O53" i="59" s="1"/>
  <c r="P52" i="59"/>
  <c r="P53" i="59" s="1"/>
  <c r="Q52" i="59"/>
  <c r="Q53" i="59" s="1"/>
  <c r="R52" i="59"/>
  <c r="R53" i="59" s="1"/>
  <c r="S52" i="59"/>
  <c r="S53" i="59" s="1"/>
  <c r="T52" i="59"/>
  <c r="T53" i="59" s="1"/>
  <c r="U52" i="59"/>
  <c r="U53" i="59" s="1"/>
  <c r="V52" i="59"/>
  <c r="V53" i="59" s="1"/>
  <c r="W52" i="59"/>
  <c r="W53" i="59" s="1"/>
  <c r="X52" i="59"/>
  <c r="X53" i="59" s="1"/>
  <c r="Y52" i="59"/>
  <c r="Y53" i="59" s="1"/>
  <c r="Z52" i="59"/>
  <c r="Z53" i="59" s="1"/>
  <c r="AA52" i="59"/>
  <c r="AA53" i="59" s="1"/>
  <c r="AB52" i="59"/>
  <c r="AB53" i="59" s="1"/>
  <c r="AC52" i="59"/>
  <c r="AC53" i="59" s="1"/>
  <c r="AD52" i="59"/>
  <c r="AD53" i="59" s="1"/>
  <c r="AE52" i="59"/>
  <c r="AE53" i="59" s="1"/>
  <c r="AF52" i="59"/>
  <c r="AF53" i="59" s="1"/>
  <c r="AG52" i="59"/>
  <c r="AG53" i="59" s="1"/>
  <c r="AH52" i="59"/>
  <c r="AH53" i="59" s="1"/>
  <c r="AI52" i="59"/>
  <c r="AI53" i="59" s="1"/>
  <c r="AJ52" i="59"/>
  <c r="AJ53" i="59" s="1"/>
  <c r="AK52" i="59"/>
  <c r="AK53" i="59" s="1"/>
  <c r="AL52" i="59"/>
  <c r="AL53" i="59" s="1"/>
  <c r="AM52" i="59"/>
  <c r="AM53" i="59" s="1"/>
  <c r="AN52" i="59"/>
  <c r="AN53" i="59" s="1"/>
  <c r="F58" i="59"/>
  <c r="G58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AG58" i="59"/>
  <c r="AH58" i="59"/>
  <c r="AI58" i="59"/>
  <c r="AJ58" i="59"/>
  <c r="AK58" i="59"/>
  <c r="AL58" i="59"/>
  <c r="AM58" i="59"/>
  <c r="AN58" i="59"/>
  <c r="E50" i="59"/>
  <c r="R52" i="63"/>
  <c r="R53" i="63" s="1"/>
  <c r="AN58" i="63"/>
  <c r="AM58" i="63"/>
  <c r="AL58" i="63"/>
  <c r="AK58" i="63"/>
  <c r="AJ58" i="63"/>
  <c r="AI58" i="63"/>
  <c r="AH58" i="63"/>
  <c r="AG58" i="63"/>
  <c r="AF58" i="63"/>
  <c r="AE58" i="63"/>
  <c r="AD58" i="63"/>
  <c r="AC58" i="63"/>
  <c r="AB58" i="63"/>
  <c r="AA58" i="63"/>
  <c r="Z58" i="63"/>
  <c r="Y58" i="63"/>
  <c r="X58" i="63"/>
  <c r="W58" i="63"/>
  <c r="V58" i="63"/>
  <c r="U58" i="63"/>
  <c r="T58" i="63"/>
  <c r="S58" i="63"/>
  <c r="R58" i="63"/>
  <c r="Q58" i="63"/>
  <c r="P58" i="63"/>
  <c r="O58" i="63"/>
  <c r="N58" i="63"/>
  <c r="M58" i="63"/>
  <c r="L58" i="63"/>
  <c r="K58" i="63"/>
  <c r="J58" i="63"/>
  <c r="I58" i="63"/>
  <c r="H58" i="63"/>
  <c r="G58" i="63"/>
  <c r="F58" i="63"/>
  <c r="P52" i="63"/>
  <c r="P53" i="63" s="1"/>
  <c r="J52" i="63"/>
  <c r="J53" i="63" s="1"/>
  <c r="F52" i="63"/>
  <c r="F53" i="63" s="1"/>
  <c r="AL52" i="63"/>
  <c r="AL53" i="63" s="1"/>
  <c r="AH52" i="63"/>
  <c r="AH53" i="63" s="1"/>
  <c r="AF52" i="63"/>
  <c r="AF53" i="63" s="1"/>
  <c r="AD52" i="63"/>
  <c r="AD53" i="63" s="1"/>
  <c r="AA52" i="63"/>
  <c r="AA53" i="63" s="1"/>
  <c r="Y52" i="63"/>
  <c r="Y53" i="63" s="1"/>
  <c r="W52" i="63"/>
  <c r="W53" i="63" s="1"/>
  <c r="U52" i="63"/>
  <c r="U53" i="63" s="1"/>
  <c r="S52" i="63"/>
  <c r="S53" i="63" s="1"/>
  <c r="O52" i="63"/>
  <c r="O53" i="63" s="1"/>
  <c r="M52" i="63"/>
  <c r="M53" i="63" s="1"/>
  <c r="K52" i="63"/>
  <c r="K53" i="63" s="1"/>
  <c r="I52" i="63"/>
  <c r="I53" i="63" s="1"/>
  <c r="G52" i="63"/>
  <c r="G53" i="63" s="1"/>
  <c r="AN52" i="63"/>
  <c r="AN53" i="63" s="1"/>
  <c r="AM52" i="63"/>
  <c r="AM53" i="63" s="1"/>
  <c r="AK52" i="63"/>
  <c r="AK53" i="63" s="1"/>
  <c r="AJ52" i="63"/>
  <c r="AJ53" i="63" s="1"/>
  <c r="AI52" i="63"/>
  <c r="AI53" i="63" s="1"/>
  <c r="AG52" i="63"/>
  <c r="AG53" i="63" s="1"/>
  <c r="AE52" i="63"/>
  <c r="AE53" i="63" s="1"/>
  <c r="AC52" i="63"/>
  <c r="AC53" i="63" s="1"/>
  <c r="AB52" i="63"/>
  <c r="AB53" i="63" s="1"/>
  <c r="Z52" i="63"/>
  <c r="Z53" i="63" s="1"/>
  <c r="X52" i="63"/>
  <c r="X53" i="63" s="1"/>
  <c r="V52" i="63"/>
  <c r="V53" i="63" s="1"/>
  <c r="T52" i="63"/>
  <c r="T53" i="63" s="1"/>
  <c r="Q52" i="63"/>
  <c r="Q53" i="63" s="1"/>
  <c r="N52" i="63"/>
  <c r="N53" i="63" s="1"/>
  <c r="L52" i="63"/>
  <c r="L53" i="63" s="1"/>
  <c r="H52" i="63"/>
  <c r="H53" i="63" s="1"/>
  <c r="E50" i="63"/>
  <c r="AN52" i="72"/>
  <c r="AN53" i="72" s="1"/>
  <c r="AL52" i="72"/>
  <c r="AL53" i="72" s="1"/>
  <c r="AJ52" i="72"/>
  <c r="AJ53" i="72" s="1"/>
  <c r="AH52" i="72"/>
  <c r="AH53" i="72" s="1"/>
  <c r="AG52" i="72"/>
  <c r="AG53" i="72" s="1"/>
  <c r="AD52" i="72"/>
  <c r="AD53" i="72" s="1"/>
  <c r="AB52" i="72"/>
  <c r="AB53" i="72" s="1"/>
  <c r="Z52" i="72"/>
  <c r="Z53" i="72" s="1"/>
  <c r="X52" i="72"/>
  <c r="X53" i="72" s="1"/>
  <c r="V52" i="72"/>
  <c r="V53" i="72" s="1"/>
  <c r="T52" i="72"/>
  <c r="T53" i="72" s="1"/>
  <c r="R52" i="72"/>
  <c r="R53" i="72" s="1"/>
  <c r="Q52" i="72"/>
  <c r="Q53" i="72" s="1"/>
  <c r="O52" i="72"/>
  <c r="O53" i="72" s="1"/>
  <c r="L52" i="72"/>
  <c r="L53" i="72" s="1"/>
  <c r="H52" i="72"/>
  <c r="H53" i="72" s="1"/>
  <c r="F52" i="72"/>
  <c r="F53" i="72" s="1"/>
  <c r="AN58" i="72"/>
  <c r="AM58" i="72"/>
  <c r="AL58" i="72"/>
  <c r="AK58" i="72"/>
  <c r="AJ58" i="72"/>
  <c r="AI58" i="72"/>
  <c r="AH58" i="72"/>
  <c r="AG58" i="72"/>
  <c r="AF58" i="72"/>
  <c r="AE58" i="72"/>
  <c r="AD58" i="72"/>
  <c r="AC58" i="72"/>
  <c r="AB58" i="72"/>
  <c r="AA58" i="72"/>
  <c r="Z58" i="72"/>
  <c r="X58" i="72"/>
  <c r="W58" i="72"/>
  <c r="V58" i="72"/>
  <c r="U58" i="72"/>
  <c r="S58" i="72"/>
  <c r="Q58" i="72"/>
  <c r="O58" i="72"/>
  <c r="M58" i="72"/>
  <c r="K58" i="72"/>
  <c r="I58" i="72"/>
  <c r="G58" i="72"/>
  <c r="Y58" i="72"/>
  <c r="T58" i="72"/>
  <c r="R58" i="72"/>
  <c r="P58" i="72"/>
  <c r="N58" i="72"/>
  <c r="L58" i="72"/>
  <c r="J58" i="72"/>
  <c r="H58" i="72"/>
  <c r="F58" i="72"/>
  <c r="AM52" i="72"/>
  <c r="AM53" i="72" s="1"/>
  <c r="AK52" i="72"/>
  <c r="AK53" i="72" s="1"/>
  <c r="AI52" i="72"/>
  <c r="AI53" i="72" s="1"/>
  <c r="AF52" i="72"/>
  <c r="AF53" i="72" s="1"/>
  <c r="AE52" i="72"/>
  <c r="AE53" i="72" s="1"/>
  <c r="AC52" i="72"/>
  <c r="AC53" i="72" s="1"/>
  <c r="AA52" i="72"/>
  <c r="AA53" i="72" s="1"/>
  <c r="Y52" i="72"/>
  <c r="Y53" i="72" s="1"/>
  <c r="W52" i="72"/>
  <c r="W53" i="72" s="1"/>
  <c r="U52" i="72"/>
  <c r="U53" i="72" s="1"/>
  <c r="S52" i="72"/>
  <c r="S53" i="72" s="1"/>
  <c r="P52" i="72"/>
  <c r="P53" i="72" s="1"/>
  <c r="N52" i="72"/>
  <c r="N53" i="72" s="1"/>
  <c r="K52" i="72"/>
  <c r="K53" i="72" s="1"/>
  <c r="I52" i="72"/>
  <c r="I53" i="72" s="1"/>
  <c r="M52" i="72"/>
  <c r="M53" i="72" s="1"/>
  <c r="J52" i="72"/>
  <c r="J53" i="72" s="1"/>
  <c r="G52" i="72"/>
  <c r="G53" i="72" s="1"/>
  <c r="E50" i="72"/>
  <c r="G52" i="19"/>
  <c r="G53" i="19" s="1"/>
  <c r="I52" i="19"/>
  <c r="I53" i="19" s="1"/>
  <c r="J52" i="19"/>
  <c r="J53" i="19" s="1"/>
  <c r="K52" i="19"/>
  <c r="K53" i="19" s="1"/>
  <c r="M52" i="19"/>
  <c r="M53" i="19" s="1"/>
  <c r="O52" i="19"/>
  <c r="O53" i="19" s="1"/>
  <c r="P52" i="19"/>
  <c r="P53" i="19" s="1"/>
  <c r="R52" i="19"/>
  <c r="R53" i="19" s="1"/>
  <c r="S52" i="19"/>
  <c r="S53" i="19" s="1"/>
  <c r="T52" i="19"/>
  <c r="T53" i="19" s="1"/>
  <c r="U52" i="19"/>
  <c r="U53" i="19" s="1"/>
  <c r="V52" i="19"/>
  <c r="V53" i="19" s="1"/>
  <c r="W52" i="19"/>
  <c r="W53" i="19" s="1"/>
  <c r="X52" i="19"/>
  <c r="X53" i="19" s="1"/>
  <c r="Y52" i="19"/>
  <c r="Y53" i="19" s="1"/>
  <c r="Z52" i="19"/>
  <c r="Z53" i="19" s="1"/>
  <c r="AA52" i="19"/>
  <c r="AA53" i="19" s="1"/>
  <c r="AB52" i="19"/>
  <c r="AB53" i="19" s="1"/>
  <c r="AC52" i="19"/>
  <c r="AC53" i="19" s="1"/>
  <c r="AD52" i="19"/>
  <c r="AD53" i="19" s="1"/>
  <c r="AE52" i="19"/>
  <c r="AE53" i="19" s="1"/>
  <c r="AF52" i="19"/>
  <c r="AF53" i="19" s="1"/>
  <c r="AG52" i="19"/>
  <c r="AG53" i="19" s="1"/>
  <c r="AH52" i="19"/>
  <c r="AH53" i="19" s="1"/>
  <c r="AI52" i="19"/>
  <c r="AI53" i="19" s="1"/>
  <c r="AJ52" i="19"/>
  <c r="AJ53" i="19" s="1"/>
  <c r="AK52" i="19"/>
  <c r="AK53" i="19" s="1"/>
  <c r="AL52" i="19"/>
  <c r="AL53" i="19" s="1"/>
  <c r="AM52" i="19"/>
  <c r="AM53" i="19" s="1"/>
  <c r="AN52" i="19"/>
  <c r="AN53" i="19" s="1"/>
  <c r="F58" i="19"/>
  <c r="H58" i="19"/>
  <c r="J58" i="19"/>
  <c r="L58" i="19"/>
  <c r="N58" i="19"/>
  <c r="P58" i="19"/>
  <c r="R58" i="19"/>
  <c r="T58" i="19"/>
  <c r="V58" i="19"/>
  <c r="X58" i="19"/>
  <c r="Z58" i="19"/>
  <c r="AB58" i="19"/>
  <c r="AE58" i="19"/>
  <c r="AF58" i="19"/>
  <c r="AH58" i="19"/>
  <c r="AJ58" i="19"/>
  <c r="AL58" i="19"/>
  <c r="AN58" i="19"/>
  <c r="F52" i="19"/>
  <c r="F53" i="19" s="1"/>
  <c r="H52" i="19"/>
  <c r="H53" i="19" s="1"/>
  <c r="L52" i="19"/>
  <c r="L53" i="19" s="1"/>
  <c r="N52" i="19"/>
  <c r="N53" i="19" s="1"/>
  <c r="Q52" i="19"/>
  <c r="Q53" i="19" s="1"/>
  <c r="G58" i="19"/>
  <c r="I58" i="19"/>
  <c r="K58" i="19"/>
  <c r="M58" i="19"/>
  <c r="O58" i="19"/>
  <c r="Q58" i="19"/>
  <c r="S58" i="19"/>
  <c r="U58" i="19"/>
  <c r="W58" i="19"/>
  <c r="Y58" i="19"/>
  <c r="AA58" i="19"/>
  <c r="AC58" i="19"/>
  <c r="AD58" i="19"/>
  <c r="AG58" i="19"/>
  <c r="AI58" i="19"/>
  <c r="AK58" i="19"/>
  <c r="AM58" i="19"/>
  <c r="E50" i="19"/>
  <c r="K52" i="51"/>
  <c r="K53" i="51" s="1"/>
  <c r="F52" i="51"/>
  <c r="F53" i="51" s="1"/>
  <c r="AN58" i="51"/>
  <c r="AM58" i="51"/>
  <c r="AL58" i="51"/>
  <c r="AK58" i="51"/>
  <c r="AJ58" i="51"/>
  <c r="AI58" i="51"/>
  <c r="AH58" i="51"/>
  <c r="AG58" i="51"/>
  <c r="AF58" i="51"/>
  <c r="AE58" i="51"/>
  <c r="AD58" i="51"/>
  <c r="AC58" i="51"/>
  <c r="AB58" i="51"/>
  <c r="AA58" i="51"/>
  <c r="Z58" i="51"/>
  <c r="Y58" i="51"/>
  <c r="X58" i="51"/>
  <c r="W58" i="51"/>
  <c r="V58" i="51"/>
  <c r="U58" i="51"/>
  <c r="T58" i="51"/>
  <c r="S58" i="51"/>
  <c r="R58" i="51"/>
  <c r="Q58" i="51"/>
  <c r="P58" i="51"/>
  <c r="O58" i="51"/>
  <c r="N58" i="51"/>
  <c r="M58" i="51"/>
  <c r="K58" i="51"/>
  <c r="J58" i="51"/>
  <c r="I58" i="51"/>
  <c r="H58" i="51"/>
  <c r="G58" i="51"/>
  <c r="L58" i="51"/>
  <c r="F58" i="51"/>
  <c r="AN52" i="51"/>
  <c r="AN53" i="51" s="1"/>
  <c r="AM52" i="51"/>
  <c r="AM53" i="51" s="1"/>
  <c r="AL52" i="51"/>
  <c r="AL53" i="51" s="1"/>
  <c r="AK52" i="51"/>
  <c r="AK53" i="51" s="1"/>
  <c r="AJ52" i="51"/>
  <c r="AJ53" i="51" s="1"/>
  <c r="AI52" i="51"/>
  <c r="AI53" i="51" s="1"/>
  <c r="AH52" i="51"/>
  <c r="AH53" i="51" s="1"/>
  <c r="AG52" i="51"/>
  <c r="AG53" i="51" s="1"/>
  <c r="AF52" i="51"/>
  <c r="AF53" i="51" s="1"/>
  <c r="AE52" i="51"/>
  <c r="AE53" i="51" s="1"/>
  <c r="AD52" i="51"/>
  <c r="AD53" i="51" s="1"/>
  <c r="AC52" i="51"/>
  <c r="AC53" i="51" s="1"/>
  <c r="AB52" i="51"/>
  <c r="AB53" i="51" s="1"/>
  <c r="AA52" i="51"/>
  <c r="AA53" i="51" s="1"/>
  <c r="Z52" i="51"/>
  <c r="Z53" i="51" s="1"/>
  <c r="Y52" i="51"/>
  <c r="Y53" i="51" s="1"/>
  <c r="X52" i="51"/>
  <c r="X53" i="51" s="1"/>
  <c r="W52" i="51"/>
  <c r="W53" i="51" s="1"/>
  <c r="V52" i="51"/>
  <c r="V53" i="51" s="1"/>
  <c r="U52" i="51"/>
  <c r="U53" i="51" s="1"/>
  <c r="T52" i="51"/>
  <c r="T53" i="51" s="1"/>
  <c r="S52" i="51"/>
  <c r="S53" i="51" s="1"/>
  <c r="R52" i="51"/>
  <c r="R53" i="51" s="1"/>
  <c r="Q52" i="51"/>
  <c r="Q53" i="51" s="1"/>
  <c r="P52" i="51"/>
  <c r="P53" i="51" s="1"/>
  <c r="O52" i="51"/>
  <c r="O53" i="51" s="1"/>
  <c r="N52" i="51"/>
  <c r="N53" i="51" s="1"/>
  <c r="M52" i="51"/>
  <c r="M53" i="51" s="1"/>
  <c r="L52" i="51"/>
  <c r="L53" i="51" s="1"/>
  <c r="J52" i="51"/>
  <c r="J53" i="51" s="1"/>
  <c r="I52" i="51"/>
  <c r="I53" i="51" s="1"/>
  <c r="H52" i="51"/>
  <c r="H53" i="51" s="1"/>
  <c r="G52" i="51"/>
  <c r="G53" i="51" s="1"/>
  <c r="E50" i="51"/>
  <c r="L52" i="68"/>
  <c r="L53" i="68" s="1"/>
  <c r="R52" i="68"/>
  <c r="R53" i="68" s="1"/>
  <c r="K58" i="68"/>
  <c r="O58" i="68"/>
  <c r="Q58" i="68"/>
  <c r="U58" i="68"/>
  <c r="H52" i="68"/>
  <c r="H53" i="68" s="1"/>
  <c r="M52" i="68"/>
  <c r="M53" i="68" s="1"/>
  <c r="Q52" i="68"/>
  <c r="Q53" i="68" s="1"/>
  <c r="V52" i="68"/>
  <c r="V53" i="68" s="1"/>
  <c r="Z52" i="68"/>
  <c r="Z53" i="68" s="1"/>
  <c r="AC52" i="68"/>
  <c r="AC53" i="68" s="1"/>
  <c r="AH52" i="68"/>
  <c r="AH53" i="68" s="1"/>
  <c r="AL52" i="68"/>
  <c r="AL53" i="68" s="1"/>
  <c r="K52" i="68"/>
  <c r="K53" i="68" s="1"/>
  <c r="P52" i="68"/>
  <c r="P53" i="68" s="1"/>
  <c r="U52" i="68"/>
  <c r="U53" i="68" s="1"/>
  <c r="Y52" i="68"/>
  <c r="Y53" i="68" s="1"/>
  <c r="AD52" i="68"/>
  <c r="AD53" i="68" s="1"/>
  <c r="AG52" i="68"/>
  <c r="AG53" i="68" s="1"/>
  <c r="AK52" i="68"/>
  <c r="AK53" i="68" s="1"/>
  <c r="AM52" i="68"/>
  <c r="AM53" i="68" s="1"/>
  <c r="F58" i="68"/>
  <c r="J58" i="68"/>
  <c r="N58" i="68"/>
  <c r="R58" i="68"/>
  <c r="V58" i="68"/>
  <c r="Z58" i="68"/>
  <c r="AB58" i="68"/>
  <c r="AE58" i="68"/>
  <c r="AI58" i="68"/>
  <c r="AK58" i="68"/>
  <c r="AM58" i="68"/>
  <c r="F52" i="68"/>
  <c r="F53" i="68" s="1"/>
  <c r="I52" i="68"/>
  <c r="I53" i="68" s="1"/>
  <c r="G58" i="68"/>
  <c r="I58" i="68"/>
  <c r="M58" i="68"/>
  <c r="S58" i="68"/>
  <c r="Y58" i="68"/>
  <c r="AA58" i="68"/>
  <c r="AF58" i="68"/>
  <c r="J52" i="68"/>
  <c r="J53" i="68" s="1"/>
  <c r="O52" i="68"/>
  <c r="O53" i="68" s="1"/>
  <c r="T52" i="68"/>
  <c r="T53" i="68" s="1"/>
  <c r="X52" i="68"/>
  <c r="X53" i="68" s="1"/>
  <c r="AA52" i="68"/>
  <c r="AA53" i="68" s="1"/>
  <c r="AF52" i="68"/>
  <c r="AF53" i="68" s="1"/>
  <c r="AJ52" i="68"/>
  <c r="AJ53" i="68" s="1"/>
  <c r="G52" i="68"/>
  <c r="G53" i="68" s="1"/>
  <c r="N52" i="68"/>
  <c r="N53" i="68" s="1"/>
  <c r="S52" i="68"/>
  <c r="S53" i="68" s="1"/>
  <c r="W52" i="68"/>
  <c r="W53" i="68" s="1"/>
  <c r="AB52" i="68"/>
  <c r="AB53" i="68" s="1"/>
  <c r="AE52" i="68"/>
  <c r="AE53" i="68" s="1"/>
  <c r="AI52" i="68"/>
  <c r="AI53" i="68" s="1"/>
  <c r="AN52" i="68"/>
  <c r="AN53" i="68" s="1"/>
  <c r="H58" i="68"/>
  <c r="L58" i="68"/>
  <c r="P58" i="68"/>
  <c r="T58" i="68"/>
  <c r="W58" i="68"/>
  <c r="X58" i="68"/>
  <c r="AC58" i="68"/>
  <c r="AD58" i="68"/>
  <c r="AG58" i="68"/>
  <c r="AH58" i="68"/>
  <c r="AJ58" i="68"/>
  <c r="AL58" i="68"/>
  <c r="AN58" i="68"/>
  <c r="E50" i="68"/>
  <c r="F52" i="44"/>
  <c r="F53" i="44" s="1"/>
  <c r="L52" i="44"/>
  <c r="L53" i="44" s="1"/>
  <c r="R52" i="44"/>
  <c r="R53" i="44" s="1"/>
  <c r="W52" i="44"/>
  <c r="W53" i="44" s="1"/>
  <c r="Z52" i="44"/>
  <c r="Z53" i="44" s="1"/>
  <c r="AE52" i="44"/>
  <c r="AE53" i="44" s="1"/>
  <c r="AJ52" i="44"/>
  <c r="AJ53" i="44" s="1"/>
  <c r="AM52" i="44"/>
  <c r="AM53" i="44" s="1"/>
  <c r="G52" i="44"/>
  <c r="G53" i="44" s="1"/>
  <c r="J52" i="44"/>
  <c r="J53" i="44" s="1"/>
  <c r="O52" i="44"/>
  <c r="O53" i="44" s="1"/>
  <c r="Q52" i="44"/>
  <c r="Q53" i="44" s="1"/>
  <c r="V52" i="44"/>
  <c r="V53" i="44" s="1"/>
  <c r="AA52" i="44"/>
  <c r="AA53" i="44" s="1"/>
  <c r="AD52" i="44"/>
  <c r="AD53" i="44" s="1"/>
  <c r="AF52" i="44"/>
  <c r="AF53" i="44" s="1"/>
  <c r="AI52" i="44"/>
  <c r="AI53" i="44" s="1"/>
  <c r="AL52" i="44"/>
  <c r="AL53" i="44" s="1"/>
  <c r="H52" i="44"/>
  <c r="H53" i="44" s="1"/>
  <c r="K52" i="44"/>
  <c r="K53" i="44" s="1"/>
  <c r="N52" i="44"/>
  <c r="N53" i="44" s="1"/>
  <c r="S52" i="44"/>
  <c r="S53" i="44" s="1"/>
  <c r="U52" i="44"/>
  <c r="U53" i="44" s="1"/>
  <c r="Y52" i="44"/>
  <c r="Y53" i="44" s="1"/>
  <c r="AB52" i="44"/>
  <c r="AB53" i="44" s="1"/>
  <c r="AG52" i="44"/>
  <c r="AG53" i="44" s="1"/>
  <c r="AK52" i="44"/>
  <c r="AK53" i="44" s="1"/>
  <c r="AN52" i="44"/>
  <c r="AN53" i="44" s="1"/>
  <c r="F58" i="44"/>
  <c r="H58" i="44"/>
  <c r="L58" i="44"/>
  <c r="Q58" i="44"/>
  <c r="T58" i="44"/>
  <c r="W58" i="44"/>
  <c r="Y58" i="44"/>
  <c r="AB58" i="44"/>
  <c r="AD58" i="44"/>
  <c r="AF58" i="44"/>
  <c r="AJ58" i="44"/>
  <c r="AM58" i="44"/>
  <c r="M52" i="44"/>
  <c r="M53" i="44" s="1"/>
  <c r="AC52" i="44"/>
  <c r="AC53" i="44" s="1"/>
  <c r="G58" i="44"/>
  <c r="I58" i="44"/>
  <c r="R58" i="44"/>
  <c r="M58" i="44"/>
  <c r="O58" i="44"/>
  <c r="U58" i="44"/>
  <c r="AA58" i="44"/>
  <c r="AE58" i="44"/>
  <c r="AG58" i="44"/>
  <c r="AI58" i="44"/>
  <c r="AK58" i="44"/>
  <c r="AN58" i="44"/>
  <c r="P52" i="44"/>
  <c r="P53" i="44" s="1"/>
  <c r="AH52" i="44"/>
  <c r="AH53" i="44" s="1"/>
  <c r="J58" i="44"/>
  <c r="N58" i="44"/>
  <c r="P58" i="44"/>
  <c r="S58" i="44"/>
  <c r="V58" i="44"/>
  <c r="X58" i="44"/>
  <c r="Z58" i="44"/>
  <c r="AC58" i="44"/>
  <c r="AH58" i="44"/>
  <c r="AL58" i="44"/>
  <c r="I52" i="44"/>
  <c r="I53" i="44" s="1"/>
  <c r="T52" i="44"/>
  <c r="T53" i="44" s="1"/>
  <c r="X52" i="44"/>
  <c r="X53" i="44" s="1"/>
  <c r="K58" i="44"/>
  <c r="E50" i="44"/>
  <c r="E50" i="91"/>
  <c r="F52" i="91"/>
  <c r="F53" i="91" s="1"/>
  <c r="H52" i="91"/>
  <c r="H53" i="91" s="1"/>
  <c r="M52" i="91"/>
  <c r="M53" i="91" s="1"/>
  <c r="Q52" i="91"/>
  <c r="Q53" i="91" s="1"/>
  <c r="T52" i="91"/>
  <c r="T53" i="91" s="1"/>
  <c r="X52" i="91"/>
  <c r="X53" i="91" s="1"/>
  <c r="AB52" i="91"/>
  <c r="AB53" i="91" s="1"/>
  <c r="AE52" i="91"/>
  <c r="AE53" i="91" s="1"/>
  <c r="AG52" i="91"/>
  <c r="AG53" i="91" s="1"/>
  <c r="AI52" i="91"/>
  <c r="AI53" i="91" s="1"/>
  <c r="AM52" i="91"/>
  <c r="AM53" i="91" s="1"/>
  <c r="J52" i="91"/>
  <c r="J53" i="91" s="1"/>
  <c r="P52" i="91"/>
  <c r="P53" i="91" s="1"/>
  <c r="U52" i="91"/>
  <c r="U53" i="91" s="1"/>
  <c r="Z52" i="91"/>
  <c r="Z53" i="91" s="1"/>
  <c r="G58" i="91"/>
  <c r="H58" i="91"/>
  <c r="K58" i="91"/>
  <c r="M58" i="91"/>
  <c r="O58" i="91"/>
  <c r="Q58" i="91"/>
  <c r="S58" i="91"/>
  <c r="U58" i="91"/>
  <c r="W58" i="91"/>
  <c r="Y58" i="91"/>
  <c r="AC58" i="91"/>
  <c r="I52" i="91"/>
  <c r="I53" i="91" s="1"/>
  <c r="K52" i="91"/>
  <c r="K53" i="91" s="1"/>
  <c r="O52" i="91"/>
  <c r="O53" i="91" s="1"/>
  <c r="S52" i="91"/>
  <c r="S53" i="91" s="1"/>
  <c r="V52" i="91"/>
  <c r="V53" i="91" s="1"/>
  <c r="Y52" i="91"/>
  <c r="Y53" i="91" s="1"/>
  <c r="F58" i="91"/>
  <c r="I58" i="91"/>
  <c r="J58" i="91"/>
  <c r="L58" i="91"/>
  <c r="N58" i="91"/>
  <c r="P58" i="91"/>
  <c r="R58" i="91"/>
  <c r="T58" i="91"/>
  <c r="V58" i="91"/>
  <c r="X58" i="91"/>
  <c r="Z58" i="91"/>
  <c r="AA58" i="91"/>
  <c r="AB58" i="91"/>
  <c r="AD58" i="91"/>
  <c r="AE58" i="91"/>
  <c r="AF58" i="91"/>
  <c r="AG58" i="91"/>
  <c r="AH58" i="91"/>
  <c r="AI58" i="91"/>
  <c r="AJ58" i="91"/>
  <c r="AK58" i="91"/>
  <c r="AL58" i="91"/>
  <c r="AM58" i="91"/>
  <c r="AN58" i="91"/>
  <c r="G52" i="91"/>
  <c r="G53" i="91" s="1"/>
  <c r="L52" i="91"/>
  <c r="L53" i="91" s="1"/>
  <c r="N52" i="91"/>
  <c r="N53" i="91" s="1"/>
  <c r="R52" i="91"/>
  <c r="R53" i="91" s="1"/>
  <c r="W52" i="91"/>
  <c r="W53" i="91" s="1"/>
  <c r="AA52" i="91"/>
  <c r="AA53" i="91" s="1"/>
  <c r="AC52" i="91"/>
  <c r="AC53" i="91" s="1"/>
  <c r="AD52" i="91"/>
  <c r="AD53" i="91" s="1"/>
  <c r="AF52" i="91"/>
  <c r="AF53" i="91" s="1"/>
  <c r="AH52" i="91"/>
  <c r="AH53" i="91" s="1"/>
  <c r="AJ52" i="91"/>
  <c r="AJ53" i="91" s="1"/>
  <c r="AK52" i="91"/>
  <c r="AK53" i="91" s="1"/>
  <c r="AL52" i="91"/>
  <c r="AL53" i="91" s="1"/>
  <c r="AN52" i="91"/>
  <c r="AN53" i="91" s="1"/>
  <c r="AK52" i="75"/>
  <c r="AK53" i="75" s="1"/>
  <c r="AB52" i="75"/>
  <c r="AB53" i="75" s="1"/>
  <c r="W52" i="75"/>
  <c r="W53" i="75" s="1"/>
  <c r="N52" i="75"/>
  <c r="N53" i="75" s="1"/>
  <c r="K58" i="75"/>
  <c r="AC52" i="75"/>
  <c r="AC53" i="75" s="1"/>
  <c r="X52" i="75"/>
  <c r="X53" i="75" s="1"/>
  <c r="L52" i="75"/>
  <c r="L53" i="75" s="1"/>
  <c r="AM58" i="75"/>
  <c r="AH58" i="75"/>
  <c r="AF58" i="75"/>
  <c r="AA58" i="75"/>
  <c r="AM52" i="75"/>
  <c r="AM53" i="75" s="1"/>
  <c r="AF52" i="75"/>
  <c r="AF53" i="75" s="1"/>
  <c r="R52" i="75"/>
  <c r="R53" i="75" s="1"/>
  <c r="K52" i="75"/>
  <c r="K53" i="75" s="1"/>
  <c r="R58" i="75"/>
  <c r="F58" i="75"/>
  <c r="Z52" i="75"/>
  <c r="Z53" i="75" s="1"/>
  <c r="Q52" i="75"/>
  <c r="Q53" i="75" s="1"/>
  <c r="H52" i="75"/>
  <c r="H53" i="75" s="1"/>
  <c r="AN58" i="75"/>
  <c r="AK58" i="75"/>
  <c r="AI58" i="75"/>
  <c r="AE58" i="75"/>
  <c r="AC58" i="75"/>
  <c r="X58" i="75"/>
  <c r="V58" i="75"/>
  <c r="T58" i="75"/>
  <c r="Q58" i="75"/>
  <c r="O58" i="75"/>
  <c r="M58" i="75"/>
  <c r="J58" i="75"/>
  <c r="G58" i="75"/>
  <c r="AL52" i="75"/>
  <c r="AL53" i="75" s="1"/>
  <c r="AH52" i="75"/>
  <c r="AH53" i="75" s="1"/>
  <c r="AA52" i="75"/>
  <c r="AA53" i="75" s="1"/>
  <c r="S52" i="75"/>
  <c r="S53" i="75" s="1"/>
  <c r="J52" i="75"/>
  <c r="J53" i="75" s="1"/>
  <c r="AI52" i="75"/>
  <c r="AI53" i="75" s="1"/>
  <c r="AD52" i="75"/>
  <c r="AD53" i="75" s="1"/>
  <c r="Y52" i="75"/>
  <c r="Y53" i="75" s="1"/>
  <c r="U52" i="75"/>
  <c r="U53" i="75" s="1"/>
  <c r="F52" i="75"/>
  <c r="F53" i="75" s="1"/>
  <c r="I58" i="75"/>
  <c r="AG52" i="75"/>
  <c r="AG53" i="75" s="1"/>
  <c r="T52" i="75"/>
  <c r="T53" i="75" s="1"/>
  <c r="O52" i="75"/>
  <c r="O53" i="75" s="1"/>
  <c r="I52" i="75"/>
  <c r="I53" i="75" s="1"/>
  <c r="AL58" i="75"/>
  <c r="AJ58" i="75"/>
  <c r="AG58" i="75"/>
  <c r="AD58" i="75"/>
  <c r="AB58" i="75"/>
  <c r="Z58" i="75"/>
  <c r="Y58" i="75"/>
  <c r="W58" i="75"/>
  <c r="U58" i="75"/>
  <c r="S58" i="75"/>
  <c r="P58" i="75"/>
  <c r="N58" i="75"/>
  <c r="L58" i="75"/>
  <c r="H58" i="75"/>
  <c r="AN52" i="75"/>
  <c r="AN53" i="75" s="1"/>
  <c r="AJ52" i="75"/>
  <c r="AJ53" i="75" s="1"/>
  <c r="AE52" i="75"/>
  <c r="AE53" i="75" s="1"/>
  <c r="V52" i="75"/>
  <c r="V53" i="75" s="1"/>
  <c r="P52" i="75"/>
  <c r="P53" i="75" s="1"/>
  <c r="M52" i="75"/>
  <c r="M53" i="75" s="1"/>
  <c r="G52" i="75"/>
  <c r="G53" i="75" s="1"/>
  <c r="E50" i="75"/>
  <c r="E50" i="90"/>
  <c r="G52" i="90"/>
  <c r="G53" i="90" s="1"/>
  <c r="J52" i="90"/>
  <c r="J53" i="90" s="1"/>
  <c r="P52" i="90"/>
  <c r="P53" i="90" s="1"/>
  <c r="R52" i="90"/>
  <c r="R53" i="90" s="1"/>
  <c r="U52" i="90"/>
  <c r="U53" i="90" s="1"/>
  <c r="X52" i="90"/>
  <c r="X53" i="90" s="1"/>
  <c r="AA52" i="90"/>
  <c r="AA53" i="90" s="1"/>
  <c r="AC52" i="90"/>
  <c r="AC53" i="90" s="1"/>
  <c r="AE52" i="90"/>
  <c r="AE53" i="90" s="1"/>
  <c r="AG52" i="90"/>
  <c r="AG53" i="90" s="1"/>
  <c r="AI52" i="90"/>
  <c r="AI53" i="90" s="1"/>
  <c r="AK52" i="90"/>
  <c r="AK53" i="90" s="1"/>
  <c r="AM52" i="90"/>
  <c r="AM53" i="90" s="1"/>
  <c r="G58" i="90"/>
  <c r="I58" i="90"/>
  <c r="K58" i="90"/>
  <c r="M58" i="90"/>
  <c r="O58" i="90"/>
  <c r="Q58" i="90"/>
  <c r="S58" i="90"/>
  <c r="V58" i="90"/>
  <c r="X58" i="90"/>
  <c r="Z58" i="90"/>
  <c r="AF58" i="90"/>
  <c r="F52" i="90"/>
  <c r="F53" i="90" s="1"/>
  <c r="L52" i="90"/>
  <c r="L53" i="90" s="1"/>
  <c r="O52" i="90"/>
  <c r="O53" i="90" s="1"/>
  <c r="W52" i="90"/>
  <c r="W53" i="90" s="1"/>
  <c r="H52" i="90"/>
  <c r="H53" i="90" s="1"/>
  <c r="K52" i="90"/>
  <c r="K53" i="90" s="1"/>
  <c r="M52" i="90"/>
  <c r="M53" i="90" s="1"/>
  <c r="Q52" i="90"/>
  <c r="Q53" i="90" s="1"/>
  <c r="T52" i="90"/>
  <c r="T53" i="90" s="1"/>
  <c r="Y52" i="90"/>
  <c r="Y53" i="90" s="1"/>
  <c r="F58" i="90"/>
  <c r="H58" i="90"/>
  <c r="J58" i="90"/>
  <c r="L58" i="90"/>
  <c r="N58" i="90"/>
  <c r="P58" i="90"/>
  <c r="R58" i="90"/>
  <c r="T58" i="90"/>
  <c r="U58" i="90"/>
  <c r="W58" i="90"/>
  <c r="Y58" i="90"/>
  <c r="AA58" i="90"/>
  <c r="AB58" i="90"/>
  <c r="AC58" i="90"/>
  <c r="AD58" i="90"/>
  <c r="AE58" i="90"/>
  <c r="AG58" i="90"/>
  <c r="AH58" i="90"/>
  <c r="AI58" i="90"/>
  <c r="AJ58" i="90"/>
  <c r="AK58" i="90"/>
  <c r="AL58" i="90"/>
  <c r="AM58" i="90"/>
  <c r="AN58" i="90"/>
  <c r="I52" i="90"/>
  <c r="I53" i="90" s="1"/>
  <c r="N52" i="90"/>
  <c r="N53" i="90" s="1"/>
  <c r="S52" i="90"/>
  <c r="S53" i="90" s="1"/>
  <c r="V52" i="90"/>
  <c r="V53" i="90" s="1"/>
  <c r="Z52" i="90"/>
  <c r="Z53" i="90" s="1"/>
  <c r="AB52" i="90"/>
  <c r="AB53" i="90" s="1"/>
  <c r="AD52" i="90"/>
  <c r="AD53" i="90" s="1"/>
  <c r="AF52" i="90"/>
  <c r="AF53" i="90" s="1"/>
  <c r="AH52" i="90"/>
  <c r="AH53" i="90" s="1"/>
  <c r="AJ52" i="90"/>
  <c r="AJ53" i="90" s="1"/>
  <c r="AL52" i="90"/>
  <c r="AL53" i="90" s="1"/>
  <c r="AN52" i="90"/>
  <c r="AN53" i="90" s="1"/>
  <c r="M36" i="34"/>
  <c r="AK49" i="27"/>
  <c r="AF49" i="27"/>
  <c r="AA49" i="27"/>
  <c r="V49" i="27"/>
  <c r="P49" i="27"/>
  <c r="L49" i="27"/>
  <c r="H49" i="27"/>
  <c r="AL49" i="22"/>
  <c r="AM49" i="27"/>
  <c r="AH49" i="27"/>
  <c r="AC49" i="27"/>
  <c r="X49" i="27"/>
  <c r="S49" i="27"/>
  <c r="N49" i="27"/>
  <c r="I49" i="27"/>
  <c r="AM49" i="22"/>
  <c r="AL49" i="27"/>
  <c r="AG49" i="27"/>
  <c r="AB49" i="27"/>
  <c r="W49" i="27"/>
  <c r="R49" i="27"/>
  <c r="J49" i="27"/>
  <c r="AN49" i="22"/>
  <c r="AN49" i="27"/>
  <c r="AI49" i="27"/>
  <c r="AD49" i="27"/>
  <c r="Y49" i="27"/>
  <c r="U49" i="27"/>
  <c r="Q49" i="27"/>
  <c r="M49" i="27"/>
  <c r="G49" i="27"/>
  <c r="AK49" i="22"/>
  <c r="AJ49" i="27"/>
  <c r="AE49" i="27"/>
  <c r="Z49" i="27"/>
  <c r="T49" i="27"/>
  <c r="O49" i="27"/>
  <c r="K49" i="27"/>
  <c r="F49" i="27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S22" i="34"/>
  <c r="G22" i="34" s="1"/>
  <c r="G16" i="34" s="1"/>
  <c r="R22" i="34"/>
  <c r="F22" i="34" s="1"/>
  <c r="F16" i="34" s="1"/>
  <c r="F27" i="85"/>
  <c r="Q27" i="34" s="1"/>
  <c r="H27" i="85"/>
  <c r="S27" i="34" s="1"/>
  <c r="G36" i="85"/>
  <c r="R36" i="34" s="1"/>
  <c r="H36" i="85"/>
  <c r="S36" i="34" s="1"/>
  <c r="F36" i="85"/>
  <c r="Q36" i="34" s="1"/>
  <c r="G27" i="85"/>
  <c r="R27" i="34" s="1"/>
  <c r="H27" i="84"/>
  <c r="O27" i="34" s="1"/>
  <c r="G27" i="84"/>
  <c r="N27" i="34" s="1"/>
  <c r="F27" i="84"/>
  <c r="M27" i="34" s="1"/>
  <c r="AQ41" i="26" a="1"/>
  <c r="AQ41" i="26" s="1"/>
  <c r="AR41" i="26" a="1"/>
  <c r="AR41" i="26" s="1"/>
  <c r="AP45" i="26" a="1"/>
  <c r="AP45" i="26" s="1"/>
  <c r="AP44" i="26" a="1"/>
  <c r="AP44" i="26" s="1"/>
  <c r="AP46" i="26" a="1"/>
  <c r="AP46" i="26" s="1"/>
  <c r="N26" i="9"/>
  <c r="E22" i="26" a="1"/>
  <c r="E41" i="26"/>
  <c r="E37" i="78"/>
  <c r="C23" i="9" a="1"/>
  <c r="C23" i="9" s="1"/>
  <c r="O16" i="34"/>
  <c r="E58" i="73" l="1"/>
  <c r="E59" i="73" s="1" a="1"/>
  <c r="E59" i="73" s="1"/>
  <c r="E52" i="13"/>
  <c r="E53" i="13" s="1"/>
  <c r="E58" i="13"/>
  <c r="E59" i="13" s="1" a="1"/>
  <c r="E59" i="13" s="1"/>
  <c r="E58" i="23"/>
  <c r="E59" i="23" s="1" a="1"/>
  <c r="E59" i="23" s="1"/>
  <c r="E52" i="23"/>
  <c r="E53" i="23" s="1"/>
  <c r="E58" i="29"/>
  <c r="E59" i="29" s="1" a="1"/>
  <c r="E59" i="29" s="1"/>
  <c r="E52" i="29"/>
  <c r="E53" i="29" s="1"/>
  <c r="E58" i="24"/>
  <c r="E59" i="24" s="1" a="1"/>
  <c r="E59" i="24" s="1"/>
  <c r="E52" i="24"/>
  <c r="E53" i="24" s="1"/>
  <c r="E58" i="30"/>
  <c r="E59" i="30" s="1" a="1"/>
  <c r="E59" i="30" s="1"/>
  <c r="E52" i="30"/>
  <c r="E53" i="30" s="1"/>
  <c r="E58" i="33"/>
  <c r="E59" i="33" s="1" a="1"/>
  <c r="E59" i="33" s="1"/>
  <c r="E52" i="33"/>
  <c r="E53" i="33" s="1"/>
  <c r="E52" i="60"/>
  <c r="E53" i="60" s="1"/>
  <c r="E58" i="60"/>
  <c r="E59" i="60" s="1" a="1"/>
  <c r="E59" i="60" s="1"/>
  <c r="E58" i="61"/>
  <c r="E59" i="61" s="1" a="1"/>
  <c r="E59" i="61" s="1"/>
  <c r="E52" i="61"/>
  <c r="E53" i="61" s="1"/>
  <c r="E58" i="88"/>
  <c r="E59" i="88" s="1" a="1"/>
  <c r="E59" i="88" s="1"/>
  <c r="E52" i="88"/>
  <c r="E53" i="88" s="1"/>
  <c r="E58" i="32"/>
  <c r="E59" i="32" s="1" a="1"/>
  <c r="E59" i="32" s="1"/>
  <c r="E52" i="32"/>
  <c r="E53" i="32" s="1"/>
  <c r="E58" i="31"/>
  <c r="E59" i="31" s="1" a="1"/>
  <c r="E59" i="31" s="1"/>
  <c r="E52" i="31"/>
  <c r="E53" i="31" s="1"/>
  <c r="E58" i="25"/>
  <c r="E59" i="25" s="1" a="1"/>
  <c r="E59" i="25" s="1"/>
  <c r="E52" i="25"/>
  <c r="E53" i="25" s="1"/>
  <c r="E58" i="50"/>
  <c r="E59" i="50" s="1" a="1"/>
  <c r="E59" i="50" s="1"/>
  <c r="E52" i="50"/>
  <c r="E53" i="50" s="1"/>
  <c r="E52" i="35"/>
  <c r="E53" i="35" s="1"/>
  <c r="E58" i="35"/>
  <c r="E59" i="35" s="1" a="1"/>
  <c r="E59" i="35" s="1"/>
  <c r="E58" i="70"/>
  <c r="E59" i="70" s="1" a="1"/>
  <c r="E59" i="70" s="1"/>
  <c r="E52" i="70"/>
  <c r="E53" i="70" s="1"/>
  <c r="E52" i="89"/>
  <c r="E53" i="89" s="1"/>
  <c r="E58" i="89"/>
  <c r="E59" i="89" s="1" a="1"/>
  <c r="E59" i="89" s="1"/>
  <c r="E52" i="52"/>
  <c r="E53" i="52" s="1"/>
  <c r="E58" i="52"/>
  <c r="E59" i="52" s="1" a="1"/>
  <c r="E59" i="52" s="1"/>
  <c r="E58" i="37"/>
  <c r="E59" i="37" s="1" a="1"/>
  <c r="E59" i="37" s="1"/>
  <c r="E52" i="37"/>
  <c r="E53" i="37" s="1"/>
  <c r="E58" i="65"/>
  <c r="E59" i="65" s="1" a="1"/>
  <c r="E59" i="65" s="1"/>
  <c r="E52" i="65"/>
  <c r="E53" i="65" s="1"/>
  <c r="E58" i="66"/>
  <c r="E59" i="66" s="1" a="1"/>
  <c r="E59" i="66" s="1"/>
  <c r="E52" i="66"/>
  <c r="E53" i="66" s="1"/>
  <c r="E58" i="67"/>
  <c r="E59" i="67" s="1" a="1"/>
  <c r="E59" i="67" s="1"/>
  <c r="E52" i="67"/>
  <c r="E53" i="67" s="1"/>
  <c r="E52" i="53"/>
  <c r="E53" i="53" s="1"/>
  <c r="E58" i="53"/>
  <c r="E59" i="53" s="1" a="1"/>
  <c r="E59" i="53" s="1"/>
  <c r="E58" i="45"/>
  <c r="E59" i="45" s="1" a="1"/>
  <c r="E59" i="45" s="1"/>
  <c r="E52" i="45"/>
  <c r="E53" i="45" s="1"/>
  <c r="E52" i="62"/>
  <c r="E53" i="62" s="1"/>
  <c r="E58" i="62"/>
  <c r="E59" i="62" s="1" a="1"/>
  <c r="E59" i="62" s="1"/>
  <c r="E58" i="48"/>
  <c r="E59" i="48" s="1" a="1"/>
  <c r="E59" i="48" s="1"/>
  <c r="E52" i="48"/>
  <c r="E53" i="48" s="1"/>
  <c r="E58" i="38"/>
  <c r="E59" i="38" s="1" a="1"/>
  <c r="E59" i="38" s="1"/>
  <c r="E52" i="38"/>
  <c r="E53" i="38" s="1"/>
  <c r="E58" i="54"/>
  <c r="E59" i="54" s="1" a="1"/>
  <c r="E59" i="54" s="1"/>
  <c r="E52" i="54"/>
  <c r="E53" i="54" s="1"/>
  <c r="E58" i="39"/>
  <c r="E59" i="39" s="1" a="1"/>
  <c r="E59" i="39" s="1"/>
  <c r="E52" i="39"/>
  <c r="E53" i="39" s="1"/>
  <c r="E58" i="55"/>
  <c r="E59" i="55" s="1" a="1"/>
  <c r="E59" i="55" s="1"/>
  <c r="E52" i="55"/>
  <c r="E53" i="55" s="1"/>
  <c r="E58" i="56"/>
  <c r="E59" i="56" s="1" a="1"/>
  <c r="E59" i="56" s="1"/>
  <c r="E52" i="56"/>
  <c r="E53" i="56" s="1"/>
  <c r="E58" i="41"/>
  <c r="E59" i="41" s="1" a="1"/>
  <c r="E59" i="41" s="1"/>
  <c r="E52" i="41"/>
  <c r="E53" i="41" s="1"/>
  <c r="E52" i="49"/>
  <c r="E53" i="49" s="1"/>
  <c r="E58" i="49"/>
  <c r="E59" i="49" s="1" a="1"/>
  <c r="E59" i="49" s="1"/>
  <c r="E52" i="71"/>
  <c r="E53" i="71" s="1"/>
  <c r="E58" i="71"/>
  <c r="E59" i="71" s="1" a="1"/>
  <c r="E59" i="71" s="1"/>
  <c r="E58" i="74"/>
  <c r="E59" i="74" s="1" a="1"/>
  <c r="E59" i="74" s="1"/>
  <c r="E52" i="74"/>
  <c r="E53" i="74" s="1"/>
  <c r="E52" i="57"/>
  <c r="E53" i="57" s="1"/>
  <c r="E58" i="57"/>
  <c r="E59" i="57" s="1" a="1"/>
  <c r="E59" i="57" s="1"/>
  <c r="E58" i="59"/>
  <c r="E59" i="59" s="1" a="1"/>
  <c r="E59" i="59" s="1"/>
  <c r="E52" i="59"/>
  <c r="E53" i="59" s="1"/>
  <c r="E52" i="63"/>
  <c r="E53" i="63" s="1"/>
  <c r="E58" i="63"/>
  <c r="E59" i="63" s="1" a="1"/>
  <c r="E59" i="63" s="1"/>
  <c r="E52" i="72"/>
  <c r="E53" i="72" s="1"/>
  <c r="E58" i="72"/>
  <c r="E59" i="72" s="1" a="1"/>
  <c r="E59" i="72" s="1"/>
  <c r="E58" i="19"/>
  <c r="E59" i="19" s="1" a="1"/>
  <c r="E59" i="19" s="1"/>
  <c r="E52" i="19"/>
  <c r="E53" i="19" s="1"/>
  <c r="E52" i="51"/>
  <c r="E53" i="51" s="1"/>
  <c r="E58" i="51"/>
  <c r="E59" i="51" s="1" a="1"/>
  <c r="E59" i="51" s="1"/>
  <c r="E52" i="68"/>
  <c r="E53" i="68" s="1"/>
  <c r="E58" i="68"/>
  <c r="E59" i="68" s="1" a="1"/>
  <c r="E59" i="68" s="1"/>
  <c r="E58" i="44"/>
  <c r="E59" i="44" s="1" a="1"/>
  <c r="E59" i="44" s="1"/>
  <c r="E52" i="44"/>
  <c r="E53" i="44" s="1"/>
  <c r="E58" i="91"/>
  <c r="E59" i="91" s="1" a="1"/>
  <c r="E59" i="91" s="1"/>
  <c r="E52" i="91"/>
  <c r="E53" i="91" s="1"/>
  <c r="E52" i="75"/>
  <c r="E53" i="75" s="1"/>
  <c r="E58" i="75"/>
  <c r="E59" i="75" s="1" a="1"/>
  <c r="E59" i="75" s="1"/>
  <c r="E52" i="90"/>
  <c r="E53" i="90" s="1"/>
  <c r="E58" i="90"/>
  <c r="E59" i="90" s="1" a="1"/>
  <c r="E59" i="90" s="1"/>
  <c r="Z49" i="100"/>
  <c r="Z50" i="100" s="1"/>
  <c r="AI49" i="100"/>
  <c r="AI50" i="100" s="1"/>
  <c r="H49" i="100" a="1"/>
  <c r="H49" i="100" s="1"/>
  <c r="Q49" i="100"/>
  <c r="Q50" i="100" s="1"/>
  <c r="AF49" i="100"/>
  <c r="AF50" i="100" s="1"/>
  <c r="G49" i="100" a="1"/>
  <c r="G49" i="100" s="1"/>
  <c r="G50" i="100" s="1"/>
  <c r="J49" i="100" a="1"/>
  <c r="J49" i="100" s="1"/>
  <c r="J50" i="100" s="1"/>
  <c r="M49" i="100" a="1"/>
  <c r="M49" i="100" s="1"/>
  <c r="M50" i="100" s="1"/>
  <c r="P49" i="100" a="1"/>
  <c r="P49" i="100" s="1"/>
  <c r="P50" i="100" s="1"/>
  <c r="S49" i="100"/>
  <c r="S50" i="100" s="1"/>
  <c r="V49" i="100"/>
  <c r="V50" i="100" s="1"/>
  <c r="Y49" i="100"/>
  <c r="Y50" i="100" s="1"/>
  <c r="AB49" i="100"/>
  <c r="AB50" i="100" s="1"/>
  <c r="AE49" i="100"/>
  <c r="AE50" i="100" s="1"/>
  <c r="AH49" i="100"/>
  <c r="AH50" i="100" s="1"/>
  <c r="AN49" i="100"/>
  <c r="AN50" i="100" s="1"/>
  <c r="N49" i="100" a="1"/>
  <c r="N49" i="100" s="1"/>
  <c r="W49" i="100"/>
  <c r="W50" i="100" s="1"/>
  <c r="AC49" i="100"/>
  <c r="AC50" i="100" s="1"/>
  <c r="AL49" i="100"/>
  <c r="AL50" i="100" s="1"/>
  <c r="K49" i="100" a="1"/>
  <c r="K49" i="100" s="1"/>
  <c r="T49" i="100"/>
  <c r="T50" i="100" s="1"/>
  <c r="F49" i="100" a="1"/>
  <c r="F49" i="100" s="1"/>
  <c r="F50" i="100" s="1"/>
  <c r="I49" i="100" a="1"/>
  <c r="I49" i="100" s="1"/>
  <c r="I50" i="100" s="1"/>
  <c r="L49" i="100" a="1"/>
  <c r="L49" i="100" s="1"/>
  <c r="L50" i="100" s="1"/>
  <c r="O49" i="100" a="1"/>
  <c r="O49" i="100" s="1"/>
  <c r="O50" i="100" s="1"/>
  <c r="R49" i="100"/>
  <c r="R50" i="100" s="1"/>
  <c r="U49" i="100"/>
  <c r="U50" i="100" s="1"/>
  <c r="X49" i="100"/>
  <c r="X50" i="100" s="1"/>
  <c r="AA49" i="100"/>
  <c r="AA50" i="100" s="1"/>
  <c r="AD49" i="100"/>
  <c r="AD50" i="100" s="1"/>
  <c r="AG49" i="100"/>
  <c r="AG50" i="100" s="1"/>
  <c r="AJ49" i="100"/>
  <c r="AJ50" i="100" s="1"/>
  <c r="AM49" i="100"/>
  <c r="AM50" i="100" s="1"/>
  <c r="AL49" i="99"/>
  <c r="AL50" i="99" s="1"/>
  <c r="AL52" i="99" s="1"/>
  <c r="AL53" i="99" s="1"/>
  <c r="AM49" i="99"/>
  <c r="AM50" i="99" s="1"/>
  <c r="AJ49" i="99"/>
  <c r="AJ50" i="99" s="1"/>
  <c r="AI49" i="99"/>
  <c r="AI50" i="99" s="1"/>
  <c r="AH49" i="99"/>
  <c r="AH50" i="99" s="1"/>
  <c r="AG49" i="99"/>
  <c r="AG50" i="99" s="1"/>
  <c r="AF49" i="99"/>
  <c r="AF50" i="99" s="1"/>
  <c r="AE49" i="99"/>
  <c r="AE50" i="99" s="1"/>
  <c r="AD49" i="99"/>
  <c r="AD50" i="99" s="1"/>
  <c r="AC49" i="99"/>
  <c r="AC50" i="99" s="1"/>
  <c r="AB49" i="99"/>
  <c r="AB50" i="99" s="1"/>
  <c r="AA49" i="99"/>
  <c r="AA50" i="99" s="1"/>
  <c r="Z49" i="99"/>
  <c r="Z50" i="99" s="1"/>
  <c r="Y49" i="99"/>
  <c r="Y50" i="99" s="1"/>
  <c r="X49" i="99"/>
  <c r="X50" i="99" s="1"/>
  <c r="W49" i="99"/>
  <c r="W50" i="99" s="1"/>
  <c r="V49" i="99"/>
  <c r="V50" i="99" s="1"/>
  <c r="U49" i="99"/>
  <c r="U50" i="99" s="1"/>
  <c r="T49" i="99"/>
  <c r="T50" i="99" s="1"/>
  <c r="S49" i="99"/>
  <c r="S50" i="99" s="1"/>
  <c r="R49" i="99"/>
  <c r="R50" i="99" s="1"/>
  <c r="Q49" i="99"/>
  <c r="Q50" i="99" s="1"/>
  <c r="P49" i="99" a="1"/>
  <c r="P49" i="99" s="1"/>
  <c r="P50" i="99" s="1"/>
  <c r="O49" i="99" a="1"/>
  <c r="O49" i="99" s="1"/>
  <c r="O50" i="99" s="1"/>
  <c r="N49" i="99" a="1"/>
  <c r="N49" i="99" s="1"/>
  <c r="M49" i="99" a="1"/>
  <c r="M49" i="99" s="1"/>
  <c r="M50" i="99" s="1"/>
  <c r="L49" i="99" a="1"/>
  <c r="L49" i="99" s="1"/>
  <c r="L50" i="99" s="1"/>
  <c r="K49" i="99" a="1"/>
  <c r="K49" i="99" s="1"/>
  <c r="J49" i="99" a="1"/>
  <c r="J49" i="99" s="1"/>
  <c r="J50" i="99" s="1"/>
  <c r="I49" i="99" a="1"/>
  <c r="I49" i="99" s="1"/>
  <c r="I50" i="99" s="1"/>
  <c r="H49" i="99" a="1"/>
  <c r="H49" i="99" s="1"/>
  <c r="G49" i="99" a="1"/>
  <c r="G49" i="99" s="1"/>
  <c r="G50" i="99" s="1"/>
  <c r="F49" i="99" a="1"/>
  <c r="F49" i="99" s="1"/>
  <c r="F50" i="99" s="1"/>
  <c r="AN49" i="99"/>
  <c r="AN50" i="99" s="1"/>
  <c r="AK49" i="99"/>
  <c r="AK50" i="99" s="1"/>
  <c r="AK52" i="99" s="1"/>
  <c r="AK53" i="99" s="1"/>
  <c r="AK49" i="100"/>
  <c r="AK50" i="100" s="1"/>
  <c r="AN59" i="78"/>
  <c r="AN59" i="99"/>
  <c r="AN59" i="100"/>
  <c r="AL59" i="78"/>
  <c r="AL59" i="99"/>
  <c r="AL59" i="100"/>
  <c r="AJ59" i="78"/>
  <c r="AJ59" i="100"/>
  <c r="AJ59" i="99"/>
  <c r="AH59" i="78"/>
  <c r="AH59" i="99"/>
  <c r="AH59" i="100"/>
  <c r="AF59" i="78"/>
  <c r="AF59" i="100"/>
  <c r="AF59" i="99"/>
  <c r="AD59" i="78"/>
  <c r="AD59" i="99"/>
  <c r="AD59" i="100"/>
  <c r="AB59" i="78"/>
  <c r="AB59" i="100"/>
  <c r="AB59" i="99"/>
  <c r="Z59" i="78"/>
  <c r="Z59" i="99"/>
  <c r="Z59" i="100"/>
  <c r="X59" i="78"/>
  <c r="X59" i="100"/>
  <c r="X59" i="99"/>
  <c r="W59" i="78"/>
  <c r="W59" i="99"/>
  <c r="W59" i="100"/>
  <c r="U59" i="78"/>
  <c r="U59" i="99"/>
  <c r="U59" i="100"/>
  <c r="S59" i="78"/>
  <c r="S59" i="99"/>
  <c r="S59" i="100"/>
  <c r="Q59" i="78"/>
  <c r="Q59" i="100"/>
  <c r="Q59" i="99"/>
  <c r="O59" i="78"/>
  <c r="O59" i="99"/>
  <c r="O59" i="100"/>
  <c r="M59" i="78"/>
  <c r="M59" i="100"/>
  <c r="M59" i="99"/>
  <c r="K59" i="78"/>
  <c r="K59" i="100"/>
  <c r="K59" i="99"/>
  <c r="AM59" i="78"/>
  <c r="AM59" i="100"/>
  <c r="AM59" i="99"/>
  <c r="AK59" i="78"/>
  <c r="AK59" i="100"/>
  <c r="AK59" i="99"/>
  <c r="AI59" i="78"/>
  <c r="AI59" i="99"/>
  <c r="AI59" i="100"/>
  <c r="AG59" i="78"/>
  <c r="AG59" i="100"/>
  <c r="AG59" i="99"/>
  <c r="AE59" i="78"/>
  <c r="AE59" i="100"/>
  <c r="AE59" i="99"/>
  <c r="AC59" i="78"/>
  <c r="AC59" i="100"/>
  <c r="AC59" i="99"/>
  <c r="AA59" i="78"/>
  <c r="AA59" i="100"/>
  <c r="AA59" i="99"/>
  <c r="Y59" i="78"/>
  <c r="Y59" i="99"/>
  <c r="Y59" i="100"/>
  <c r="V59" i="78"/>
  <c r="V59" i="100"/>
  <c r="V59" i="99"/>
  <c r="T59" i="78"/>
  <c r="T59" i="100"/>
  <c r="T59" i="99"/>
  <c r="R59" i="78"/>
  <c r="R59" i="100"/>
  <c r="R59" i="99"/>
  <c r="P59" i="78"/>
  <c r="P59" i="100"/>
  <c r="P59" i="99"/>
  <c r="N59" i="78"/>
  <c r="N59" i="100"/>
  <c r="N59" i="99"/>
  <c r="L59" i="78"/>
  <c r="L59" i="99"/>
  <c r="L59" i="100"/>
  <c r="E49" i="22"/>
  <c r="E49" i="27"/>
  <c r="E50" i="27" s="1" a="1"/>
  <c r="S16" i="34"/>
  <c r="R16" i="34"/>
  <c r="M16" i="34"/>
  <c r="N16" i="34"/>
  <c r="E27" i="34"/>
  <c r="G27" i="34"/>
  <c r="F27" i="34"/>
  <c r="F36" i="34"/>
  <c r="G36" i="34"/>
  <c r="E36" i="34"/>
  <c r="AQ22" i="26" a="1"/>
  <c r="AQ22" i="26" s="1"/>
  <c r="AR22" i="26" a="1"/>
  <c r="AR22" i="26" s="1"/>
  <c r="AP22" i="26" a="1"/>
  <c r="AP22" i="26" s="1"/>
  <c r="AP41" i="26" a="1"/>
  <c r="AP41" i="26" s="1"/>
  <c r="O26" i="9"/>
  <c r="L26" i="9"/>
  <c r="M26" i="9"/>
  <c r="F54" i="17"/>
  <c r="E22" i="26"/>
  <c r="H22" i="9"/>
  <c r="H26" i="9"/>
  <c r="AG49" i="78"/>
  <c r="AD49" i="78"/>
  <c r="R49" i="78"/>
  <c r="K49" i="78"/>
  <c r="AN49" i="78"/>
  <c r="Q49" i="78"/>
  <c r="F49" i="78"/>
  <c r="J49" i="78"/>
  <c r="M49" i="78"/>
  <c r="AB49" i="78"/>
  <c r="Z49" i="78"/>
  <c r="G49" i="78"/>
  <c r="T49" i="78"/>
  <c r="U49" i="78"/>
  <c r="H49" i="78"/>
  <c r="N49" i="78"/>
  <c r="I49" i="78"/>
  <c r="AE49" i="78"/>
  <c r="P49" i="78"/>
  <c r="W49" i="78"/>
  <c r="V49" i="78"/>
  <c r="AL49" i="78"/>
  <c r="AC49" i="78"/>
  <c r="AH49" i="78"/>
  <c r="AK49" i="78"/>
  <c r="AF49" i="78"/>
  <c r="X49" i="78"/>
  <c r="AJ49" i="78"/>
  <c r="AI49" i="78"/>
  <c r="L49" i="78"/>
  <c r="Y49" i="78"/>
  <c r="O49" i="78"/>
  <c r="AM49" i="78"/>
  <c r="AA49" i="78"/>
  <c r="S49" i="78"/>
  <c r="AO15" i="98" l="1"/>
  <c r="AN15" i="98"/>
  <c r="AN17" i="98" s="1"/>
  <c r="AP15" i="98"/>
  <c r="AP17" i="98" s="1"/>
  <c r="AO17" i="98"/>
  <c r="AW15" i="98"/>
  <c r="AX15" i="98"/>
  <c r="AV15" i="98"/>
  <c r="H50" i="100"/>
  <c r="N50" i="100"/>
  <c r="K50" i="100"/>
  <c r="AK61" i="99"/>
  <c r="E49" i="100" a="1"/>
  <c r="E49" i="100" s="1"/>
  <c r="AU15" i="98" s="1"/>
  <c r="AL61" i="99"/>
  <c r="E49" i="99" a="1"/>
  <c r="E49" i="99" s="1"/>
  <c r="AM15" i="98" s="1"/>
  <c r="AM52" i="99"/>
  <c r="AM53" i="99" s="1"/>
  <c r="AM61" i="99"/>
  <c r="AJ52" i="99"/>
  <c r="AJ53" i="99" s="1"/>
  <c r="AJ61" i="99"/>
  <c r="AI61" i="99"/>
  <c r="AI52" i="99"/>
  <c r="AI53" i="99" s="1"/>
  <c r="AH61" i="99"/>
  <c r="AH52" i="99"/>
  <c r="AH53" i="99" s="1"/>
  <c r="AG61" i="99"/>
  <c r="AG52" i="99"/>
  <c r="AG53" i="99" s="1"/>
  <c r="AF52" i="99"/>
  <c r="AF53" i="99" s="1"/>
  <c r="AF61" i="99"/>
  <c r="AE61" i="99"/>
  <c r="AE52" i="99"/>
  <c r="AE53" i="99" s="1"/>
  <c r="AD52" i="99"/>
  <c r="AD53" i="99" s="1"/>
  <c r="AD61" i="99"/>
  <c r="AC52" i="99"/>
  <c r="AC53" i="99" s="1"/>
  <c r="AC61" i="99"/>
  <c r="AB61" i="99"/>
  <c r="AB52" i="99"/>
  <c r="AB53" i="99" s="1"/>
  <c r="AA61" i="99"/>
  <c r="AA52" i="99"/>
  <c r="AA53" i="99" s="1"/>
  <c r="Z52" i="99"/>
  <c r="Z53" i="99" s="1"/>
  <c r="Z61" i="99"/>
  <c r="Y52" i="99"/>
  <c r="Y53" i="99" s="1"/>
  <c r="Y61" i="99"/>
  <c r="X52" i="99"/>
  <c r="X53" i="99" s="1"/>
  <c r="X61" i="99"/>
  <c r="W52" i="99"/>
  <c r="W53" i="99" s="1"/>
  <c r="W61" i="99"/>
  <c r="V52" i="99"/>
  <c r="V53" i="99" s="1"/>
  <c r="V61" i="99"/>
  <c r="U52" i="99"/>
  <c r="U53" i="99" s="1"/>
  <c r="U61" i="99"/>
  <c r="T52" i="99"/>
  <c r="T53" i="99" s="1"/>
  <c r="T61" i="99"/>
  <c r="S61" i="99"/>
  <c r="S52" i="99"/>
  <c r="S53" i="99" s="1"/>
  <c r="R61" i="99"/>
  <c r="R52" i="99"/>
  <c r="R53" i="99" s="1"/>
  <c r="Q52" i="99"/>
  <c r="Q53" i="99" s="1"/>
  <c r="Q61" i="99"/>
  <c r="N50" i="99"/>
  <c r="K50" i="99"/>
  <c r="H50" i="99"/>
  <c r="AN52" i="99"/>
  <c r="AN53" i="99" s="1"/>
  <c r="AN61" i="99"/>
  <c r="J59" i="78"/>
  <c r="J59" i="100"/>
  <c r="J59" i="99"/>
  <c r="H59" i="78"/>
  <c r="H59" i="99"/>
  <c r="H59" i="100"/>
  <c r="F59" i="78"/>
  <c r="F59" i="100"/>
  <c r="F59" i="99"/>
  <c r="E59" i="99"/>
  <c r="E59" i="100"/>
  <c r="I59" i="78"/>
  <c r="I59" i="99"/>
  <c r="I59" i="100"/>
  <c r="G59" i="78"/>
  <c r="G59" i="100"/>
  <c r="G59" i="99"/>
  <c r="DC4" i="96" a="1"/>
  <c r="E50" i="22" a="1"/>
  <c r="E50" i="22" s="1"/>
  <c r="E50" i="27"/>
  <c r="G54" i="17"/>
  <c r="M50" i="78"/>
  <c r="M52" i="78" s="1"/>
  <c r="I50" i="78"/>
  <c r="I52" i="78" s="1"/>
  <c r="AN50" i="78"/>
  <c r="AN52" i="78" s="1"/>
  <c r="AH50" i="78"/>
  <c r="AH52" i="78" s="1"/>
  <c r="X50" i="78"/>
  <c r="X52" i="78" s="1"/>
  <c r="O50" i="78"/>
  <c r="O52" i="78" s="1"/>
  <c r="J50" i="78"/>
  <c r="J52" i="78" s="1"/>
  <c r="U50" i="78"/>
  <c r="U52" i="78" s="1"/>
  <c r="AA50" i="78"/>
  <c r="AA52" i="78" s="1"/>
  <c r="AB50" i="78"/>
  <c r="AB52" i="78" s="1"/>
  <c r="T50" i="78"/>
  <c r="T52" i="78" s="1"/>
  <c r="V50" i="78"/>
  <c r="V52" i="78" s="1"/>
  <c r="H50" i="78"/>
  <c r="H52" i="78" s="1"/>
  <c r="W50" i="78"/>
  <c r="W52" i="78" s="1"/>
  <c r="AF50" i="78"/>
  <c r="AF52" i="78" s="1"/>
  <c r="Z50" i="78"/>
  <c r="Z52" i="78" s="1"/>
  <c r="N50" i="78"/>
  <c r="N52" i="78" s="1"/>
  <c r="AC50" i="78"/>
  <c r="AC52" i="78" s="1"/>
  <c r="Q50" i="78"/>
  <c r="Q52" i="78" s="1"/>
  <c r="L50" i="78"/>
  <c r="L52" i="78" s="1"/>
  <c r="AJ50" i="78"/>
  <c r="AJ52" i="78" s="1"/>
  <c r="G50" i="78"/>
  <c r="G52" i="78" s="1"/>
  <c r="AI50" i="78"/>
  <c r="AI52" i="78" s="1"/>
  <c r="AL50" i="78"/>
  <c r="AL52" i="78" s="1"/>
  <c r="AM50" i="78"/>
  <c r="AM52" i="78" s="1"/>
  <c r="AG50" i="78"/>
  <c r="AG52" i="78" s="1"/>
  <c r="AD50" i="78"/>
  <c r="AD52" i="78" s="1"/>
  <c r="R50" i="78"/>
  <c r="R52" i="78" s="1"/>
  <c r="AE50" i="78"/>
  <c r="AE52" i="78" s="1"/>
  <c r="K50" i="78"/>
  <c r="K52" i="78" s="1"/>
  <c r="S50" i="78"/>
  <c r="S52" i="78" s="1"/>
  <c r="P50" i="78"/>
  <c r="P52" i="78" s="1"/>
  <c r="F50" i="78"/>
  <c r="F52" i="78" s="1"/>
  <c r="Y50" i="78"/>
  <c r="Y52" i="78" s="1"/>
  <c r="AK50" i="78"/>
  <c r="AK52" i="78" s="1"/>
  <c r="AE4" i="98" l="1"/>
  <c r="AQ15" i="98"/>
  <c r="AQ17" i="98" s="1"/>
  <c r="AM17" i="98"/>
  <c r="AY15" i="98"/>
  <c r="AY17" i="98" s="1"/>
  <c r="AU17" i="98"/>
  <c r="AV17" i="98"/>
  <c r="AF4" i="98"/>
  <c r="AF19" i="98" s="1"/>
  <c r="AF20" i="98" s="1"/>
  <c r="AX17" i="98"/>
  <c r="AH4" i="98"/>
  <c r="AH19" i="98" s="1"/>
  <c r="AH20" i="98" s="1"/>
  <c r="AW17" i="98"/>
  <c r="AG4" i="98"/>
  <c r="AG19" i="98" s="1"/>
  <c r="AG20" i="98" s="1"/>
  <c r="DC4" i="96"/>
  <c r="E50" i="100"/>
  <c r="E50" i="99"/>
  <c r="S42" i="85"/>
  <c r="T42" i="85"/>
  <c r="L27" i="9"/>
  <c r="M53" i="78"/>
  <c r="I53" i="78"/>
  <c r="AN53" i="78"/>
  <c r="AH53" i="78"/>
  <c r="X53" i="78"/>
  <c r="O53" i="78"/>
  <c r="J53" i="78"/>
  <c r="U53" i="78"/>
  <c r="AA53" i="78"/>
  <c r="AB53" i="78"/>
  <c r="T53" i="78"/>
  <c r="V53" i="78"/>
  <c r="H53" i="78"/>
  <c r="W53" i="78"/>
  <c r="AF53" i="78"/>
  <c r="Z53" i="78"/>
  <c r="N53" i="78"/>
  <c r="AC53" i="78"/>
  <c r="Q53" i="78"/>
  <c r="L53" i="78"/>
  <c r="AJ53" i="78"/>
  <c r="G53" i="78"/>
  <c r="AI53" i="78"/>
  <c r="AL53" i="78"/>
  <c r="AM53" i="78"/>
  <c r="AG53" i="78"/>
  <c r="AD53" i="78"/>
  <c r="R53" i="78"/>
  <c r="AE53" i="78"/>
  <c r="K53" i="78"/>
  <c r="S53" i="78"/>
  <c r="P53" i="78"/>
  <c r="F53" i="78"/>
  <c r="Y53" i="78"/>
  <c r="AK53" i="78"/>
  <c r="H54" i="17"/>
  <c r="AI4" i="98" l="1"/>
  <c r="AI19" i="98" s="1"/>
  <c r="AI20" i="98" s="1"/>
  <c r="AE19" i="98"/>
  <c r="K42" i="85"/>
  <c r="P42" i="85"/>
  <c r="M27" i="9"/>
  <c r="J42" i="85"/>
  <c r="W16" i="98" s="1"/>
  <c r="O27" i="9"/>
  <c r="R42" i="85"/>
  <c r="Y16" i="98" s="1"/>
  <c r="N27" i="9"/>
  <c r="N42" i="85"/>
  <c r="X16" i="98" s="1"/>
  <c r="L42" i="85"/>
  <c r="O42" i="85"/>
  <c r="H42" i="84"/>
  <c r="O42" i="34" s="1"/>
  <c r="F42" i="84"/>
  <c r="V16" i="98" s="1"/>
  <c r="G42" i="84"/>
  <c r="N42" i="34" s="1"/>
  <c r="I54" i="17"/>
  <c r="AL61" i="78"/>
  <c r="AD58" i="26"/>
  <c r="P61" i="78"/>
  <c r="P58" i="26"/>
  <c r="Q61" i="78"/>
  <c r="Q58" i="26"/>
  <c r="AN61" i="78"/>
  <c r="AN58" i="26"/>
  <c r="AL58" i="26"/>
  <c r="AK61" i="78"/>
  <c r="AK58" i="26"/>
  <c r="AJ61" i="78"/>
  <c r="AJ58" i="26"/>
  <c r="AI61" i="78"/>
  <c r="AI58" i="26"/>
  <c r="AH61" i="78"/>
  <c r="AH58" i="26"/>
  <c r="AG61" i="78"/>
  <c r="AG58" i="26"/>
  <c r="AF61" i="78"/>
  <c r="AF58" i="26"/>
  <c r="AE61" i="78"/>
  <c r="AE58" i="26"/>
  <c r="AD61" i="78"/>
  <c r="AA16" i="98" l="1"/>
  <c r="AA20" i="98" s="1"/>
  <c r="G42" i="85"/>
  <c r="R42" i="34" s="1"/>
  <c r="F42" i="34" s="1"/>
  <c r="AE20" i="98"/>
  <c r="M42" i="34"/>
  <c r="H42" i="85"/>
  <c r="S42" i="34" s="1"/>
  <c r="G42" i="34" s="1"/>
  <c r="F42" i="85"/>
  <c r="Q42" i="34" s="1"/>
  <c r="J54" i="17"/>
  <c r="Y61" i="78"/>
  <c r="Y58" i="26"/>
  <c r="X61" i="78"/>
  <c r="X58" i="26"/>
  <c r="W61" i="78"/>
  <c r="W58" i="26"/>
  <c r="V61" i="78"/>
  <c r="V58" i="26"/>
  <c r="U61" i="78"/>
  <c r="U58" i="26"/>
  <c r="T58" i="26"/>
  <c r="T61" i="78"/>
  <c r="S61" i="78"/>
  <c r="S58" i="26"/>
  <c r="R61" i="78"/>
  <c r="R58" i="26"/>
  <c r="AC61" i="78"/>
  <c r="AC58" i="26"/>
  <c r="AB61" i="78"/>
  <c r="AB58" i="26"/>
  <c r="AA61" i="78"/>
  <c r="AA58" i="26"/>
  <c r="Z61" i="78"/>
  <c r="Z58" i="26"/>
  <c r="O61" i="78"/>
  <c r="O58" i="26"/>
  <c r="N61" i="78"/>
  <c r="N58" i="26"/>
  <c r="M61" i="78"/>
  <c r="M58" i="26"/>
  <c r="L61" i="78"/>
  <c r="L58" i="26"/>
  <c r="K61" i="78"/>
  <c r="K58" i="26"/>
  <c r="J61" i="78"/>
  <c r="J58" i="26"/>
  <c r="AM61" i="78"/>
  <c r="AM58" i="26"/>
  <c r="I61" i="78"/>
  <c r="I58" i="26"/>
  <c r="H61" i="78"/>
  <c r="H58" i="26"/>
  <c r="G61" i="78"/>
  <c r="G58" i="26"/>
  <c r="F61" i="78"/>
  <c r="F58" i="26"/>
  <c r="AJ49" i="26"/>
  <c r="AJ50" i="26" s="1"/>
  <c r="Q49" i="26"/>
  <c r="AA49" i="26"/>
  <c r="AA50" i="26" s="1"/>
  <c r="G49" i="26"/>
  <c r="G50" i="26" s="1"/>
  <c r="U49" i="26"/>
  <c r="U50" i="26" s="1"/>
  <c r="O49" i="26"/>
  <c r="O50" i="26" s="1"/>
  <c r="I49" i="26"/>
  <c r="I50" i="26" s="1"/>
  <c r="Y49" i="26"/>
  <c r="Y50" i="26" s="1"/>
  <c r="P49" i="26"/>
  <c r="P50" i="26" s="1"/>
  <c r="S49" i="26"/>
  <c r="S50" i="26" s="1"/>
  <c r="AE49" i="26"/>
  <c r="R49" i="26"/>
  <c r="R50" i="26" s="1"/>
  <c r="AM49" i="26"/>
  <c r="AM50" i="26" s="1"/>
  <c r="AI49" i="26"/>
  <c r="AI50" i="26" s="1"/>
  <c r="AC49" i="26"/>
  <c r="Z49" i="26"/>
  <c r="Z50" i="26" s="1"/>
  <c r="AF49" i="26"/>
  <c r="AF50" i="26" s="1"/>
  <c r="V49" i="26"/>
  <c r="V50" i="26" s="1"/>
  <c r="T49" i="26"/>
  <c r="T50" i="26" s="1"/>
  <c r="AK49" i="26"/>
  <c r="AK50" i="26" s="1"/>
  <c r="F49" i="26"/>
  <c r="F50" i="26" s="1"/>
  <c r="AD49" i="26"/>
  <c r="AD50" i="26" s="1"/>
  <c r="K49" i="26"/>
  <c r="K50" i="26" s="1"/>
  <c r="AG49" i="26"/>
  <c r="AG50" i="26" s="1"/>
  <c r="AL49" i="26"/>
  <c r="AL50" i="26" s="1"/>
  <c r="L49" i="26"/>
  <c r="L50" i="26" s="1"/>
  <c r="N49" i="26"/>
  <c r="N50" i="26" s="1"/>
  <c r="W49" i="26"/>
  <c r="W50" i="26" s="1"/>
  <c r="AB49" i="26"/>
  <c r="AN49" i="26"/>
  <c r="AN50" i="26" s="1"/>
  <c r="H49" i="26"/>
  <c r="H50" i="26" s="1"/>
  <c r="J49" i="26"/>
  <c r="J50" i="26" s="1"/>
  <c r="X49" i="26"/>
  <c r="X50" i="26" s="1"/>
  <c r="AH49" i="26"/>
  <c r="AH50" i="26" s="1"/>
  <c r="M49" i="26"/>
  <c r="M50" i="26" s="1"/>
  <c r="E42" i="34" l="1"/>
  <c r="E45" i="34" s="1"/>
  <c r="AR58" i="26" a="1"/>
  <c r="AR58" i="26" s="1"/>
  <c r="AQ49" i="26" a="1"/>
  <c r="AQ49" i="26" s="1"/>
  <c r="AQ58" i="26" a="1"/>
  <c r="AQ58" i="26" s="1"/>
  <c r="AR49" i="26" a="1"/>
  <c r="AR49" i="26" s="1"/>
  <c r="G54" i="34" a="1"/>
  <c r="G54" i="34" s="1"/>
  <c r="F54" i="34" a="1"/>
  <c r="F54" i="34" s="1"/>
  <c r="K54" i="17"/>
  <c r="E58" i="26"/>
  <c r="Q50" i="26"/>
  <c r="AC50" i="26"/>
  <c r="AE50" i="26"/>
  <c r="AB50" i="26"/>
  <c r="AR50" i="26" l="1"/>
  <c r="AQ50" i="26"/>
  <c r="E54" i="34" a="1"/>
  <c r="E54" i="34" s="1"/>
  <c r="AP58" i="26" a="1"/>
  <c r="AP58" i="26" s="1"/>
  <c r="J45" i="34"/>
  <c r="K45" i="34"/>
  <c r="L54" i="17"/>
  <c r="M54" i="17" l="1"/>
  <c r="N54" i="17" l="1"/>
  <c r="O54" i="17"/>
  <c r="G21" i="98" l="1"/>
  <c r="G20" i="98"/>
  <c r="G19" i="98"/>
  <c r="G18" i="98"/>
  <c r="F21" i="98"/>
  <c r="F20" i="98"/>
  <c r="F19" i="98"/>
  <c r="F18" i="98"/>
  <c r="E21" i="98"/>
  <c r="E20" i="98"/>
  <c r="E19" i="98"/>
  <c r="E18" i="98"/>
  <c r="D21" i="98"/>
  <c r="D20" i="98"/>
  <c r="D19" i="98"/>
  <c r="D18" i="98"/>
  <c r="BF9" i="98" a="1"/>
  <c r="BF9" i="98" s="1"/>
  <c r="BF8" i="98" a="1"/>
  <c r="BF8" i="98" s="1"/>
  <c r="BD8" i="98" a="1"/>
  <c r="BD8" i="98" s="1"/>
  <c r="BE11" i="98" a="1"/>
  <c r="BE11" i="98" s="1"/>
  <c r="BE8" i="98" a="1"/>
  <c r="BE8" i="98" s="1"/>
  <c r="BC10" i="98" a="1"/>
  <c r="BC10" i="98" s="1"/>
  <c r="BC8" i="98" a="1"/>
  <c r="BC8" i="98" s="1"/>
  <c r="BF10" i="98" a="1"/>
  <c r="BF10" i="98" s="1"/>
  <c r="BF11" i="98" a="1"/>
  <c r="BF11" i="98" s="1"/>
  <c r="BD11" i="98" a="1"/>
  <c r="BD11" i="98" s="1"/>
  <c r="BD9" i="98" a="1"/>
  <c r="BD9" i="98" s="1"/>
  <c r="BD10" i="98" a="1"/>
  <c r="BD10" i="98" s="1"/>
  <c r="BE9" i="98" a="1"/>
  <c r="BE9" i="98" s="1"/>
  <c r="BC11" i="98" a="1"/>
  <c r="BC11" i="98" s="1"/>
  <c r="BC9" i="98" a="1"/>
  <c r="BC9" i="98" s="1"/>
  <c r="BE10" i="98" a="1"/>
  <c r="BE10" i="98" s="1"/>
  <c r="P54" i="17"/>
  <c r="H19" i="98" l="1"/>
  <c r="H20" i="98"/>
  <c r="G22" i="98"/>
  <c r="H21" i="98"/>
  <c r="F22" i="98"/>
  <c r="E22" i="98"/>
  <c r="H18" i="98"/>
  <c r="D22" i="98"/>
  <c r="D23" i="98" s="1"/>
  <c r="BG8" i="98"/>
  <c r="BC12" i="98"/>
  <c r="BE12" i="98"/>
  <c r="BD12" i="98"/>
  <c r="BG10" i="98"/>
  <c r="BG11" i="98"/>
  <c r="BG9" i="98"/>
  <c r="BF12" i="98"/>
  <c r="Q54" i="17"/>
  <c r="H22" i="98" l="1"/>
  <c r="E23" i="98"/>
  <c r="F23" i="98" s="1"/>
  <c r="G23" i="98" s="1"/>
  <c r="BG12" i="98"/>
  <c r="R54" i="17"/>
  <c r="S54" i="17" l="1"/>
  <c r="T54" i="17"/>
  <c r="R10" i="85"/>
  <c r="F10" i="9" s="1" a="1"/>
  <c r="F10" i="9" s="1"/>
  <c r="J10" i="85"/>
  <c r="D10" i="9" s="1" a="1"/>
  <c r="D10" i="9" s="1"/>
  <c r="N10" i="85"/>
  <c r="E10" i="9" s="1" a="1"/>
  <c r="E10" i="9" s="1"/>
  <c r="R1" i="85" a="1"/>
  <c r="R1" i="85" s="1"/>
  <c r="E14" i="9" a="1"/>
  <c r="E14" i="9" s="1"/>
  <c r="J1" i="85" a="1"/>
  <c r="J1" i="85" s="1"/>
  <c r="D12" i="9" s="1" a="1"/>
  <c r="D12" i="9" s="1"/>
  <c r="N1" i="85" a="1"/>
  <c r="N1" i="85" s="1"/>
  <c r="E12" i="9" s="1" a="1"/>
  <c r="E12" i="9" s="1"/>
  <c r="F14" i="9" a="1"/>
  <c r="F14" i="9" s="1"/>
  <c r="D7" i="9" a="1"/>
  <c r="D7" i="9" s="1"/>
  <c r="E13" i="9" a="1"/>
  <c r="E13" i="9" s="1"/>
  <c r="E15" i="9" a="1"/>
  <c r="E15" i="9" s="1"/>
  <c r="F15" i="9" a="1"/>
  <c r="F15" i="9" s="1"/>
  <c r="F7" i="9" a="1"/>
  <c r="F7" i="9" s="1"/>
  <c r="E7" i="9" a="1"/>
  <c r="E7" i="9" s="1"/>
  <c r="F13" i="9" a="1"/>
  <c r="F13" i="9" s="1"/>
  <c r="R3" i="85" a="1"/>
  <c r="R3" i="85" s="1"/>
  <c r="F6" i="9" s="1" a="1"/>
  <c r="F6" i="9" s="1"/>
  <c r="J3" i="85" a="1"/>
  <c r="J3" i="85" s="1"/>
  <c r="D6" i="9" s="1" a="1"/>
  <c r="D6" i="9" s="1"/>
  <c r="N3" i="85" a="1"/>
  <c r="N3" i="85" s="1"/>
  <c r="E6" i="9" s="1" a="1"/>
  <c r="E6" i="9" s="1"/>
  <c r="R5" i="85" a="1"/>
  <c r="R5" i="85" s="1"/>
  <c r="F8" i="9" s="1" a="1"/>
  <c r="F8" i="9" s="1"/>
  <c r="J5" i="85" a="1"/>
  <c r="J5" i="85" s="1"/>
  <c r="D8" i="9" s="1" a="1"/>
  <c r="D8" i="9" s="1"/>
  <c r="N5" i="85" a="1"/>
  <c r="N5" i="85" s="1"/>
  <c r="E8" i="9" s="1" a="1"/>
  <c r="E8" i="9" s="1"/>
  <c r="I10" i="9" l="1"/>
  <c r="I7" i="9"/>
  <c r="I6" i="9"/>
  <c r="I8" i="9"/>
  <c r="F10" i="85"/>
  <c r="Q10" i="34" s="1"/>
  <c r="F13" i="85"/>
  <c r="Q13" i="34" s="1"/>
  <c r="E13" i="34" s="1"/>
  <c r="F1" i="85"/>
  <c r="F4" i="85"/>
  <c r="Q4" i="34" s="1"/>
  <c r="E4" i="34" s="1"/>
  <c r="F3" i="85"/>
  <c r="Q3" i="34" s="1"/>
  <c r="F5" i="85"/>
  <c r="Q5" i="34" s="1"/>
  <c r="E5" i="34" s="1"/>
  <c r="I23" i="9" a="1"/>
  <c r="I23" i="9" s="1"/>
  <c r="D13" i="9" a="1"/>
  <c r="D13" i="9" s="1"/>
  <c r="I13" i="9" s="1"/>
  <c r="F12" i="85"/>
  <c r="Q12" i="34" s="1"/>
  <c r="E12" i="34" s="1"/>
  <c r="R7" i="85"/>
  <c r="J7" i="85"/>
  <c r="N7" i="85"/>
  <c r="U54" i="17"/>
  <c r="E22" i="9" a="1"/>
  <c r="E22" i="9" s="1"/>
  <c r="F12" i="9" a="1"/>
  <c r="F12" i="9" s="1"/>
  <c r="I12" i="9" s="1"/>
  <c r="D22" i="9" a="1"/>
  <c r="D22" i="9" s="1"/>
  <c r="D14" i="9" a="1"/>
  <c r="D14" i="9" s="1"/>
  <c r="I14" i="9" s="1"/>
  <c r="D15" i="9" a="1"/>
  <c r="D15" i="9" s="1"/>
  <c r="I15" i="9" s="1"/>
  <c r="F17" i="9"/>
  <c r="E17" i="9"/>
  <c r="D17" i="9"/>
  <c r="F22" i="9" a="1"/>
  <c r="F22" i="9" s="1"/>
  <c r="F35" i="9" l="1"/>
  <c r="C35" i="9"/>
  <c r="C36" i="9" s="1"/>
  <c r="D35" i="9"/>
  <c r="H35" i="9"/>
  <c r="H36" i="9" s="1"/>
  <c r="E35" i="9"/>
  <c r="Q1" i="34"/>
  <c r="Q16" i="34"/>
  <c r="E3" i="34"/>
  <c r="E7" i="34" s="1"/>
  <c r="Q7" i="34"/>
  <c r="F7" i="85"/>
  <c r="V54" i="17"/>
  <c r="E27" i="9"/>
  <c r="E26" i="9"/>
  <c r="D26" i="9"/>
  <c r="D27" i="9"/>
  <c r="I22" i="9"/>
  <c r="I35" i="9" s="1"/>
  <c r="F23" i="9" a="1"/>
  <c r="F23" i="9" s="1"/>
  <c r="E23" i="9" a="1"/>
  <c r="E23" i="9" s="1"/>
  <c r="D23" i="9" a="1"/>
  <c r="D23" i="9" s="1"/>
  <c r="I17" i="9"/>
  <c r="F27" i="9"/>
  <c r="F26" i="9"/>
  <c r="I27" i="9" l="1"/>
  <c r="I26" i="9"/>
  <c r="W54" i="17"/>
  <c r="D36" i="9"/>
  <c r="I36" i="9"/>
  <c r="F36" i="9"/>
  <c r="E36" i="9"/>
  <c r="X54" i="17" l="1"/>
  <c r="Y54" i="17" l="1"/>
  <c r="Z54" i="17" l="1"/>
  <c r="AA54" i="17" l="1"/>
  <c r="AB54" i="17" l="1"/>
  <c r="AC54" i="17" l="1"/>
  <c r="AD54" i="17" l="1"/>
  <c r="AE54" i="17" l="1"/>
  <c r="AF54" i="17" l="1"/>
  <c r="AG54" i="17" l="1"/>
  <c r="AH54" i="17" l="1"/>
  <c r="AI54" i="17" l="1"/>
  <c r="AJ54" i="17" l="1"/>
  <c r="AK54" i="17" l="1"/>
  <c r="AL54" i="17" l="1"/>
  <c r="AN54" i="17"/>
  <c r="AM54" i="17" l="1"/>
  <c r="E52" i="17" l="1"/>
  <c r="E53" i="17" s="1"/>
  <c r="E59" i="17"/>
  <c r="E49" i="78" l="1"/>
  <c r="ED4" i="69" a="1"/>
  <c r="E60" i="17" a="1"/>
  <c r="E60" i="17" s="1"/>
  <c r="E54" i="17"/>
  <c r="P58" i="27"/>
  <c r="W58" i="27"/>
  <c r="T58" i="27"/>
  <c r="AI58" i="27"/>
  <c r="Z58" i="27"/>
  <c r="S58" i="27"/>
  <c r="Y52" i="27"/>
  <c r="Y53" i="27" s="1"/>
  <c r="Z52" i="27"/>
  <c r="Z53" i="27" s="1"/>
  <c r="AL52" i="27"/>
  <c r="AL53" i="27" s="1"/>
  <c r="AG58" i="27"/>
  <c r="I58" i="27"/>
  <c r="AF52" i="27"/>
  <c r="AF53" i="27" s="1"/>
  <c r="AB58" i="27"/>
  <c r="P52" i="27"/>
  <c r="P53" i="27" s="1"/>
  <c r="Q52" i="27"/>
  <c r="Q53" i="27" s="1"/>
  <c r="S52" i="27"/>
  <c r="S53" i="27" s="1"/>
  <c r="T52" i="27"/>
  <c r="T53" i="27" s="1"/>
  <c r="AM58" i="27"/>
  <c r="U52" i="27"/>
  <c r="U53" i="27" s="1"/>
  <c r="O52" i="27"/>
  <c r="O53" i="27" s="1"/>
  <c r="R58" i="27"/>
  <c r="N58" i="27"/>
  <c r="AE58" i="27"/>
  <c r="G52" i="27"/>
  <c r="G53" i="27" s="1"/>
  <c r="H52" i="27"/>
  <c r="H53" i="27" s="1"/>
  <c r="N52" i="27"/>
  <c r="N53" i="27" s="1"/>
  <c r="I52" i="27"/>
  <c r="I53" i="27" s="1"/>
  <c r="J52" i="27"/>
  <c r="J53" i="27" s="1"/>
  <c r="K52" i="27"/>
  <c r="K53" i="27" s="1"/>
  <c r="AK52" i="27"/>
  <c r="AK53" i="27" s="1"/>
  <c r="Y58" i="27"/>
  <c r="J58" i="27"/>
  <c r="L52" i="27"/>
  <c r="L53" i="27" s="1"/>
  <c r="M52" i="27"/>
  <c r="M53" i="27" s="1"/>
  <c r="AJ52" i="27"/>
  <c r="AJ53" i="27" s="1"/>
  <c r="X58" i="27"/>
  <c r="AC58" i="27"/>
  <c r="AI52" i="27"/>
  <c r="AI53" i="27" s="1"/>
  <c r="AH52" i="27"/>
  <c r="AH53" i="27" s="1"/>
  <c r="AG52" i="27"/>
  <c r="AG53" i="27" s="1"/>
  <c r="F52" i="27"/>
  <c r="F53" i="27" s="1"/>
  <c r="AE52" i="27"/>
  <c r="AE53" i="27" s="1"/>
  <c r="O58" i="27"/>
  <c r="AD52" i="27"/>
  <c r="AD53" i="27" s="1"/>
  <c r="AC52" i="27"/>
  <c r="AC53" i="27" s="1"/>
  <c r="AB52" i="27"/>
  <c r="AB53" i="27" s="1"/>
  <c r="AA52" i="27"/>
  <c r="AA53" i="27" s="1"/>
  <c r="AM52" i="27"/>
  <c r="AM53" i="27" s="1"/>
  <c r="V52" i="27"/>
  <c r="V53" i="27" s="1"/>
  <c r="G58" i="27"/>
  <c r="AF58" i="27"/>
  <c r="AD58" i="27"/>
  <c r="K58" i="27"/>
  <c r="AN58" i="27"/>
  <c r="H58" i="27"/>
  <c r="AK58" i="27"/>
  <c r="Q58" i="27"/>
  <c r="AL58" i="27"/>
  <c r="AJ58" i="27"/>
  <c r="R52" i="27"/>
  <c r="R53" i="27" s="1"/>
  <c r="M58" i="27"/>
  <c r="W52" i="27"/>
  <c r="W53" i="27" s="1"/>
  <c r="AH58" i="27"/>
  <c r="F58" i="27"/>
  <c r="L58" i="27"/>
  <c r="U58" i="27"/>
  <c r="AA58" i="27"/>
  <c r="V58" i="27"/>
  <c r="X52" i="27"/>
  <c r="X53" i="27" s="1"/>
  <c r="AN52" i="27"/>
  <c r="AN53" i="27" s="1"/>
  <c r="AN44" i="85" l="1" a="1"/>
  <c r="AN44" i="85" s="1"/>
  <c r="AN45" i="85" s="1"/>
  <c r="AH44" i="85" a="1"/>
  <c r="AH44" i="85" s="1"/>
  <c r="AA44" i="85" a="1"/>
  <c r="AA44" i="85" s="1"/>
  <c r="X44" i="84" a="1"/>
  <c r="X44" i="84" s="1"/>
  <c r="V44" i="84" a="1"/>
  <c r="V44" i="84" s="1"/>
  <c r="S44" i="84" a="1"/>
  <c r="S44" i="84" s="1"/>
  <c r="S45" i="84" s="1"/>
  <c r="K44" i="84" a="1"/>
  <c r="K44" i="84" s="1"/>
  <c r="W44" i="84" a="1"/>
  <c r="W44" i="84" s="1"/>
  <c r="T44" i="84" a="1"/>
  <c r="T44" i="84" s="1"/>
  <c r="T45" i="84" s="1"/>
  <c r="R44" i="84" a="1"/>
  <c r="R44" i="84" s="1"/>
  <c r="L44" i="84" a="1"/>
  <c r="L44" i="84" s="1"/>
  <c r="J44" i="84" a="1"/>
  <c r="J44" i="84" s="1"/>
  <c r="AM44" i="85" a="1"/>
  <c r="AM44" i="85" s="1"/>
  <c r="AM45" i="85" s="1"/>
  <c r="AF44" i="85" a="1"/>
  <c r="AF44" i="85" s="1"/>
  <c r="Z44" i="85" a="1"/>
  <c r="Z44" i="85" s="1"/>
  <c r="AL44" i="85" a="1"/>
  <c r="AL44" i="85" s="1"/>
  <c r="AL45" i="85" s="1"/>
  <c r="AE44" i="85" a="1"/>
  <c r="AE44" i="85" s="1"/>
  <c r="X44" i="85" a="1"/>
  <c r="X44" i="85" s="1"/>
  <c r="AJ44" i="85" a="1"/>
  <c r="AJ44" i="85" s="1"/>
  <c r="AJ45" i="85" s="1"/>
  <c r="AB44" i="85" a="1"/>
  <c r="AB44" i="85" s="1"/>
  <c r="V44" i="85" a="1"/>
  <c r="V44" i="85" s="1"/>
  <c r="AI44" i="85" a="1"/>
  <c r="AI44" i="85" s="1"/>
  <c r="AI45" i="85" s="1"/>
  <c r="AD44" i="85" a="1"/>
  <c r="AD44" i="85" s="1"/>
  <c r="W44" i="85" a="1"/>
  <c r="W44" i="85" s="1"/>
  <c r="AH45" i="85"/>
  <c r="V45" i="84"/>
  <c r="W45" i="84"/>
  <c r="X45" i="84"/>
  <c r="E50" i="78"/>
  <c r="E52" i="78" s="1"/>
  <c r="E49" i="26"/>
  <c r="N52" i="22"/>
  <c r="N53" i="22" s="1"/>
  <c r="U52" i="22"/>
  <c r="U53" i="22" s="1"/>
  <c r="T52" i="22"/>
  <c r="T53" i="22" s="1"/>
  <c r="S52" i="22"/>
  <c r="S53" i="22" s="1"/>
  <c r="R52" i="22"/>
  <c r="R53" i="22" s="1"/>
  <c r="Q52" i="22"/>
  <c r="Q53" i="22" s="1"/>
  <c r="P52" i="22"/>
  <c r="P53" i="22" s="1"/>
  <c r="O52" i="22"/>
  <c r="O53" i="22" s="1"/>
  <c r="AE52" i="22"/>
  <c r="AE53" i="22" s="1"/>
  <c r="L52" i="22"/>
  <c r="L53" i="22" s="1"/>
  <c r="AN52" i="22"/>
  <c r="AN53" i="22" s="1"/>
  <c r="J52" i="22"/>
  <c r="J53" i="22" s="1"/>
  <c r="G52" i="22"/>
  <c r="G53" i="22" s="1"/>
  <c r="AL52" i="22"/>
  <c r="AL53" i="22" s="1"/>
  <c r="F58" i="22"/>
  <c r="G58" i="22"/>
  <c r="H58" i="22"/>
  <c r="I58" i="22"/>
  <c r="J58" i="22"/>
  <c r="K58" i="22"/>
  <c r="L58" i="22"/>
  <c r="M58" i="22"/>
  <c r="N58" i="22"/>
  <c r="O58" i="22"/>
  <c r="Z58" i="22"/>
  <c r="AA58" i="22"/>
  <c r="AB58" i="22"/>
  <c r="AC58" i="22"/>
  <c r="R58" i="22"/>
  <c r="S58" i="22"/>
  <c r="T58" i="22"/>
  <c r="U58" i="22"/>
  <c r="V58" i="22"/>
  <c r="W58" i="22"/>
  <c r="X58" i="22"/>
  <c r="Y58" i="22"/>
  <c r="AD58" i="22"/>
  <c r="AE58" i="22"/>
  <c r="AF58" i="22"/>
  <c r="AG58" i="22"/>
  <c r="AH58" i="22"/>
  <c r="AI58" i="22"/>
  <c r="AJ58" i="22"/>
  <c r="AK58" i="22"/>
  <c r="AL58" i="22"/>
  <c r="AM58" i="22"/>
  <c r="AN58" i="22"/>
  <c r="Q58" i="22"/>
  <c r="P58" i="22"/>
  <c r="X52" i="22"/>
  <c r="X53" i="22" s="1"/>
  <c r="AJ52" i="22"/>
  <c r="AJ53" i="22" s="1"/>
  <c r="AH52" i="22"/>
  <c r="AH53" i="22" s="1"/>
  <c r="AM52" i="22"/>
  <c r="AM53" i="22" s="1"/>
  <c r="AF52" i="22"/>
  <c r="AF53" i="22" s="1"/>
  <c r="F52" i="22"/>
  <c r="F53" i="22" s="1"/>
  <c r="H52" i="22"/>
  <c r="H53" i="22" s="1"/>
  <c r="AB52" i="22"/>
  <c r="AB53" i="22" s="1"/>
  <c r="AK52" i="22"/>
  <c r="AK53" i="22" s="1"/>
  <c r="K52" i="22"/>
  <c r="K53" i="22" s="1"/>
  <c r="AI52" i="22"/>
  <c r="AI53" i="22" s="1"/>
  <c r="M52" i="22"/>
  <c r="M53" i="22" s="1"/>
  <c r="AD52" i="22"/>
  <c r="AD53" i="22" s="1"/>
  <c r="AC52" i="22"/>
  <c r="AC53" i="22" s="1"/>
  <c r="AG52" i="22"/>
  <c r="AG53" i="22" s="1"/>
  <c r="AA52" i="22"/>
  <c r="AA53" i="22" s="1"/>
  <c r="Z52" i="22"/>
  <c r="Z53" i="22" s="1"/>
  <c r="Y52" i="22"/>
  <c r="Y53" i="22" s="1"/>
  <c r="I52" i="22"/>
  <c r="I53" i="22" s="1"/>
  <c r="W52" i="22"/>
  <c r="W53" i="22" s="1"/>
  <c r="V52" i="22"/>
  <c r="V53" i="22" s="1"/>
  <c r="ED4" i="69"/>
  <c r="E58" i="27"/>
  <c r="E59" i="27" s="1" a="1"/>
  <c r="E59" i="27" s="1"/>
  <c r="E52" i="27"/>
  <c r="P44" i="84" l="1" a="1"/>
  <c r="P44" i="84" s="1"/>
  <c r="N44" i="84" a="1"/>
  <c r="N44" i="84" s="1"/>
  <c r="O44" i="84" a="1"/>
  <c r="O44" i="84" s="1"/>
  <c r="AP49" i="26" a="1"/>
  <c r="AP49" i="26" s="1"/>
  <c r="AP50" i="26" s="1"/>
  <c r="Z45" i="85"/>
  <c r="N44" i="85"/>
  <c r="X18" i="98" s="1"/>
  <c r="X20" i="98" s="1"/>
  <c r="AD45" i="85"/>
  <c r="R44" i="85"/>
  <c r="Y18" i="98" s="1"/>
  <c r="Y20" i="98" s="1"/>
  <c r="V45" i="85"/>
  <c r="J44" i="85"/>
  <c r="W18" i="98" s="1"/>
  <c r="W20" i="98" s="1"/>
  <c r="X45" i="85"/>
  <c r="L44" i="85"/>
  <c r="AB45" i="85"/>
  <c r="P44" i="85"/>
  <c r="K45" i="84"/>
  <c r="AF45" i="85"/>
  <c r="T44" i="85"/>
  <c r="AE45" i="85"/>
  <c r="S44" i="85"/>
  <c r="S45" i="85" s="1"/>
  <c r="L45" i="84"/>
  <c r="AA45" i="85"/>
  <c r="O44" i="85"/>
  <c r="O45" i="85" s="1"/>
  <c r="W45" i="85"/>
  <c r="K44" i="85"/>
  <c r="J45" i="84"/>
  <c r="O28" i="9"/>
  <c r="M28" i="9"/>
  <c r="E50" i="26"/>
  <c r="R45" i="84"/>
  <c r="L28" i="9"/>
  <c r="N28" i="9"/>
  <c r="E52" i="22"/>
  <c r="E58" i="22"/>
  <c r="E59" i="22" s="1" a="1"/>
  <c r="E59" i="22" s="1"/>
  <c r="E53" i="78"/>
  <c r="E53" i="27"/>
  <c r="N45" i="85" l="1"/>
  <c r="R45" i="85"/>
  <c r="E28" i="9" a="1"/>
  <c r="E28" i="9" s="1"/>
  <c r="E29" i="9" s="1"/>
  <c r="P45" i="85"/>
  <c r="F44" i="85"/>
  <c r="J45" i="85"/>
  <c r="D28" i="9" a="1"/>
  <c r="D28" i="9" s="1"/>
  <c r="D29" i="9" s="1"/>
  <c r="L45" i="85"/>
  <c r="T45" i="85"/>
  <c r="F28" i="9" a="1"/>
  <c r="F28" i="9" s="1"/>
  <c r="F29" i="9" s="1"/>
  <c r="G44" i="85"/>
  <c r="K45" i="85"/>
  <c r="H44" i="85"/>
  <c r="P45" i="84"/>
  <c r="H44" i="84"/>
  <c r="O45" i="84"/>
  <c r="G44" i="84"/>
  <c r="N45" i="84"/>
  <c r="F44" i="84"/>
  <c r="I31" i="34" a="1"/>
  <c r="E53" i="22"/>
  <c r="V18" i="98" l="1"/>
  <c r="C28" i="9" a="1"/>
  <c r="C28" i="9" s="1"/>
  <c r="H28" i="9" s="1"/>
  <c r="C27" i="9"/>
  <c r="I28" i="9"/>
  <c r="I29" i="9" s="1"/>
  <c r="F45" i="85"/>
  <c r="Q44" i="34"/>
  <c r="Q45" i="34" s="1"/>
  <c r="G45" i="85"/>
  <c r="R44" i="34"/>
  <c r="R45" i="34" s="1"/>
  <c r="H45" i="85"/>
  <c r="S44" i="34"/>
  <c r="S45" i="34" s="1"/>
  <c r="I31" i="34"/>
  <c r="I32" i="34" s="1"/>
  <c r="H45" i="84"/>
  <c r="O44" i="34"/>
  <c r="G45" i="84"/>
  <c r="N44" i="34"/>
  <c r="F45" i="84"/>
  <c r="M44" i="34"/>
  <c r="M45" i="34" s="1"/>
  <c r="V20" i="98" l="1"/>
  <c r="U6" i="98"/>
  <c r="U22" i="98" s="1"/>
  <c r="U23" i="98" s="1"/>
  <c r="H27" i="9"/>
  <c r="H29" i="9" s="1"/>
  <c r="C29" i="9"/>
  <c r="O45" i="34"/>
  <c r="G44" i="34"/>
  <c r="N45" i="34"/>
  <c r="F44" i="34"/>
  <c r="F45" i="34" s="1"/>
  <c r="E44" i="34"/>
  <c r="E59" i="78"/>
  <c r="G45" i="34" l="1"/>
  <c r="E61" i="78"/>
  <c r="E62" i="78" l="1" a="1"/>
  <c r="E62" i="78" s="1"/>
  <c r="E66" i="78"/>
  <c r="E67" i="78" l="1"/>
  <c r="E69" i="78"/>
  <c r="F66" i="78" s="1"/>
  <c r="E70" i="78"/>
  <c r="F70" i="78" l="1"/>
  <c r="F69" i="78"/>
  <c r="G66" i="78" s="1"/>
  <c r="G70" i="78" s="1"/>
  <c r="E54" i="78"/>
  <c r="G69" i="78" l="1"/>
  <c r="H66" i="78" s="1"/>
  <c r="E56" i="78"/>
  <c r="F65" i="78"/>
  <c r="F67" i="78" s="1"/>
  <c r="F54" i="78" l="1"/>
  <c r="H70" i="78"/>
  <c r="H69" i="78"/>
  <c r="I66" i="78" s="1"/>
  <c r="I70" i="78" s="1"/>
  <c r="F56" i="78" l="1"/>
  <c r="G65" i="78"/>
  <c r="G67" i="78" s="1"/>
  <c r="I69" i="78"/>
  <c r="J66" i="78" s="1"/>
  <c r="G54" i="78" l="1"/>
  <c r="J70" i="78"/>
  <c r="J69" i="78"/>
  <c r="K66" i="78" s="1"/>
  <c r="G56" i="78" l="1"/>
  <c r="H65" i="78"/>
  <c r="H67" i="78" s="1"/>
  <c r="K70" i="78"/>
  <c r="K69" i="78"/>
  <c r="H54" i="78" l="1"/>
  <c r="H56" i="78" l="1"/>
  <c r="I65" i="78"/>
  <c r="I67" i="78" s="1"/>
  <c r="I54" i="78" l="1"/>
  <c r="I56" i="78" l="1"/>
  <c r="J65" i="78"/>
  <c r="J67" i="78" s="1"/>
  <c r="J54" i="78" l="1"/>
  <c r="J56" i="78" l="1"/>
  <c r="K65" i="78"/>
  <c r="K67" i="78" s="1"/>
  <c r="K54" i="78" l="1"/>
  <c r="K56" i="78" l="1"/>
  <c r="L65" i="78"/>
  <c r="L66" i="78" s="1"/>
  <c r="L67" i="78" l="1"/>
  <c r="L54" i="78" s="1"/>
  <c r="L70" i="78"/>
  <c r="L69" i="78"/>
  <c r="L56" i="78" l="1"/>
  <c r="M65" i="78"/>
  <c r="M66" i="78" s="1"/>
  <c r="M67" i="78" l="1"/>
  <c r="M54" i="78" s="1"/>
  <c r="M69" i="78"/>
  <c r="M70" i="78"/>
  <c r="M56" i="78" l="1"/>
  <c r="N65" i="78"/>
  <c r="N66" i="78" s="1"/>
  <c r="N67" i="78" l="1"/>
  <c r="N54" i="78" s="1"/>
  <c r="N70" i="78"/>
  <c r="N69" i="78"/>
  <c r="N56" i="78" l="1"/>
  <c r="O65" i="78"/>
  <c r="O66" i="78" s="1"/>
  <c r="O67" i="78" l="1"/>
  <c r="O70" i="78"/>
  <c r="O69" i="78"/>
  <c r="O54" i="78" l="1"/>
  <c r="O56" i="78" l="1"/>
  <c r="P65" i="78"/>
  <c r="P66" i="78" s="1"/>
  <c r="P70" i="78" l="1"/>
  <c r="P69" i="78"/>
  <c r="P67" i="78"/>
  <c r="P54" i="78" s="1"/>
  <c r="P56" i="78" l="1"/>
  <c r="Q65" i="78"/>
  <c r="Q66" i="78" s="1"/>
  <c r="Q67" i="78" l="1"/>
  <c r="Q70" i="78"/>
  <c r="Q69" i="78"/>
  <c r="Q54" i="78" l="1"/>
  <c r="Q56" i="78" l="1"/>
  <c r="R65" i="78"/>
  <c r="R66" i="78" s="1"/>
  <c r="R67" i="78" l="1"/>
  <c r="R70" i="78"/>
  <c r="R69" i="78"/>
  <c r="R54" i="78" l="1"/>
  <c r="R56" i="78" l="1"/>
  <c r="S65" i="78"/>
  <c r="S66" i="78" s="1"/>
  <c r="S67" i="78" l="1"/>
  <c r="S70" i="78"/>
  <c r="S69" i="78"/>
  <c r="S54" i="78" l="1"/>
  <c r="S56" i="78" l="1"/>
  <c r="T65" i="78"/>
  <c r="T66" i="78" s="1"/>
  <c r="T67" i="78" l="1"/>
  <c r="T70" i="78"/>
  <c r="T69" i="78"/>
  <c r="T54" i="78" l="1"/>
  <c r="T56" i="78" l="1"/>
  <c r="U65" i="78"/>
  <c r="U66" i="78" s="1"/>
  <c r="U67" i="78" l="1"/>
  <c r="U70" i="78"/>
  <c r="U69" i="78"/>
  <c r="U54" i="78" l="1"/>
  <c r="U56" i="78" l="1"/>
  <c r="V65" i="78"/>
  <c r="V66" i="78" s="1"/>
  <c r="V67" i="78" l="1"/>
  <c r="V70" i="78"/>
  <c r="V69" i="78"/>
  <c r="V54" i="78" l="1"/>
  <c r="V56" i="78" l="1"/>
  <c r="W65" i="78"/>
  <c r="W66" i="78" s="1"/>
  <c r="W67" i="78" l="1"/>
  <c r="W70" i="78"/>
  <c r="W69" i="78"/>
  <c r="W54" i="78" l="1"/>
  <c r="W56" i="78" l="1"/>
  <c r="X65" i="78"/>
  <c r="X66" i="78" s="1"/>
  <c r="X67" i="78" l="1"/>
  <c r="X70" i="78"/>
  <c r="X69" i="78"/>
  <c r="X54" i="78" l="1"/>
  <c r="X56" i="78" l="1"/>
  <c r="Y65" i="78"/>
  <c r="Y66" i="78" s="1"/>
  <c r="Y67" i="78" l="1"/>
  <c r="Y70" i="78"/>
  <c r="Y69" i="78"/>
  <c r="Y54" i="78" l="1"/>
  <c r="Y56" i="78" l="1"/>
  <c r="Z65" i="78"/>
  <c r="Z66" i="78" s="1"/>
  <c r="Z67" i="78" l="1"/>
  <c r="Z70" i="78"/>
  <c r="Z69" i="78"/>
  <c r="Z54" i="78" l="1"/>
  <c r="Z56" i="78" l="1"/>
  <c r="AA65" i="78"/>
  <c r="AA66" i="78" s="1"/>
  <c r="AA67" i="78" l="1"/>
  <c r="AA70" i="78"/>
  <c r="AA69" i="78"/>
  <c r="AA54" i="78" l="1"/>
  <c r="AA56" i="78" l="1"/>
  <c r="AB65" i="78"/>
  <c r="AB66" i="78" s="1"/>
  <c r="AB67" i="78" l="1"/>
  <c r="AB70" i="78"/>
  <c r="AB69" i="78"/>
  <c r="AB54" i="78" l="1"/>
  <c r="AB56" i="78" l="1"/>
  <c r="AC65" i="78"/>
  <c r="AC66" i="78" s="1"/>
  <c r="AC67" i="78" l="1"/>
  <c r="AC70" i="78"/>
  <c r="AC69" i="78"/>
  <c r="AC54" i="78" l="1"/>
  <c r="AC56" i="78" l="1"/>
  <c r="AD65" i="78"/>
  <c r="AD66" i="78" s="1"/>
  <c r="AD67" i="78" l="1"/>
  <c r="AD70" i="78"/>
  <c r="AD69" i="78"/>
  <c r="AD54" i="78" l="1"/>
  <c r="AD56" i="78" l="1"/>
  <c r="AE65" i="78"/>
  <c r="AE66" i="78" s="1"/>
  <c r="AE67" i="78" l="1"/>
  <c r="AE70" i="78"/>
  <c r="AE69" i="78"/>
  <c r="AE54" i="78" l="1"/>
  <c r="AE56" i="78" l="1"/>
  <c r="AF65" i="78"/>
  <c r="AF66" i="78" s="1"/>
  <c r="AF67" i="78" l="1"/>
  <c r="AF70" i="78"/>
  <c r="AF69" i="78"/>
  <c r="AF54" i="78" l="1"/>
  <c r="AF56" i="78" l="1"/>
  <c r="AG65" i="78"/>
  <c r="AG66" i="78" s="1"/>
  <c r="AG67" i="78" l="1"/>
  <c r="AG70" i="78"/>
  <c r="AG69" i="78"/>
  <c r="AG54" i="78" l="1"/>
  <c r="AG56" i="78" l="1"/>
  <c r="AH65" i="78"/>
  <c r="AH66" i="78" s="1"/>
  <c r="AH67" i="78" l="1"/>
  <c r="AH70" i="78"/>
  <c r="AH69" i="78"/>
  <c r="AH54" i="78" l="1"/>
  <c r="AH56" i="78" l="1"/>
  <c r="AI65" i="78"/>
  <c r="AI66" i="78" s="1"/>
  <c r="AI67" i="78" l="1"/>
  <c r="AI70" i="78"/>
  <c r="AI69" i="78"/>
  <c r="AI54" i="78" l="1"/>
  <c r="AI56" i="78" l="1"/>
  <c r="AJ65" i="78"/>
  <c r="AJ66" i="78" s="1"/>
  <c r="AJ67" i="78" l="1"/>
  <c r="AJ70" i="78"/>
  <c r="AJ69" i="78"/>
  <c r="AJ54" i="78" l="1"/>
  <c r="AJ56" i="78" l="1"/>
  <c r="AK65" i="78"/>
  <c r="AK66" i="78" s="1"/>
  <c r="AK67" i="78" l="1"/>
  <c r="AK70" i="78"/>
  <c r="AK69" i="78"/>
  <c r="AK54" i="78" l="1"/>
  <c r="AK56" i="78" l="1"/>
  <c r="AL65" i="78"/>
  <c r="AL66" i="78" s="1"/>
  <c r="AL67" i="78" l="1"/>
  <c r="AL70" i="78"/>
  <c r="AL69" i="78"/>
  <c r="AL54" i="78" l="1"/>
  <c r="AL56" i="78" l="1"/>
  <c r="AM65" i="78"/>
  <c r="AM66" i="78" s="1"/>
  <c r="AM67" i="78" l="1"/>
  <c r="AM70" i="78"/>
  <c r="AM69" i="78"/>
  <c r="AM54" i="78" l="1"/>
  <c r="AM56" i="78" l="1"/>
  <c r="AN65" i="78"/>
  <c r="AN66" i="78" s="1"/>
  <c r="AN67" i="78" l="1"/>
  <c r="AN54" i="78" s="1"/>
  <c r="AN56" i="78" s="1"/>
  <c r="AN70" i="78"/>
  <c r="AN69" i="78"/>
  <c r="W36" i="26" l="1"/>
  <c r="V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U36" i="26"/>
  <c r="T36" i="26"/>
  <c r="R36" i="26"/>
  <c r="Q36" i="26"/>
  <c r="P36" i="26"/>
  <c r="O36" i="26"/>
  <c r="N36" i="26"/>
  <c r="M36" i="26"/>
  <c r="S36" i="26"/>
  <c r="K36" i="26"/>
  <c r="J36" i="26"/>
  <c r="I36" i="26"/>
  <c r="H36" i="26"/>
  <c r="G36" i="26"/>
  <c r="F36" i="26"/>
  <c r="L36" i="26"/>
  <c r="I58" i="81"/>
  <c r="AJ58" i="81"/>
  <c r="AE58" i="81"/>
  <c r="Y58" i="81"/>
  <c r="T58" i="81"/>
  <c r="O58" i="81"/>
  <c r="AN58" i="81"/>
  <c r="AI58" i="81"/>
  <c r="AC58" i="81"/>
  <c r="W58" i="81"/>
  <c r="R58" i="81"/>
  <c r="M58" i="81"/>
  <c r="AK58" i="81"/>
  <c r="AF58" i="81"/>
  <c r="AA58" i="81"/>
  <c r="U58" i="81"/>
  <c r="P58" i="81"/>
  <c r="K58" i="81"/>
  <c r="X58" i="81"/>
  <c r="AM58" i="81"/>
  <c r="AH58" i="81"/>
  <c r="AD58" i="81"/>
  <c r="S58" i="81"/>
  <c r="N58" i="81"/>
  <c r="Z58" i="81"/>
  <c r="AL58" i="81"/>
  <c r="AB58" i="81"/>
  <c r="Q58" i="81"/>
  <c r="AG58" i="81"/>
  <c r="V58" i="81"/>
  <c r="L58" i="81"/>
  <c r="F52" i="81"/>
  <c r="F53" i="81" s="1"/>
  <c r="G52" i="81"/>
  <c r="G53" i="81" s="1"/>
  <c r="H52" i="81"/>
  <c r="H53" i="81" s="1"/>
  <c r="I52" i="81"/>
  <c r="I53" i="81" s="1"/>
  <c r="J52" i="81"/>
  <c r="J53" i="81" s="1"/>
  <c r="K52" i="81"/>
  <c r="K53" i="81" s="1"/>
  <c r="L52" i="81"/>
  <c r="L53" i="81" s="1"/>
  <c r="M52" i="81"/>
  <c r="M53" i="81" s="1"/>
  <c r="N52" i="81"/>
  <c r="N53" i="81" s="1"/>
  <c r="O52" i="81"/>
  <c r="O53" i="81" s="1"/>
  <c r="P52" i="81"/>
  <c r="P53" i="81" s="1"/>
  <c r="Q52" i="81"/>
  <c r="Q53" i="81" s="1"/>
  <c r="R52" i="81"/>
  <c r="R53" i="81" s="1"/>
  <c r="S52" i="81"/>
  <c r="S53" i="81" s="1"/>
  <c r="T52" i="81"/>
  <c r="T53" i="81" s="1"/>
  <c r="U52" i="81"/>
  <c r="U53" i="81" s="1"/>
  <c r="V52" i="81"/>
  <c r="V53" i="81" s="1"/>
  <c r="W52" i="81"/>
  <c r="W53" i="81" s="1"/>
  <c r="X52" i="81"/>
  <c r="X53" i="81" s="1"/>
  <c r="Y52" i="81"/>
  <c r="Y53" i="81" s="1"/>
  <c r="Z52" i="81"/>
  <c r="Z53" i="81" s="1"/>
  <c r="AA52" i="81"/>
  <c r="AA53" i="81" s="1"/>
  <c r="AB52" i="81"/>
  <c r="AB53" i="81" s="1"/>
  <c r="AC52" i="81"/>
  <c r="AC53" i="81" s="1"/>
  <c r="AD52" i="81"/>
  <c r="AD53" i="81" s="1"/>
  <c r="AE52" i="81"/>
  <c r="AE53" i="81" s="1"/>
  <c r="AF52" i="81"/>
  <c r="AF53" i="81" s="1"/>
  <c r="AG52" i="81"/>
  <c r="AG53" i="81" s="1"/>
  <c r="AH52" i="81"/>
  <c r="AH53" i="81" s="1"/>
  <c r="AI52" i="81"/>
  <c r="AI53" i="81" s="1"/>
  <c r="AJ52" i="81"/>
  <c r="AJ53" i="81" s="1"/>
  <c r="AK52" i="81"/>
  <c r="AK53" i="81" s="1"/>
  <c r="AL52" i="81"/>
  <c r="AL53" i="81" s="1"/>
  <c r="AM52" i="81"/>
  <c r="AM53" i="81" s="1"/>
  <c r="AN52" i="81"/>
  <c r="AN53" i="81" s="1"/>
  <c r="AN58" i="80"/>
  <c r="AG58" i="80"/>
  <c r="Z58" i="80"/>
  <c r="R58" i="80"/>
  <c r="AL58" i="80"/>
  <c r="AA58" i="80"/>
  <c r="S58" i="80"/>
  <c r="K58" i="80"/>
  <c r="AH58" i="80"/>
  <c r="Y58" i="80"/>
  <c r="M58" i="80"/>
  <c r="AJ58" i="80"/>
  <c r="AD58" i="80"/>
  <c r="V58" i="80"/>
  <c r="N58" i="80"/>
  <c r="AE58" i="80"/>
  <c r="W58" i="80"/>
  <c r="O58" i="80"/>
  <c r="AK58" i="80"/>
  <c r="AC58" i="80"/>
  <c r="U58" i="80"/>
  <c r="Q58" i="80"/>
  <c r="AM58" i="80"/>
  <c r="AI58" i="80"/>
  <c r="AF58" i="80"/>
  <c r="AB58" i="80"/>
  <c r="X58" i="80"/>
  <c r="T58" i="80"/>
  <c r="P58" i="80"/>
  <c r="L58" i="80"/>
  <c r="F52" i="80"/>
  <c r="F53" i="80" s="1"/>
  <c r="G52" i="80"/>
  <c r="G53" i="80" s="1"/>
  <c r="H52" i="80"/>
  <c r="H53" i="80" s="1"/>
  <c r="I52" i="80"/>
  <c r="I53" i="80" s="1"/>
  <c r="J52" i="80"/>
  <c r="J53" i="80" s="1"/>
  <c r="K52" i="80"/>
  <c r="K53" i="80" s="1"/>
  <c r="L52" i="80"/>
  <c r="L53" i="80" s="1"/>
  <c r="M52" i="80"/>
  <c r="M53" i="80" s="1"/>
  <c r="N52" i="80"/>
  <c r="N53" i="80" s="1"/>
  <c r="O52" i="80"/>
  <c r="O53" i="80" s="1"/>
  <c r="P52" i="80"/>
  <c r="P53" i="80" s="1"/>
  <c r="Q52" i="80"/>
  <c r="Q53" i="80" s="1"/>
  <c r="R52" i="80"/>
  <c r="R53" i="80" s="1"/>
  <c r="S52" i="80"/>
  <c r="S53" i="80" s="1"/>
  <c r="T52" i="80"/>
  <c r="T53" i="80" s="1"/>
  <c r="U52" i="80"/>
  <c r="U53" i="80" s="1"/>
  <c r="V52" i="80"/>
  <c r="V53" i="80" s="1"/>
  <c r="W52" i="80"/>
  <c r="W53" i="80" s="1"/>
  <c r="X52" i="80"/>
  <c r="X53" i="80" s="1"/>
  <c r="Y52" i="80"/>
  <c r="Y53" i="80" s="1"/>
  <c r="Z52" i="80"/>
  <c r="Z53" i="80" s="1"/>
  <c r="AA52" i="80"/>
  <c r="AA53" i="80" s="1"/>
  <c r="AB52" i="80"/>
  <c r="AB53" i="80" s="1"/>
  <c r="AC52" i="80"/>
  <c r="AC53" i="80" s="1"/>
  <c r="AD52" i="80"/>
  <c r="AD53" i="80" s="1"/>
  <c r="AE52" i="80"/>
  <c r="AE53" i="80" s="1"/>
  <c r="AF52" i="80"/>
  <c r="AF53" i="80" s="1"/>
  <c r="AG52" i="80"/>
  <c r="AG53" i="80" s="1"/>
  <c r="AH52" i="80"/>
  <c r="AH53" i="80" s="1"/>
  <c r="AI52" i="80"/>
  <c r="AI53" i="80" s="1"/>
  <c r="AJ52" i="80"/>
  <c r="AJ53" i="80" s="1"/>
  <c r="AK52" i="80"/>
  <c r="AK53" i="80" s="1"/>
  <c r="AL52" i="80"/>
  <c r="AL53" i="80" s="1"/>
  <c r="AM52" i="80"/>
  <c r="AM53" i="80" s="1"/>
  <c r="AN52" i="80"/>
  <c r="AN53" i="80" s="1"/>
  <c r="AA58" i="79"/>
  <c r="Q58" i="79"/>
  <c r="Z58" i="79"/>
  <c r="U58" i="79"/>
  <c r="P58" i="79"/>
  <c r="K58" i="79"/>
  <c r="AN58" i="79"/>
  <c r="AM58" i="79"/>
  <c r="N58" i="79"/>
  <c r="Y58" i="79"/>
  <c r="R58" i="79"/>
  <c r="T58" i="79"/>
  <c r="O58" i="79"/>
  <c r="M58" i="79"/>
  <c r="V58" i="79"/>
  <c r="L58" i="79"/>
  <c r="AG58" i="79"/>
  <c r="AF58" i="79"/>
  <c r="AE58" i="79"/>
  <c r="AD58" i="79"/>
  <c r="AB58" i="79"/>
  <c r="X58" i="79"/>
  <c r="S58" i="79"/>
  <c r="AL58" i="79"/>
  <c r="W58" i="79"/>
  <c r="AJ58" i="79"/>
  <c r="AI58" i="79"/>
  <c r="AK58" i="79"/>
  <c r="AH58" i="79"/>
  <c r="AC58" i="79"/>
  <c r="V52" i="79"/>
  <c r="V53" i="79" s="1"/>
  <c r="W52" i="79"/>
  <c r="W53" i="79" s="1"/>
  <c r="X52" i="79"/>
  <c r="X53" i="79" s="1"/>
  <c r="Y52" i="79"/>
  <c r="Y53" i="79" s="1"/>
  <c r="AA52" i="79"/>
  <c r="AA53" i="79" s="1"/>
  <c r="AB52" i="79"/>
  <c r="AB53" i="79" s="1"/>
  <c r="AC52" i="79"/>
  <c r="AC53" i="79" s="1"/>
  <c r="AD52" i="79"/>
  <c r="AD53" i="79" s="1"/>
  <c r="AE52" i="79"/>
  <c r="AE53" i="79" s="1"/>
  <c r="AF52" i="79"/>
  <c r="AF53" i="79" s="1"/>
  <c r="AG52" i="79"/>
  <c r="AG53" i="79" s="1"/>
  <c r="AH52" i="79"/>
  <c r="AH53" i="79" s="1"/>
  <c r="AI52" i="79"/>
  <c r="AI53" i="79" s="1"/>
  <c r="AJ52" i="79"/>
  <c r="AJ53" i="79" s="1"/>
  <c r="AK52" i="79"/>
  <c r="AK53" i="79" s="1"/>
  <c r="AL52" i="79"/>
  <c r="AL53" i="79" s="1"/>
  <c r="AM52" i="79"/>
  <c r="AM53" i="79" s="1"/>
  <c r="Z52" i="79"/>
  <c r="Z53" i="79" s="1"/>
  <c r="AN52" i="79"/>
  <c r="AN53" i="79" s="1"/>
  <c r="S52" i="79"/>
  <c r="S53" i="79" s="1"/>
  <c r="F52" i="79"/>
  <c r="F53" i="79" s="1"/>
  <c r="G52" i="79"/>
  <c r="G53" i="79" s="1"/>
  <c r="H52" i="79"/>
  <c r="H53" i="79" s="1"/>
  <c r="I52" i="79"/>
  <c r="I53" i="79" s="1"/>
  <c r="J52" i="79"/>
  <c r="J53" i="79" s="1"/>
  <c r="K52" i="79"/>
  <c r="K53" i="79" s="1"/>
  <c r="L52" i="79"/>
  <c r="L53" i="79" s="1"/>
  <c r="M52" i="79"/>
  <c r="M53" i="79" s="1"/>
  <c r="N52" i="79"/>
  <c r="N53" i="79" s="1"/>
  <c r="O52" i="79"/>
  <c r="O53" i="79" s="1"/>
  <c r="P52" i="79"/>
  <c r="P53" i="79" s="1"/>
  <c r="Q52" i="79"/>
  <c r="Q53" i="79" s="1"/>
  <c r="R52" i="79"/>
  <c r="R53" i="79" s="1"/>
  <c r="T52" i="79"/>
  <c r="T53" i="79" s="1"/>
  <c r="U52" i="79"/>
  <c r="U53" i="79" s="1"/>
  <c r="AQ36" i="26" l="1" a="1"/>
  <c r="AQ36" i="26" s="1"/>
  <c r="AR36" i="26" a="1"/>
  <c r="AR36" i="26" s="1"/>
  <c r="CT4" i="69" a="1"/>
  <c r="E36" i="26"/>
  <c r="D22" i="77"/>
  <c r="E52" i="81"/>
  <c r="E53" i="81" s="1"/>
  <c r="E58" i="81"/>
  <c r="E58" i="80"/>
  <c r="D22" i="80"/>
  <c r="E52" i="80"/>
  <c r="E53" i="80" s="1"/>
  <c r="E58" i="79"/>
  <c r="D22" i="79"/>
  <c r="E52" i="79"/>
  <c r="E53" i="79" s="1"/>
  <c r="G58" i="81"/>
  <c r="H58" i="81"/>
  <c r="J58" i="81"/>
  <c r="F58" i="81"/>
  <c r="H58" i="80"/>
  <c r="J58" i="80"/>
  <c r="F58" i="80"/>
  <c r="G58" i="80"/>
  <c r="I58" i="80"/>
  <c r="J58" i="79"/>
  <c r="I58" i="79"/>
  <c r="F58" i="79"/>
  <c r="H58" i="79"/>
  <c r="G58" i="79"/>
  <c r="AJ31" i="85" l="1" a="1"/>
  <c r="AJ31" i="85" s="1"/>
  <c r="Z31" i="85" a="1"/>
  <c r="Z31" i="85" s="1"/>
  <c r="J31" i="84" a="1"/>
  <c r="J31" i="84" s="1"/>
  <c r="W31" i="84" a="1"/>
  <c r="W31" i="84" s="1"/>
  <c r="AI31" i="85" a="1"/>
  <c r="AI31" i="85" s="1"/>
  <c r="AD31" i="85" a="1"/>
  <c r="AD31" i="85" s="1"/>
  <c r="X31" i="85" a="1"/>
  <c r="X31" i="85" s="1"/>
  <c r="S31" i="84" a="1"/>
  <c r="S31" i="84" s="1"/>
  <c r="V31" i="85" a="1"/>
  <c r="V31" i="85" s="1"/>
  <c r="AL31" i="85" a="1"/>
  <c r="AL31" i="85" s="1"/>
  <c r="AM31" i="85" a="1"/>
  <c r="AM31" i="85" s="1"/>
  <c r="AF31" i="85" a="1"/>
  <c r="AF31" i="85" s="1"/>
  <c r="T31" i="85" s="1"/>
  <c r="AA31" i="85" a="1"/>
  <c r="AA31" i="85" s="1"/>
  <c r="V31" i="84" a="1"/>
  <c r="V31" i="84" s="1"/>
  <c r="L31" i="84" a="1"/>
  <c r="L31" i="84" s="1"/>
  <c r="W31" i="85" a="1"/>
  <c r="W31" i="85" s="1"/>
  <c r="T31" i="84" a="1"/>
  <c r="T31" i="84" s="1"/>
  <c r="AH31" i="85" a="1"/>
  <c r="AH31" i="85" s="1"/>
  <c r="X31" i="84" a="1"/>
  <c r="X31" i="84" s="1"/>
  <c r="AB31" i="85" a="1"/>
  <c r="AB31" i="85" s="1"/>
  <c r="K31" i="84" a="1"/>
  <c r="K31" i="84" s="1"/>
  <c r="AE31" i="85" a="1"/>
  <c r="AE31" i="85" s="1"/>
  <c r="S31" i="85" s="1"/>
  <c r="R31" i="84" a="1"/>
  <c r="R31" i="84" s="1"/>
  <c r="AN31" i="85" a="1"/>
  <c r="AN31" i="85" s="1"/>
  <c r="R31" i="85"/>
  <c r="AP36" i="26" a="1"/>
  <c r="AP36" i="26" s="1"/>
  <c r="E59" i="81" a="1"/>
  <c r="E59" i="81" s="1"/>
  <c r="E59" i="79" a="1"/>
  <c r="E59" i="79" s="1"/>
  <c r="L18" i="9" a="1"/>
  <c r="L18" i="9" s="1"/>
  <c r="N18" i="9" a="1"/>
  <c r="N18" i="9" s="1"/>
  <c r="O18" i="9" a="1"/>
  <c r="O18" i="9" s="1"/>
  <c r="CT4" i="69"/>
  <c r="M18" i="9" a="1"/>
  <c r="M18" i="9" s="1"/>
  <c r="E59" i="80" a="1"/>
  <c r="E59" i="80" s="1"/>
  <c r="P31" i="84" l="1" a="1"/>
  <c r="P31" i="84" s="1"/>
  <c r="H31" i="84" s="1"/>
  <c r="O31" i="34" s="1"/>
  <c r="O31" i="84" a="1"/>
  <c r="O31" i="84" s="1"/>
  <c r="G31" i="84" s="1"/>
  <c r="N31" i="34" s="1"/>
  <c r="N31" i="84" a="1"/>
  <c r="N31" i="84" s="1"/>
  <c r="F31" i="84" s="1"/>
  <c r="M31" i="34" s="1"/>
  <c r="P31" i="85"/>
  <c r="N31" i="85"/>
  <c r="K31" i="85"/>
  <c r="O31" i="85"/>
  <c r="L31" i="85"/>
  <c r="AR35" i="26" a="1"/>
  <c r="AR35" i="26" s="1"/>
  <c r="AR37" i="26" s="1"/>
  <c r="AR52" i="26" s="1"/>
  <c r="AR53" i="26" s="1"/>
  <c r="J31" i="85"/>
  <c r="H31" i="85" l="1"/>
  <c r="S31" i="34" s="1"/>
  <c r="G31" i="34" s="1"/>
  <c r="G31" i="85"/>
  <c r="R31" i="34" s="1"/>
  <c r="F31" i="34" s="1"/>
  <c r="F31" i="85"/>
  <c r="Q31" i="34" s="1"/>
  <c r="AF59" i="26" l="1"/>
  <c r="AI59" i="26"/>
  <c r="AM59" i="26"/>
  <c r="L59" i="26"/>
  <c r="Y59" i="26"/>
  <c r="P59" i="26"/>
  <c r="AH59" i="26"/>
  <c r="X59" i="26"/>
  <c r="N59" i="26"/>
  <c r="AB59" i="26"/>
  <c r="T59" i="26"/>
  <c r="K32" i="34"/>
  <c r="J32" i="34"/>
  <c r="V59" i="26"/>
  <c r="R59" i="26"/>
  <c r="I59" i="26"/>
  <c r="Q59" i="26"/>
  <c r="AA59" i="26"/>
  <c r="AC59" i="26"/>
  <c r="AD59" i="26"/>
  <c r="AG59" i="26"/>
  <c r="AL59" i="26"/>
  <c r="S59" i="26"/>
  <c r="AK59" i="26"/>
  <c r="AJ59" i="26"/>
  <c r="O59" i="26"/>
  <c r="AE59" i="26"/>
  <c r="Z59" i="26"/>
  <c r="AN59" i="26"/>
  <c r="K59" i="26"/>
  <c r="W59" i="26"/>
  <c r="U59" i="26"/>
  <c r="M59" i="26"/>
  <c r="AP59" i="26" l="1" a="1"/>
  <c r="AP59" i="26" s="1"/>
  <c r="AQ59" i="26" a="1"/>
  <c r="AQ59" i="26" s="1"/>
  <c r="AR59" i="26" a="1"/>
  <c r="AR59" i="26" s="1"/>
  <c r="AR61" i="26" s="1"/>
  <c r="K47" i="34"/>
  <c r="J47" i="34"/>
  <c r="E59" i="26"/>
  <c r="H59" i="26"/>
  <c r="G59" i="26"/>
  <c r="F59" i="26"/>
  <c r="J59" i="26"/>
  <c r="G55" i="34" a="1"/>
  <c r="G55" i="34" s="1"/>
  <c r="F55" i="34" a="1"/>
  <c r="F55" i="34" s="1"/>
  <c r="K48" i="34" l="1"/>
  <c r="J48" i="34"/>
  <c r="E55" i="34" a="1"/>
  <c r="E55" i="34" s="1"/>
  <c r="I47" i="34"/>
  <c r="I48" i="34" l="1"/>
  <c r="E12" i="77" l="1"/>
  <c r="E12" i="99" s="1" a="1"/>
  <c r="E12" i="99" s="1"/>
  <c r="Z12" i="77"/>
  <c r="Z12" i="99" s="1" a="1"/>
  <c r="Z12" i="99" s="1"/>
  <c r="V12" i="77"/>
  <c r="V12" i="99" s="1" a="1"/>
  <c r="V12" i="99" s="1"/>
  <c r="H12" i="77"/>
  <c r="H12" i="99" s="1" a="1"/>
  <c r="H12" i="99" s="1"/>
  <c r="AB12" i="77"/>
  <c r="AB12" i="99" s="1" a="1"/>
  <c r="AB12" i="99" s="1"/>
  <c r="F12" i="77"/>
  <c r="F12" i="99" s="1" a="1"/>
  <c r="F12" i="99" s="1"/>
  <c r="Y12" i="77"/>
  <c r="Y12" i="99" s="1" a="1"/>
  <c r="Y12" i="99" s="1"/>
  <c r="T12" i="77"/>
  <c r="T12" i="99" s="1" a="1"/>
  <c r="T12" i="99" s="1"/>
  <c r="L12" i="77"/>
  <c r="L12" i="99" s="1" a="1"/>
  <c r="L12" i="99" s="1"/>
  <c r="U12" i="77"/>
  <c r="U12" i="99" s="1" a="1"/>
  <c r="U12" i="99" s="1"/>
  <c r="I12" i="77"/>
  <c r="I12" i="99" s="1" a="1"/>
  <c r="I12" i="99" s="1"/>
  <c r="AN12" i="77"/>
  <c r="AN12" i="99" s="1" a="1"/>
  <c r="AN12" i="99" s="1"/>
  <c r="S12" i="77"/>
  <c r="S12" i="99" s="1" a="1"/>
  <c r="S12" i="99" s="1"/>
  <c r="G12" i="77"/>
  <c r="G12" i="99" s="1" a="1"/>
  <c r="G12" i="99" s="1"/>
  <c r="AL12" i="77"/>
  <c r="AL12" i="99" s="1" a="1"/>
  <c r="AL12" i="99" s="1"/>
  <c r="AI12" i="77"/>
  <c r="AI12" i="99" s="1" a="1"/>
  <c r="AI12" i="99" s="1"/>
  <c r="AF12" i="77"/>
  <c r="AF12" i="99" s="1" a="1"/>
  <c r="AF12" i="99" s="1"/>
  <c r="K12" i="77"/>
  <c r="K12" i="99" s="1" a="1"/>
  <c r="K12" i="99" s="1"/>
  <c r="AG12" i="77"/>
  <c r="AG12" i="99" s="1" a="1"/>
  <c r="AG12" i="99" s="1"/>
  <c r="X12" i="77"/>
  <c r="X12" i="99" s="1" a="1"/>
  <c r="X12" i="99" s="1"/>
  <c r="P12" i="77"/>
  <c r="P12" i="99" s="1" a="1"/>
  <c r="P12" i="99" s="1"/>
  <c r="J12" i="77"/>
  <c r="J12" i="99" s="1" a="1"/>
  <c r="J12" i="99" s="1"/>
  <c r="Q12" i="77"/>
  <c r="Q12" i="99" s="1" a="1"/>
  <c r="Q12" i="99" s="1"/>
  <c r="O12" i="77"/>
  <c r="O12" i="99" s="1" a="1"/>
  <c r="O12" i="99" s="1"/>
  <c r="M12" i="77"/>
  <c r="M12" i="99" s="1" a="1"/>
  <c r="M12" i="99" s="1"/>
  <c r="AM12" i="77"/>
  <c r="AM12" i="99" s="1" a="1"/>
  <c r="AM12" i="99" s="1"/>
  <c r="AA12" i="77"/>
  <c r="AA12" i="99" s="1" a="1"/>
  <c r="AA12" i="99" s="1"/>
  <c r="R12" i="77"/>
  <c r="R12" i="99" s="1" a="1"/>
  <c r="R12" i="99" s="1"/>
  <c r="W12" i="77"/>
  <c r="W12" i="99" s="1" a="1"/>
  <c r="W12" i="99" s="1"/>
  <c r="AD12" i="77"/>
  <c r="AD12" i="99" s="1" a="1"/>
  <c r="AD12" i="99" s="1"/>
  <c r="N12" i="77"/>
  <c r="N12" i="99" s="1" a="1"/>
  <c r="N12" i="99" s="1"/>
  <c r="AJ12" i="77"/>
  <c r="AJ12" i="99" s="1" a="1"/>
  <c r="AJ12" i="99" s="1"/>
  <c r="AC12" i="77"/>
  <c r="AC12" i="99" s="1" a="1"/>
  <c r="AC12" i="99" s="1"/>
  <c r="AK12" i="77"/>
  <c r="AK12" i="99" s="1" a="1"/>
  <c r="AK12" i="99" s="1"/>
  <c r="AH12" i="77"/>
  <c r="AH12" i="99" s="1" a="1"/>
  <c r="AH12" i="99" s="1"/>
  <c r="AE12" i="77"/>
  <c r="AE12" i="99" s="1" a="1"/>
  <c r="AE12" i="99" s="1"/>
  <c r="AS40" i="5" l="1"/>
  <c r="E31" i="34" l="1"/>
  <c r="E34" i="26" l="1"/>
  <c r="AP34" i="26" s="1" a="1"/>
  <c r="AP34" i="26" s="1"/>
  <c r="E34" i="100" a="1"/>
  <c r="E34" i="100" s="1"/>
  <c r="E34" i="99" a="1"/>
  <c r="E34" i="99" s="1"/>
  <c r="H35" i="100" l="1" a="1"/>
  <c r="H35" i="100" s="1"/>
  <c r="H37" i="100" s="1"/>
  <c r="O35" i="100" a="1"/>
  <c r="O35" i="100" s="1"/>
  <c r="O37" i="100" s="1"/>
  <c r="M35" i="99" a="1"/>
  <c r="M35" i="99" s="1"/>
  <c r="M37" i="99" s="1"/>
  <c r="T35" i="100" a="1"/>
  <c r="T35" i="100" s="1"/>
  <c r="T37" i="100" s="1"/>
  <c r="Z35" i="100" a="1"/>
  <c r="Z35" i="100" s="1"/>
  <c r="Z37" i="100" s="1"/>
  <c r="X35" i="100" a="1"/>
  <c r="X35" i="100" s="1"/>
  <c r="X37" i="100" s="1"/>
  <c r="W35" i="100" a="1"/>
  <c r="W35" i="100" s="1"/>
  <c r="W37" i="100" s="1"/>
  <c r="Q35" i="100" a="1"/>
  <c r="Q35" i="100" s="1"/>
  <c r="Q37" i="100" s="1"/>
  <c r="V35" i="100" a="1"/>
  <c r="V35" i="100" s="1"/>
  <c r="V37" i="100" s="1"/>
  <c r="AB35" i="100" a="1"/>
  <c r="AB35" i="100" s="1"/>
  <c r="AB37" i="100" s="1"/>
  <c r="Y35" i="100" a="1"/>
  <c r="Y35" i="100" s="1"/>
  <c r="Y37" i="100" s="1"/>
  <c r="AF35" i="100" a="1"/>
  <c r="AF35" i="100" s="1"/>
  <c r="AF37" i="100" s="1"/>
  <c r="AG35" i="100" a="1"/>
  <c r="AG35" i="100" s="1"/>
  <c r="AG37" i="100" s="1"/>
  <c r="S35" i="100" a="1"/>
  <c r="S35" i="100" s="1"/>
  <c r="S37" i="100" s="1"/>
  <c r="R35" i="100" a="1"/>
  <c r="R35" i="100" s="1"/>
  <c r="R37" i="100" s="1"/>
  <c r="AM35" i="100" a="1"/>
  <c r="AM35" i="100" s="1"/>
  <c r="AM37" i="100" s="1"/>
  <c r="L35" i="99" a="1"/>
  <c r="L35" i="99" s="1"/>
  <c r="L37" i="99" s="1"/>
  <c r="G35" i="100" a="1"/>
  <c r="G35" i="100" s="1"/>
  <c r="G37" i="100" s="1"/>
  <c r="N35" i="99" a="1"/>
  <c r="N35" i="99" s="1"/>
  <c r="N37" i="99" s="1"/>
  <c r="F35" i="100" a="1"/>
  <c r="F35" i="100" s="1"/>
  <c r="F37" i="100" s="1"/>
  <c r="K35" i="99" a="1"/>
  <c r="K35" i="99" s="1"/>
  <c r="K37" i="99" s="1"/>
  <c r="AL35" i="100" a="1"/>
  <c r="AL35" i="100" s="1"/>
  <c r="AL37" i="100" s="1"/>
  <c r="AE35" i="100" a="1"/>
  <c r="AE35" i="100" s="1"/>
  <c r="AE37" i="100" s="1"/>
  <c r="AJ35" i="100" a="1"/>
  <c r="AJ35" i="100" s="1"/>
  <c r="AJ37" i="100" s="1"/>
  <c r="AA35" i="100" a="1"/>
  <c r="AA35" i="100" s="1"/>
  <c r="AA37" i="100" s="1"/>
  <c r="AN35" i="100" a="1"/>
  <c r="AN35" i="100" s="1"/>
  <c r="AN37" i="100" s="1"/>
  <c r="AC35" i="100" a="1"/>
  <c r="AC35" i="100" s="1"/>
  <c r="AC37" i="100" s="1"/>
  <c r="U35" i="100" a="1"/>
  <c r="U35" i="100" s="1"/>
  <c r="U37" i="100" s="1"/>
  <c r="AI35" i="100" a="1"/>
  <c r="AI35" i="100" s="1"/>
  <c r="AI37" i="100" s="1"/>
  <c r="AH35" i="100" a="1"/>
  <c r="AH35" i="100" s="1"/>
  <c r="AH37" i="100" s="1"/>
  <c r="AD35" i="100" a="1"/>
  <c r="AD35" i="100" s="1"/>
  <c r="AD37" i="100" s="1"/>
  <c r="AK35" i="100" a="1"/>
  <c r="AK35" i="100" s="1"/>
  <c r="AK37" i="100" s="1"/>
  <c r="F35" i="99" a="1"/>
  <c r="F35" i="99" s="1"/>
  <c r="F37" i="99" s="1"/>
  <c r="P35" i="100" a="1"/>
  <c r="P35" i="100" s="1"/>
  <c r="P37" i="100" s="1"/>
  <c r="K35" i="100" a="1"/>
  <c r="K35" i="100" s="1"/>
  <c r="K37" i="100" s="1"/>
  <c r="J35" i="100" a="1"/>
  <c r="J35" i="100" s="1"/>
  <c r="J37" i="100" s="1"/>
  <c r="G35" i="99" a="1"/>
  <c r="G35" i="99" s="1"/>
  <c r="G37" i="99" s="1"/>
  <c r="P35" i="99" a="1"/>
  <c r="P35" i="99" s="1"/>
  <c r="P37" i="99" s="1"/>
  <c r="H35" i="99" a="1"/>
  <c r="H35" i="99" s="1"/>
  <c r="H37" i="99" s="1"/>
  <c r="O35" i="99" a="1"/>
  <c r="O35" i="99" s="1"/>
  <c r="O37" i="99" s="1"/>
  <c r="I35" i="100" a="1"/>
  <c r="I35" i="100" s="1"/>
  <c r="I37" i="100" s="1"/>
  <c r="N35" i="100" a="1"/>
  <c r="N35" i="100" s="1"/>
  <c r="N37" i="100" s="1"/>
  <c r="L35" i="100" a="1"/>
  <c r="L35" i="100" s="1"/>
  <c r="L37" i="100" s="1"/>
  <c r="I35" i="99" a="1"/>
  <c r="I35" i="99" s="1"/>
  <c r="I37" i="99" s="1"/>
  <c r="J35" i="99" a="1"/>
  <c r="J35" i="99" s="1"/>
  <c r="J37" i="99" s="1"/>
  <c r="M35" i="100" a="1"/>
  <c r="M35" i="100" s="1"/>
  <c r="M37" i="100" s="1"/>
  <c r="AI35" i="26"/>
  <c r="AI37" i="26" s="1"/>
  <c r="O35" i="26"/>
  <c r="O37" i="26" s="1"/>
  <c r="AG35" i="26"/>
  <c r="AG37" i="26" s="1"/>
  <c r="AF35" i="26"/>
  <c r="AF37" i="26" s="1"/>
  <c r="W35" i="26"/>
  <c r="W37" i="26" s="1"/>
  <c r="AA35" i="26"/>
  <c r="AA37" i="26" s="1"/>
  <c r="AE35" i="26"/>
  <c r="AE37" i="26" s="1"/>
  <c r="F35" i="26"/>
  <c r="F37" i="26" s="1"/>
  <c r="V35" i="26"/>
  <c r="V37" i="26" s="1"/>
  <c r="T35" i="26"/>
  <c r="T37" i="26" s="1"/>
  <c r="G35" i="26"/>
  <c r="G37" i="26" s="1"/>
  <c r="R35" i="26"/>
  <c r="R37" i="26" s="1"/>
  <c r="AH35" i="26"/>
  <c r="AH37" i="26" s="1"/>
  <c r="AK35" i="26"/>
  <c r="AK37" i="26" s="1"/>
  <c r="AM35" i="26"/>
  <c r="AM37" i="26" s="1"/>
  <c r="AC35" i="26"/>
  <c r="AC37" i="26" s="1"/>
  <c r="N35" i="26"/>
  <c r="N37" i="26" s="1"/>
  <c r="M35" i="26"/>
  <c r="M37" i="26" s="1"/>
  <c r="K35" i="26"/>
  <c r="K37" i="26" s="1"/>
  <c r="S35" i="26"/>
  <c r="S37" i="26" s="1"/>
  <c r="AJ35" i="26"/>
  <c r="AJ37" i="26" s="1"/>
  <c r="AD35" i="26"/>
  <c r="AD37" i="26" s="1"/>
  <c r="AL35" i="26"/>
  <c r="AL37" i="26" s="1"/>
  <c r="I35" i="26"/>
  <c r="I37" i="26" s="1"/>
  <c r="AN35" i="26"/>
  <c r="AN37" i="26" s="1"/>
  <c r="U35" i="26"/>
  <c r="U37" i="26" s="1"/>
  <c r="X35" i="26"/>
  <c r="X37" i="26" s="1"/>
  <c r="H35" i="26"/>
  <c r="H37" i="26" s="1"/>
  <c r="Q35" i="26"/>
  <c r="Q37" i="26" s="1"/>
  <c r="AB35" i="26"/>
  <c r="AB37" i="26" s="1"/>
  <c r="L35" i="26"/>
  <c r="L37" i="26" s="1"/>
  <c r="J35" i="26"/>
  <c r="J37" i="26" s="1"/>
  <c r="Z35" i="26"/>
  <c r="Z37" i="26" s="1"/>
  <c r="Y35" i="26"/>
  <c r="Y37" i="26" s="1"/>
  <c r="P35" i="26"/>
  <c r="P37" i="26" s="1"/>
  <c r="E35" i="100" a="1"/>
  <c r="E35" i="100" s="1"/>
  <c r="E37" i="100" s="1"/>
  <c r="E35" i="26"/>
  <c r="E37" i="26" s="1"/>
  <c r="E35" i="99" a="1"/>
  <c r="E35" i="99" s="1"/>
  <c r="E37" i="99" s="1"/>
  <c r="T4" i="96" a="1"/>
  <c r="T4" i="96" s="1"/>
  <c r="E37" i="77" a="1"/>
  <c r="BF4" i="69" a="1"/>
  <c r="AB30" i="85" l="1" a="1"/>
  <c r="AB30" i="85" s="1"/>
  <c r="X30" i="84" a="1"/>
  <c r="X30" i="84" s="1"/>
  <c r="X32" i="84" s="1"/>
  <c r="X47" i="84" s="1"/>
  <c r="X48" i="84" s="1"/>
  <c r="L30" i="84" a="1"/>
  <c r="L30" i="84" s="1"/>
  <c r="L32" i="84" s="1"/>
  <c r="AJ30" i="85" a="1"/>
  <c r="AJ30" i="85" s="1"/>
  <c r="AJ32" i="85" s="1"/>
  <c r="AJ47" i="85" s="1"/>
  <c r="AJ48" i="85" s="1"/>
  <c r="AD30" i="85" a="1"/>
  <c r="AD30" i="85" s="1"/>
  <c r="V30" i="85" a="1"/>
  <c r="V30" i="85" s="1"/>
  <c r="J30" i="84" a="1"/>
  <c r="J30" i="84" s="1"/>
  <c r="J32" i="84" s="1"/>
  <c r="W30" i="84" a="1"/>
  <c r="W30" i="84" s="1"/>
  <c r="W32" i="84" s="1"/>
  <c r="W47" i="84" s="1"/>
  <c r="W48" i="84" s="1"/>
  <c r="AH30" i="85" a="1"/>
  <c r="AH30" i="85" s="1"/>
  <c r="AH32" i="85" s="1"/>
  <c r="AH47" i="85" s="1"/>
  <c r="AH48" i="85" s="1"/>
  <c r="AE30" i="85" a="1"/>
  <c r="AE30" i="85" s="1"/>
  <c r="W30" i="85" a="1"/>
  <c r="W30" i="85" s="1"/>
  <c r="T30" i="84" a="1"/>
  <c r="T30" i="84" s="1"/>
  <c r="T32" i="84" s="1"/>
  <c r="T47" i="84" s="1"/>
  <c r="T48" i="84" s="1"/>
  <c r="K30" i="84" a="1"/>
  <c r="K30" i="84" s="1"/>
  <c r="K32" i="84" s="1"/>
  <c r="X30" i="85" a="1"/>
  <c r="X30" i="85" s="1"/>
  <c r="Z30" i="85" a="1"/>
  <c r="Z30" i="85" s="1"/>
  <c r="S30" i="84" a="1"/>
  <c r="S30" i="84" s="1"/>
  <c r="S32" i="84" s="1"/>
  <c r="S47" i="84" s="1"/>
  <c r="S48" i="84" s="1"/>
  <c r="AN30" i="85" a="1"/>
  <c r="AN30" i="85" s="1"/>
  <c r="AN32" i="85" s="1"/>
  <c r="AN47" i="85" s="1"/>
  <c r="AN48" i="85" s="1"/>
  <c r="AI30" i="85" a="1"/>
  <c r="AI30" i="85" s="1"/>
  <c r="AI32" i="85" s="1"/>
  <c r="AI47" i="85" s="1"/>
  <c r="AI48" i="85" s="1"/>
  <c r="AF30" i="85" a="1"/>
  <c r="AF30" i="85" s="1"/>
  <c r="R30" i="84" a="1"/>
  <c r="R30" i="84" s="1"/>
  <c r="AL30" i="85" a="1"/>
  <c r="AL30" i="85" s="1"/>
  <c r="AL32" i="85" s="1"/>
  <c r="AL47" i="85" s="1"/>
  <c r="AL48" i="85" s="1"/>
  <c r="AA30" i="85" a="1"/>
  <c r="AA30" i="85" s="1"/>
  <c r="V30" i="84" a="1"/>
  <c r="V30" i="84" s="1"/>
  <c r="V32" i="84" s="1"/>
  <c r="V47" i="84" s="1"/>
  <c r="V48" i="84" s="1"/>
  <c r="AM30" i="85" a="1"/>
  <c r="AM30" i="85" s="1"/>
  <c r="AM32" i="85" s="1"/>
  <c r="AM47" i="85" s="1"/>
  <c r="AM48" i="85" s="1"/>
  <c r="AN56" i="77" a="1"/>
  <c r="AN56" i="77" s="1"/>
  <c r="AN58" i="77" s="1"/>
  <c r="AM56" i="77" a="1"/>
  <c r="AM56" i="77" s="1"/>
  <c r="AM58" i="77" s="1"/>
  <c r="AL56" i="77" a="1"/>
  <c r="AL56" i="77" s="1"/>
  <c r="AL58" i="77" s="1"/>
  <c r="AK56" i="77" a="1"/>
  <c r="AK56" i="77" s="1"/>
  <c r="AK58" i="77" s="1"/>
  <c r="AJ56" i="77" a="1"/>
  <c r="AJ56" i="77" s="1"/>
  <c r="AJ58" i="77" s="1"/>
  <c r="AI56" i="77" a="1"/>
  <c r="AI56" i="77" s="1"/>
  <c r="AI58" i="77" s="1"/>
  <c r="AH56" i="77" a="1"/>
  <c r="AH56" i="77" s="1"/>
  <c r="AH58" i="77" s="1"/>
  <c r="AG56" i="77" a="1"/>
  <c r="AG56" i="77" s="1"/>
  <c r="AG58" i="77" s="1"/>
  <c r="AF56" i="77" a="1"/>
  <c r="AF56" i="77" s="1"/>
  <c r="AF58" i="77" s="1"/>
  <c r="AE56" i="77" a="1"/>
  <c r="AE56" i="77" s="1"/>
  <c r="AE58" i="77" s="1"/>
  <c r="AD56" i="77" a="1"/>
  <c r="AD56" i="77" s="1"/>
  <c r="AD58" i="77" s="1"/>
  <c r="AC56" i="77" a="1"/>
  <c r="AC56" i="77" s="1"/>
  <c r="AC58" i="77" s="1"/>
  <c r="AB56" i="77" a="1"/>
  <c r="AB56" i="77" s="1"/>
  <c r="AB58" i="77" s="1"/>
  <c r="AA56" i="77" a="1"/>
  <c r="AA56" i="77" s="1"/>
  <c r="AA58" i="77" s="1"/>
  <c r="Z56" i="77" a="1"/>
  <c r="Z56" i="77" s="1"/>
  <c r="Z58" i="77" s="1"/>
  <c r="Y56" i="77" a="1"/>
  <c r="Y56" i="77" s="1"/>
  <c r="Y58" i="77" s="1"/>
  <c r="X56" i="77" a="1"/>
  <c r="X56" i="77" s="1"/>
  <c r="X58" i="77" s="1"/>
  <c r="W56" i="77" a="1"/>
  <c r="W56" i="77" s="1"/>
  <c r="W58" i="77" s="1"/>
  <c r="V56" i="77" a="1"/>
  <c r="V56" i="77" s="1"/>
  <c r="V58" i="77" s="1"/>
  <c r="U56" i="77" a="1"/>
  <c r="U56" i="77" s="1"/>
  <c r="U58" i="77" s="1"/>
  <c r="T56" i="77" a="1"/>
  <c r="T56" i="77" s="1"/>
  <c r="T58" i="77" s="1"/>
  <c r="S56" i="77" a="1"/>
  <c r="S56" i="77" s="1"/>
  <c r="S58" i="77" s="1"/>
  <c r="R56" i="77" a="1"/>
  <c r="R56" i="77" s="1"/>
  <c r="R58" i="77" s="1"/>
  <c r="Q56" i="77" a="1"/>
  <c r="Q56" i="77" s="1"/>
  <c r="Q58" i="77" s="1"/>
  <c r="P56" i="77" a="1"/>
  <c r="P56" i="77" s="1"/>
  <c r="P58" i="77" s="1"/>
  <c r="O56" i="77" a="1"/>
  <c r="O56" i="77" s="1"/>
  <c r="O58" i="77" s="1"/>
  <c r="N56" i="77" a="1"/>
  <c r="N56" i="77" s="1"/>
  <c r="N58" i="77" s="1"/>
  <c r="M56" i="77" a="1"/>
  <c r="M56" i="77" s="1"/>
  <c r="M58" i="77" s="1"/>
  <c r="L56" i="77" a="1"/>
  <c r="L56" i="77" s="1"/>
  <c r="L58" i="77" s="1"/>
  <c r="K56" i="77" a="1"/>
  <c r="K56" i="77" s="1"/>
  <c r="K58" i="77" s="1"/>
  <c r="J56" i="77" a="1"/>
  <c r="J56" i="77" s="1"/>
  <c r="I56" i="77" a="1"/>
  <c r="I56" i="77" s="1"/>
  <c r="I58" i="77" s="1"/>
  <c r="H56" i="77" a="1"/>
  <c r="H56" i="77" s="1"/>
  <c r="G56" i="77" a="1"/>
  <c r="G56" i="77" s="1"/>
  <c r="G58" i="77" s="1"/>
  <c r="F56" i="77" a="1"/>
  <c r="F56" i="77" s="1"/>
  <c r="M52" i="99"/>
  <c r="M53" i="99" s="1"/>
  <c r="M61" i="99"/>
  <c r="L61" i="99"/>
  <c r="L52" i="99"/>
  <c r="L53" i="99" s="1"/>
  <c r="N52" i="99"/>
  <c r="N53" i="99" s="1"/>
  <c r="N61" i="99"/>
  <c r="AP4" i="98"/>
  <c r="AP19" i="98" s="1"/>
  <c r="K61" i="99"/>
  <c r="K52" i="99"/>
  <c r="K53" i="99" s="1"/>
  <c r="AO4" i="98"/>
  <c r="AO19" i="98" s="1"/>
  <c r="F61" i="99"/>
  <c r="F52" i="99"/>
  <c r="F53" i="99" s="1"/>
  <c r="G61" i="99"/>
  <c r="G52" i="99"/>
  <c r="G53" i="99" s="1"/>
  <c r="P61" i="99"/>
  <c r="P52" i="99"/>
  <c r="P53" i="99" s="1"/>
  <c r="H52" i="99"/>
  <c r="H53" i="99" s="1"/>
  <c r="AN4" i="98"/>
  <c r="AN19" i="98" s="1"/>
  <c r="H61" i="99"/>
  <c r="O52" i="99"/>
  <c r="O53" i="99" s="1"/>
  <c r="O61" i="99"/>
  <c r="I52" i="99"/>
  <c r="I53" i="99" s="1"/>
  <c r="I61" i="99"/>
  <c r="J52" i="99"/>
  <c r="J53" i="99" s="1"/>
  <c r="J61" i="99"/>
  <c r="AI52" i="26"/>
  <c r="AI61" i="26"/>
  <c r="O52" i="26"/>
  <c r="O61" i="26"/>
  <c r="AG61" i="26"/>
  <c r="AG52" i="26"/>
  <c r="AF52" i="26"/>
  <c r="AF61" i="26"/>
  <c r="W52" i="26"/>
  <c r="W61" i="26"/>
  <c r="AA52" i="26"/>
  <c r="AA61" i="26"/>
  <c r="AE52" i="26"/>
  <c r="AE61" i="26"/>
  <c r="F52" i="26"/>
  <c r="F61" i="26"/>
  <c r="V61" i="26"/>
  <c r="V52" i="26"/>
  <c r="T52" i="26"/>
  <c r="T61" i="26"/>
  <c r="G61" i="26"/>
  <c r="G52" i="26"/>
  <c r="R52" i="26"/>
  <c r="R61" i="26"/>
  <c r="AH61" i="26"/>
  <c r="AH52" i="26"/>
  <c r="AK52" i="26"/>
  <c r="AK61" i="26"/>
  <c r="AM61" i="26"/>
  <c r="AM52" i="26"/>
  <c r="AM53" i="26" s="1"/>
  <c r="AC61" i="26"/>
  <c r="AC52" i="26"/>
  <c r="N52" i="26"/>
  <c r="N61" i="26"/>
  <c r="M61" i="26"/>
  <c r="M52" i="26"/>
  <c r="K61" i="26"/>
  <c r="K52" i="26"/>
  <c r="S61" i="26"/>
  <c r="S52" i="26"/>
  <c r="AJ52" i="26"/>
  <c r="AJ61" i="26"/>
  <c r="AD52" i="26"/>
  <c r="AD61" i="26"/>
  <c r="AL61" i="26"/>
  <c r="AL52" i="26"/>
  <c r="I52" i="26"/>
  <c r="I61" i="26"/>
  <c r="AN61" i="26"/>
  <c r="AN52" i="26"/>
  <c r="AN53" i="26" s="1"/>
  <c r="U61" i="26"/>
  <c r="U52" i="26"/>
  <c r="X52" i="26"/>
  <c r="X61" i="26"/>
  <c r="H52" i="26"/>
  <c r="H61" i="26"/>
  <c r="Q61" i="26"/>
  <c r="Q52" i="26"/>
  <c r="Q53" i="26" s="1"/>
  <c r="AB52" i="26"/>
  <c r="AB61" i="26"/>
  <c r="L61" i="26"/>
  <c r="L52" i="26"/>
  <c r="J61" i="26"/>
  <c r="J52" i="26"/>
  <c r="Z61" i="26"/>
  <c r="Z52" i="26"/>
  <c r="Y61" i="26"/>
  <c r="Y52" i="26"/>
  <c r="P52" i="26"/>
  <c r="P61" i="26"/>
  <c r="E52" i="26"/>
  <c r="E61" i="26"/>
  <c r="AM4" i="98"/>
  <c r="E61" i="99"/>
  <c r="E52" i="99"/>
  <c r="E53" i="99" s="1"/>
  <c r="AQ35" i="26" a="1"/>
  <c r="AQ35" i="26" s="1"/>
  <c r="AQ37" i="26" s="1"/>
  <c r="AV4" i="98"/>
  <c r="H52" i="100"/>
  <c r="H53" i="100" s="1"/>
  <c r="H61" i="100"/>
  <c r="O52" i="100"/>
  <c r="O53" i="100" s="1"/>
  <c r="O61" i="100"/>
  <c r="T61" i="100"/>
  <c r="T52" i="100"/>
  <c r="T53" i="100" s="1"/>
  <c r="Z52" i="100"/>
  <c r="Z53" i="100" s="1"/>
  <c r="Z61" i="100"/>
  <c r="X52" i="100"/>
  <c r="X53" i="100" s="1"/>
  <c r="X61" i="100"/>
  <c r="W52" i="100"/>
  <c r="W53" i="100" s="1"/>
  <c r="W61" i="100"/>
  <c r="Q52" i="100"/>
  <c r="Q53" i="100" s="1"/>
  <c r="Q61" i="100"/>
  <c r="V52" i="100"/>
  <c r="V53" i="100" s="1"/>
  <c r="V61" i="100"/>
  <c r="AB52" i="100"/>
  <c r="AB53" i="100" s="1"/>
  <c r="AB61" i="100"/>
  <c r="Y52" i="100"/>
  <c r="Y53" i="100" s="1"/>
  <c r="Y61" i="100"/>
  <c r="AF61" i="100"/>
  <c r="AF52" i="100"/>
  <c r="AF53" i="100" s="1"/>
  <c r="AG52" i="100"/>
  <c r="AG53" i="100" s="1"/>
  <c r="AG61" i="100"/>
  <c r="S52" i="100"/>
  <c r="S53" i="100" s="1"/>
  <c r="S61" i="100"/>
  <c r="R61" i="100"/>
  <c r="R52" i="100"/>
  <c r="R53" i="100" s="1"/>
  <c r="AM52" i="100"/>
  <c r="AM53" i="100" s="1"/>
  <c r="AM61" i="100"/>
  <c r="G52" i="100"/>
  <c r="G53" i="100" s="1"/>
  <c r="G61" i="100"/>
  <c r="F61" i="100"/>
  <c r="F52" i="100"/>
  <c r="F53" i="100" s="1"/>
  <c r="AL52" i="100"/>
  <c r="AL53" i="100" s="1"/>
  <c r="AL61" i="100"/>
  <c r="AE52" i="100"/>
  <c r="AE53" i="100" s="1"/>
  <c r="AE61" i="100"/>
  <c r="AJ52" i="100"/>
  <c r="AJ53" i="100" s="1"/>
  <c r="AJ61" i="100"/>
  <c r="AA61" i="100"/>
  <c r="AA52" i="100"/>
  <c r="AA53" i="100" s="1"/>
  <c r="AN61" i="100"/>
  <c r="AN52" i="100"/>
  <c r="AN53" i="100" s="1"/>
  <c r="AC61" i="100"/>
  <c r="AC52" i="100"/>
  <c r="AC53" i="100" s="1"/>
  <c r="U52" i="100"/>
  <c r="U53" i="100" s="1"/>
  <c r="U61" i="100"/>
  <c r="AI52" i="100"/>
  <c r="AI53" i="100" s="1"/>
  <c r="AI61" i="100"/>
  <c r="AH52" i="100"/>
  <c r="AH53" i="100" s="1"/>
  <c r="AH61" i="100"/>
  <c r="AD52" i="100"/>
  <c r="AD53" i="100" s="1"/>
  <c r="AD61" i="100"/>
  <c r="AK52" i="100"/>
  <c r="AK53" i="100" s="1"/>
  <c r="AK61" i="100"/>
  <c r="P52" i="100"/>
  <c r="P53" i="100" s="1"/>
  <c r="P61" i="100"/>
  <c r="K52" i="100"/>
  <c r="K53" i="100" s="1"/>
  <c r="K61" i="100"/>
  <c r="AW4" i="98"/>
  <c r="AW19" i="98" s="1"/>
  <c r="J61" i="100"/>
  <c r="J52" i="100"/>
  <c r="J53" i="100" s="1"/>
  <c r="I52" i="100"/>
  <c r="I53" i="100" s="1"/>
  <c r="I61" i="100"/>
  <c r="N52" i="100"/>
  <c r="N53" i="100" s="1"/>
  <c r="AX4" i="98"/>
  <c r="AX19" i="98" s="1"/>
  <c r="N61" i="100"/>
  <c r="L61" i="100"/>
  <c r="L52" i="100"/>
  <c r="L53" i="100" s="1"/>
  <c r="M52" i="100"/>
  <c r="M53" i="100" s="1"/>
  <c r="M61" i="100"/>
  <c r="AP35" i="26" a="1"/>
  <c r="AP35" i="26" s="1"/>
  <c r="AP37" i="26" s="1"/>
  <c r="U52" i="77"/>
  <c r="U53" i="77" s="1"/>
  <c r="R52" i="77"/>
  <c r="R53" i="77" s="1"/>
  <c r="AI52" i="77"/>
  <c r="AI53" i="77" s="1"/>
  <c r="H52" i="77"/>
  <c r="H53" i="77" s="1"/>
  <c r="J52" i="77"/>
  <c r="J53" i="77" s="1"/>
  <c r="M52" i="77"/>
  <c r="M53" i="77" s="1"/>
  <c r="P52" i="77"/>
  <c r="P53" i="77" s="1"/>
  <c r="S52" i="77"/>
  <c r="S53" i="77" s="1"/>
  <c r="V52" i="77"/>
  <c r="V53" i="77" s="1"/>
  <c r="Z52" i="77"/>
  <c r="Z53" i="77" s="1"/>
  <c r="T52" i="77"/>
  <c r="T53" i="77" s="1"/>
  <c r="N52" i="77"/>
  <c r="N53" i="77" s="1"/>
  <c r="AL52" i="77"/>
  <c r="AL53" i="77" s="1"/>
  <c r="Y52" i="77"/>
  <c r="Y53" i="77" s="1"/>
  <c r="AC52" i="77"/>
  <c r="AC53" i="77" s="1"/>
  <c r="G52" i="77"/>
  <c r="G53" i="77" s="1"/>
  <c r="AD52" i="77"/>
  <c r="AD53" i="77" s="1"/>
  <c r="AN52" i="77"/>
  <c r="AN53" i="77" s="1"/>
  <c r="AG52" i="77"/>
  <c r="AG53" i="77" s="1"/>
  <c r="AK52" i="77"/>
  <c r="AK53" i="77" s="1"/>
  <c r="I52" i="77"/>
  <c r="I53" i="77" s="1"/>
  <c r="L52" i="77"/>
  <c r="L53" i="77" s="1"/>
  <c r="AJ52" i="77"/>
  <c r="AJ53" i="77" s="1"/>
  <c r="F52" i="77"/>
  <c r="F53" i="77" s="1"/>
  <c r="AE52" i="77"/>
  <c r="AE53" i="77" s="1"/>
  <c r="X52" i="77"/>
  <c r="X53" i="77" s="1"/>
  <c r="AM52" i="77"/>
  <c r="AM53" i="77" s="1"/>
  <c r="AA52" i="77"/>
  <c r="AA53" i="77" s="1"/>
  <c r="AF52" i="77"/>
  <c r="AF53" i="77" s="1"/>
  <c r="AH52" i="77"/>
  <c r="AH53" i="77" s="1"/>
  <c r="O52" i="77"/>
  <c r="O53" i="77" s="1"/>
  <c r="K52" i="77"/>
  <c r="K53" i="77" s="1"/>
  <c r="Q52" i="77"/>
  <c r="Q53" i="77" s="1"/>
  <c r="W52" i="77"/>
  <c r="W53" i="77" s="1"/>
  <c r="AB52" i="77"/>
  <c r="AB53" i="77" s="1"/>
  <c r="E37" i="77"/>
  <c r="BF4" i="69"/>
  <c r="AU4" i="98"/>
  <c r="AU19" i="98" s="1"/>
  <c r="E52" i="100"/>
  <c r="E53" i="100" s="1"/>
  <c r="E61" i="100"/>
  <c r="E66" i="100" s="1"/>
  <c r="E52" i="77"/>
  <c r="E53" i="77" s="1"/>
  <c r="O4" i="96" a="1"/>
  <c r="O4" i="96" s="1"/>
  <c r="BB4" i="69" a="1"/>
  <c r="BB4" i="69" s="1"/>
  <c r="E56" i="77" a="1"/>
  <c r="E56" i="77" s="1"/>
  <c r="E58" i="77" s="1"/>
  <c r="AV19" i="98" l="1"/>
  <c r="AY4" i="98"/>
  <c r="AY19" i="98" s="1"/>
  <c r="AY20" i="98" s="1"/>
  <c r="N30" i="84" a="1"/>
  <c r="N30" i="84" s="1"/>
  <c r="N32" i="84" s="1"/>
  <c r="O30" i="84" a="1"/>
  <c r="O30" i="84" s="1"/>
  <c r="P30" i="84" a="1"/>
  <c r="P30" i="84" s="1"/>
  <c r="L19" i="9"/>
  <c r="L20" i="9" s="1"/>
  <c r="L24" i="9" s="1"/>
  <c r="L31" i="9" s="1"/>
  <c r="R32" i="84"/>
  <c r="R47" i="84" s="1"/>
  <c r="R48" i="84" s="1"/>
  <c r="E62" i="100" a="1"/>
  <c r="E62" i="100" s="1"/>
  <c r="AP21" i="98"/>
  <c r="AP23" i="98" s="1"/>
  <c r="AP24" i="98" s="1"/>
  <c r="AP20" i="98"/>
  <c r="AO21" i="98"/>
  <c r="AO23" i="98" s="1"/>
  <c r="AO24" i="98" s="1"/>
  <c r="AO20" i="98"/>
  <c r="AN21" i="98"/>
  <c r="AN23" i="98" s="1"/>
  <c r="AN24" i="98" s="1"/>
  <c r="AN20" i="98"/>
  <c r="AI53" i="26"/>
  <c r="O53" i="26"/>
  <c r="AG53" i="26"/>
  <c r="AF53" i="26"/>
  <c r="W53" i="26"/>
  <c r="AA53" i="26"/>
  <c r="AE53" i="26"/>
  <c r="F53" i="26"/>
  <c r="V53" i="26"/>
  <c r="T53" i="26"/>
  <c r="G53" i="26"/>
  <c r="R53" i="26"/>
  <c r="AH53" i="26"/>
  <c r="AK53" i="26"/>
  <c r="AC53" i="26"/>
  <c r="N53" i="26"/>
  <c r="M53" i="26"/>
  <c r="K53" i="26"/>
  <c r="S53" i="26"/>
  <c r="AJ53" i="26"/>
  <c r="AD53" i="26"/>
  <c r="AL53" i="26"/>
  <c r="I53" i="26"/>
  <c r="U53" i="26"/>
  <c r="X53" i="26"/>
  <c r="H53" i="26"/>
  <c r="AB53" i="26"/>
  <c r="L53" i="26"/>
  <c r="J53" i="26"/>
  <c r="Z53" i="26"/>
  <c r="Y53" i="26"/>
  <c r="P53" i="26"/>
  <c r="E53" i="26"/>
  <c r="E62" i="26" a="1"/>
  <c r="E62" i="26" s="1"/>
  <c r="E66" i="26"/>
  <c r="AQ4" i="98"/>
  <c r="AQ19" i="98" s="1"/>
  <c r="AQ20" i="98" s="1"/>
  <c r="AM19" i="98"/>
  <c r="E66" i="99"/>
  <c r="E69" i="99" s="1"/>
  <c r="F66" i="99" s="1"/>
  <c r="F70" i="99" s="1"/>
  <c r="E62" i="99" a="1"/>
  <c r="E62" i="99" s="1"/>
  <c r="AQ52" i="26"/>
  <c r="AQ61" i="26"/>
  <c r="AP52" i="26"/>
  <c r="AP61" i="26"/>
  <c r="J58" i="77"/>
  <c r="H58" i="77"/>
  <c r="AV21" i="98"/>
  <c r="AV23" i="98" s="1"/>
  <c r="AV24" i="98" s="1"/>
  <c r="AV20" i="98"/>
  <c r="AW21" i="98"/>
  <c r="AW23" i="98" s="1"/>
  <c r="AW24" i="98" s="1"/>
  <c r="AW20" i="98"/>
  <c r="AX21" i="98"/>
  <c r="AX23" i="98" s="1"/>
  <c r="AX24" i="98" s="1"/>
  <c r="AX20" i="98"/>
  <c r="AA32" i="85"/>
  <c r="AA47" i="85" s="1"/>
  <c r="AA48" i="85" s="1"/>
  <c r="O30" i="85"/>
  <c r="O32" i="85" s="1"/>
  <c r="AD32" i="85"/>
  <c r="AD47" i="85" s="1"/>
  <c r="AD48" i="85" s="1"/>
  <c r="O19" i="9"/>
  <c r="O20" i="9" s="1"/>
  <c r="O24" i="9" s="1"/>
  <c r="O31" i="9" s="1"/>
  <c r="R30" i="85"/>
  <c r="R32" i="85" s="1"/>
  <c r="X32" i="85"/>
  <c r="X47" i="85" s="1"/>
  <c r="X48" i="85" s="1"/>
  <c r="L30" i="85"/>
  <c r="L32" i="85" s="1"/>
  <c r="AF32" i="85"/>
  <c r="AF47" i="85" s="1"/>
  <c r="AF48" i="85" s="1"/>
  <c r="T30" i="85"/>
  <c r="T32" i="85" s="1"/>
  <c r="V32" i="85"/>
  <c r="V47" i="85" s="1"/>
  <c r="V48" i="85" s="1"/>
  <c r="M19" i="9"/>
  <c r="M20" i="9" s="1"/>
  <c r="M24" i="9" s="1"/>
  <c r="M31" i="9" s="1"/>
  <c r="J30" i="85"/>
  <c r="W32" i="85"/>
  <c r="W47" i="85" s="1"/>
  <c r="W48" i="85" s="1"/>
  <c r="K30" i="85"/>
  <c r="S30" i="85"/>
  <c r="S32" i="85" s="1"/>
  <c r="AE32" i="85"/>
  <c r="AE47" i="85" s="1"/>
  <c r="AE48" i="85" s="1"/>
  <c r="AB32" i="85"/>
  <c r="AB47" i="85" s="1"/>
  <c r="AB48" i="85" s="1"/>
  <c r="P30" i="85"/>
  <c r="N19" i="9"/>
  <c r="N20" i="9" s="1"/>
  <c r="N24" i="9" s="1"/>
  <c r="N31" i="9" s="1"/>
  <c r="N30" i="85"/>
  <c r="Z32" i="85"/>
  <c r="Z47" i="85" s="1"/>
  <c r="Z48" i="85" s="1"/>
  <c r="J47" i="84"/>
  <c r="L47" i="84"/>
  <c r="K47" i="84"/>
  <c r="AU20" i="98"/>
  <c r="AU21" i="98"/>
  <c r="E67" i="100"/>
  <c r="E70" i="100"/>
  <c r="E69" i="100"/>
  <c r="F66" i="100" s="1"/>
  <c r="F69" i="100" l="1"/>
  <c r="F70" i="100"/>
  <c r="F69" i="99"/>
  <c r="G66" i="99" s="1"/>
  <c r="AM21" i="98"/>
  <c r="AM20" i="98"/>
  <c r="E67" i="99"/>
  <c r="E70" i="99"/>
  <c r="AQ53" i="26"/>
  <c r="AP53" i="26"/>
  <c r="AH21" i="98"/>
  <c r="AH23" i="98" s="1"/>
  <c r="AH24" i="98" s="1"/>
  <c r="AG21" i="98"/>
  <c r="AG23" i="98" s="1"/>
  <c r="AG24" i="98" s="1"/>
  <c r="AF21" i="98"/>
  <c r="AF23" i="98" s="1"/>
  <c r="AF24" i="98" s="1"/>
  <c r="E67" i="26"/>
  <c r="E70" i="26"/>
  <c r="E69" i="26"/>
  <c r="F66" i="26" s="1"/>
  <c r="N47" i="84"/>
  <c r="H30" i="84"/>
  <c r="P32" i="84"/>
  <c r="G30" i="84"/>
  <c r="O32" i="84"/>
  <c r="F58" i="77"/>
  <c r="E59" i="77" s="1" a="1"/>
  <c r="E59" i="77" s="1"/>
  <c r="EL4" i="69" a="1"/>
  <c r="DL4" i="96" a="1"/>
  <c r="DL4" i="96" s="1"/>
  <c r="F19" i="9"/>
  <c r="F18" i="9" a="1"/>
  <c r="F18" i="9" s="1"/>
  <c r="E19" i="9"/>
  <c r="N32" i="85"/>
  <c r="E18" i="9" a="1"/>
  <c r="E18" i="9" s="1"/>
  <c r="F30" i="84"/>
  <c r="F32" i="84" s="1"/>
  <c r="J19" i="9" a="1"/>
  <c r="J19" i="9" s="1"/>
  <c r="J18" i="9" a="1"/>
  <c r="J18" i="9" s="1"/>
  <c r="F30" i="85"/>
  <c r="D19" i="9"/>
  <c r="D18" i="9" a="1"/>
  <c r="D18" i="9" s="1"/>
  <c r="J32" i="85"/>
  <c r="G30" i="85"/>
  <c r="K32" i="85"/>
  <c r="P32" i="85"/>
  <c r="H30" i="85"/>
  <c r="T54" i="85"/>
  <c r="T47" i="85"/>
  <c r="J48" i="84"/>
  <c r="O54" i="85"/>
  <c r="O47" i="85"/>
  <c r="L48" i="84"/>
  <c r="S54" i="85"/>
  <c r="S47" i="85"/>
  <c r="R47" i="85"/>
  <c r="Y5" i="98"/>
  <c r="Y22" i="98" s="1"/>
  <c r="L54" i="85"/>
  <c r="L47" i="85"/>
  <c r="K48" i="84"/>
  <c r="E54" i="100"/>
  <c r="AY21" i="98"/>
  <c r="AY23" i="98" s="1"/>
  <c r="AY24" i="98" s="1"/>
  <c r="AU23" i="98"/>
  <c r="AU24" i="98" s="1"/>
  <c r="G66" i="100" l="1"/>
  <c r="G69" i="99"/>
  <c r="G70" i="99"/>
  <c r="F69" i="26"/>
  <c r="F70" i="26"/>
  <c r="W52" i="84" a="1"/>
  <c r="W52" i="84" s="1"/>
  <c r="AH52" i="85" a="1"/>
  <c r="AH52" i="85" s="1"/>
  <c r="AH54" i="85" s="1"/>
  <c r="AE52" i="85" a="1"/>
  <c r="AE52" i="85" s="1"/>
  <c r="AA52" i="85" a="1"/>
  <c r="AA52" i="85" s="1"/>
  <c r="X52" i="85" a="1"/>
  <c r="X52" i="85" s="1"/>
  <c r="L52" i="84" a="1"/>
  <c r="L52" i="84" s="1"/>
  <c r="L54" i="84" s="1"/>
  <c r="K52" i="84" a="1"/>
  <c r="K52" i="84" s="1"/>
  <c r="K54" i="84" s="1"/>
  <c r="J52" i="84" a="1"/>
  <c r="J52" i="84" s="1"/>
  <c r="J54" i="84" s="1"/>
  <c r="S52" i="84" a="1"/>
  <c r="S52" i="84" s="1"/>
  <c r="S54" i="84" s="1"/>
  <c r="AQ52" i="85" a="1"/>
  <c r="AQ52" i="85" s="1"/>
  <c r="AQ54" i="85" s="1"/>
  <c r="AN52" i="85" a="1"/>
  <c r="AN52" i="85" s="1"/>
  <c r="AN54" i="85" s="1"/>
  <c r="AL52" i="85" a="1"/>
  <c r="AL52" i="85" s="1"/>
  <c r="AL54" i="85" s="1"/>
  <c r="AI52" i="85" a="1"/>
  <c r="AI52" i="85" s="1"/>
  <c r="AI54" i="85" s="1"/>
  <c r="T52" i="84" a="1"/>
  <c r="T52" i="84" s="1"/>
  <c r="T54" i="84" s="1"/>
  <c r="R52" i="84" a="1"/>
  <c r="R52" i="84" s="1"/>
  <c r="R54" i="84" s="1"/>
  <c r="AR52" i="85" a="1"/>
  <c r="AR52" i="85" s="1"/>
  <c r="AR54" i="85" s="1"/>
  <c r="AP52" i="85" a="1"/>
  <c r="AP52" i="85" s="1"/>
  <c r="AP54" i="85" s="1"/>
  <c r="AM52" i="85" a="1"/>
  <c r="AM52" i="85" s="1"/>
  <c r="AM54" i="85" s="1"/>
  <c r="AJ52" i="85" a="1"/>
  <c r="AJ52" i="85" s="1"/>
  <c r="AJ54" i="85" s="1"/>
  <c r="AB52" i="85" a="1"/>
  <c r="AB52" i="85" s="1"/>
  <c r="W52" i="85" a="1"/>
  <c r="W52" i="85" s="1"/>
  <c r="X52" i="84" a="1"/>
  <c r="X52" i="84" s="1"/>
  <c r="V52" i="84" a="1"/>
  <c r="V52" i="84" s="1"/>
  <c r="AF52" i="85" a="1"/>
  <c r="AF52" i="85" s="1"/>
  <c r="AD52" i="85" a="1"/>
  <c r="AD52" i="85" s="1"/>
  <c r="Z52" i="85" a="1"/>
  <c r="Z52" i="85" s="1"/>
  <c r="V52" i="85" a="1"/>
  <c r="V52" i="85" s="1"/>
  <c r="J20" i="9"/>
  <c r="J24" i="9" s="1"/>
  <c r="J28" i="9" s="1"/>
  <c r="J29" i="9" s="1"/>
  <c r="J31" i="9" s="1"/>
  <c r="J32" i="9" s="1"/>
  <c r="E20" i="9"/>
  <c r="E24" i="9" s="1"/>
  <c r="E31" i="9" s="1"/>
  <c r="E32" i="9" s="1"/>
  <c r="F20" i="9"/>
  <c r="F24" i="9" s="1"/>
  <c r="F31" i="9" s="1"/>
  <c r="F32" i="9" s="1"/>
  <c r="I19" i="9"/>
  <c r="AQ21" i="98"/>
  <c r="AQ23" i="98" s="1"/>
  <c r="AQ24" i="98" s="1"/>
  <c r="AE21" i="98"/>
  <c r="AM23" i="98"/>
  <c r="AM24" i="98" s="1"/>
  <c r="E54" i="99"/>
  <c r="E54" i="26"/>
  <c r="N48" i="84"/>
  <c r="H32" i="84"/>
  <c r="O30" i="34"/>
  <c r="O32" i="34" s="1"/>
  <c r="O47" i="34" s="1"/>
  <c r="P47" i="84"/>
  <c r="G32" i="84"/>
  <c r="N30" i="34"/>
  <c r="N32" i="34" s="1"/>
  <c r="N47" i="34" s="1"/>
  <c r="O47" i="84"/>
  <c r="V5" i="98"/>
  <c r="F47" i="84"/>
  <c r="F48" i="84" s="1"/>
  <c r="EL4" i="69"/>
  <c r="X5" i="98"/>
  <c r="X22" i="98" s="1"/>
  <c r="N47" i="85"/>
  <c r="N48" i="85" s="1"/>
  <c r="C18" i="9" a="1"/>
  <c r="C18" i="9" s="1"/>
  <c r="M30" i="34"/>
  <c r="M32" i="34" s="1"/>
  <c r="M47" i="34" s="1"/>
  <c r="C19" i="9"/>
  <c r="H19" i="9" s="1"/>
  <c r="F32" i="85"/>
  <c r="Q30" i="34"/>
  <c r="Q32" i="34" s="1"/>
  <c r="Q47" i="34" s="1"/>
  <c r="I18" i="9"/>
  <c r="D20" i="9"/>
  <c r="D24" i="9" s="1"/>
  <c r="D31" i="9" s="1"/>
  <c r="D32" i="9" s="1"/>
  <c r="J47" i="85"/>
  <c r="J48" i="85" s="1"/>
  <c r="W5" i="98"/>
  <c r="W22" i="98" s="1"/>
  <c r="G32" i="85"/>
  <c r="R30" i="34"/>
  <c r="K54" i="85"/>
  <c r="K47" i="85"/>
  <c r="P54" i="85"/>
  <c r="P47" i="85"/>
  <c r="S30" i="34"/>
  <c r="H32" i="85"/>
  <c r="T48" i="85"/>
  <c r="O48" i="85"/>
  <c r="S48" i="85"/>
  <c r="R48" i="85"/>
  <c r="Y24" i="98"/>
  <c r="Y26" i="98" s="1"/>
  <c r="Y27" i="98" s="1"/>
  <c r="Y23" i="98"/>
  <c r="L48" i="85"/>
  <c r="E56" i="100"/>
  <c r="F65" i="100"/>
  <c r="F67" i="100" s="1"/>
  <c r="F65" i="26" l="1"/>
  <c r="F67" i="26" s="1"/>
  <c r="G70" i="100"/>
  <c r="G69" i="100"/>
  <c r="H66" i="99"/>
  <c r="G66" i="26"/>
  <c r="P52" i="84" a="1"/>
  <c r="P52" i="84" s="1"/>
  <c r="N52" i="84" a="1"/>
  <c r="N52" i="84" s="1"/>
  <c r="O52" i="84" a="1"/>
  <c r="O52" i="84" s="1"/>
  <c r="I20" i="9"/>
  <c r="I24" i="9" s="1"/>
  <c r="I31" i="9" s="1"/>
  <c r="I32" i="9" s="1"/>
  <c r="AI21" i="98"/>
  <c r="AI23" i="98" s="1"/>
  <c r="AI24" i="98" s="1"/>
  <c r="AE23" i="98"/>
  <c r="AE24" i="98" s="1"/>
  <c r="E56" i="26"/>
  <c r="F54" i="26"/>
  <c r="H47" i="84"/>
  <c r="H48" i="84" s="1"/>
  <c r="O48" i="34"/>
  <c r="O49" i="34"/>
  <c r="P48" i="84"/>
  <c r="G47" i="84"/>
  <c r="G48" i="84" s="1"/>
  <c r="N48" i="34"/>
  <c r="N49" i="34"/>
  <c r="O48" i="84"/>
  <c r="AA5" i="98"/>
  <c r="AA22" i="98" s="1"/>
  <c r="V22" i="98"/>
  <c r="E30" i="34"/>
  <c r="E32" i="34" s="1"/>
  <c r="E56" i="99"/>
  <c r="F65" i="99"/>
  <c r="F67" i="99" s="1"/>
  <c r="M48" i="34"/>
  <c r="M49" i="34"/>
  <c r="M50" i="34" s="1"/>
  <c r="R32" i="34"/>
  <c r="R47" i="34" s="1"/>
  <c r="F30" i="34"/>
  <c r="F32" i="34" s="1"/>
  <c r="S32" i="34"/>
  <c r="S47" i="34" s="1"/>
  <c r="G30" i="34"/>
  <c r="AL55" i="85"/>
  <c r="AM55" i="85"/>
  <c r="AN55" i="85"/>
  <c r="R52" i="85"/>
  <c r="AD54" i="85"/>
  <c r="X54" i="84"/>
  <c r="V54" i="84"/>
  <c r="W54" i="84"/>
  <c r="AB54" i="85"/>
  <c r="P52" i="85"/>
  <c r="Z54" i="85"/>
  <c r="N52" i="85"/>
  <c r="N54" i="85" s="1"/>
  <c r="AQ55" i="85"/>
  <c r="AP55" i="85"/>
  <c r="AR55" i="85"/>
  <c r="S55" i="84"/>
  <c r="R55" i="84"/>
  <c r="T55" i="84"/>
  <c r="X54" i="85"/>
  <c r="L52" i="85"/>
  <c r="S52" i="85"/>
  <c r="AE54" i="85"/>
  <c r="W54" i="85"/>
  <c r="K52" i="85"/>
  <c r="T52" i="85"/>
  <c r="AF54" i="85"/>
  <c r="AA54" i="85"/>
  <c r="O52" i="85"/>
  <c r="AI55" i="85"/>
  <c r="AH55" i="85"/>
  <c r="AJ55" i="85"/>
  <c r="V54" i="85"/>
  <c r="J52" i="85"/>
  <c r="J54" i="85" s="1"/>
  <c r="X23" i="98"/>
  <c r="X24" i="98"/>
  <c r="X26" i="98" s="1"/>
  <c r="X27" i="98" s="1"/>
  <c r="C20" i="9"/>
  <c r="C24" i="9" s="1"/>
  <c r="H18" i="9"/>
  <c r="H20" i="9" s="1"/>
  <c r="H24" i="9" s="1"/>
  <c r="H31" i="9" s="1"/>
  <c r="H32" i="9" s="1"/>
  <c r="F47" i="85"/>
  <c r="Q49" i="34"/>
  <c r="Q50" i="34" s="1"/>
  <c r="Q48" i="34"/>
  <c r="W23" i="98"/>
  <c r="W24" i="98"/>
  <c r="W26" i="98" s="1"/>
  <c r="W27" i="98" s="1"/>
  <c r="G47" i="85"/>
  <c r="K48" i="85"/>
  <c r="P48" i="85"/>
  <c r="H47" i="85"/>
  <c r="F54" i="100"/>
  <c r="H66" i="100" l="1"/>
  <c r="G70" i="26"/>
  <c r="G69" i="26"/>
  <c r="H66" i="26"/>
  <c r="H70" i="99"/>
  <c r="H69" i="99"/>
  <c r="H52" i="84"/>
  <c r="H54" i="84" s="1"/>
  <c r="P54" i="84"/>
  <c r="G52" i="84"/>
  <c r="G54" i="84" s="1"/>
  <c r="O54" i="84"/>
  <c r="R49" i="34"/>
  <c r="R48" i="34"/>
  <c r="S48" i="34"/>
  <c r="S49" i="34"/>
  <c r="F48" i="85"/>
  <c r="G52" i="85"/>
  <c r="G54" i="85" s="1"/>
  <c r="X55" i="85"/>
  <c r="W55" i="85"/>
  <c r="V55" i="85"/>
  <c r="O50" i="34"/>
  <c r="N50" i="34"/>
  <c r="AA23" i="98"/>
  <c r="AA26" i="98"/>
  <c r="AA27" i="98" s="1"/>
  <c r="V24" i="98"/>
  <c r="V23" i="98"/>
  <c r="E56" i="34"/>
  <c r="E47" i="34"/>
  <c r="F54" i="99"/>
  <c r="M51" i="34"/>
  <c r="M57" i="34"/>
  <c r="F56" i="34"/>
  <c r="F47" i="34"/>
  <c r="G32" i="34"/>
  <c r="I49" i="34"/>
  <c r="F56" i="26"/>
  <c r="G65" i="26"/>
  <c r="G67" i="26" s="1"/>
  <c r="N55" i="85"/>
  <c r="E33" i="9" s="1" a="1"/>
  <c r="E33" i="9" s="1"/>
  <c r="E34" i="9" s="1"/>
  <c r="O55" i="85"/>
  <c r="P55" i="85"/>
  <c r="H52" i="85"/>
  <c r="H54" i="85" s="1"/>
  <c r="R54" i="85"/>
  <c r="F52" i="85"/>
  <c r="F54" i="85" s="1"/>
  <c r="AF55" i="85"/>
  <c r="AE55" i="85"/>
  <c r="AD55" i="85"/>
  <c r="X55" i="84"/>
  <c r="W55" i="84"/>
  <c r="V55" i="84"/>
  <c r="F52" i="84"/>
  <c r="F54" i="84" s="1"/>
  <c r="N54" i="84"/>
  <c r="AB55" i="85"/>
  <c r="AA55" i="85"/>
  <c r="Z55" i="85"/>
  <c r="H48" i="85"/>
  <c r="G48" i="85"/>
  <c r="N32" i="9"/>
  <c r="C31" i="9"/>
  <c r="C32" i="9" s="1"/>
  <c r="L32" i="9"/>
  <c r="M32" i="9"/>
  <c r="O32" i="9"/>
  <c r="Q51" i="34"/>
  <c r="Q57" i="34"/>
  <c r="J55" i="85"/>
  <c r="K55" i="85"/>
  <c r="L55" i="85"/>
  <c r="F56" i="100"/>
  <c r="G65" i="100"/>
  <c r="G67" i="100" s="1"/>
  <c r="H70" i="100" l="1"/>
  <c r="H69" i="100"/>
  <c r="I66" i="100" s="1"/>
  <c r="H70" i="26"/>
  <c r="H69" i="26"/>
  <c r="I66" i="26"/>
  <c r="I66" i="99"/>
  <c r="L55" i="84"/>
  <c r="K55" i="84"/>
  <c r="J55" i="84"/>
  <c r="R50" i="34"/>
  <c r="J49" i="34"/>
  <c r="S50" i="34"/>
  <c r="K49" i="34"/>
  <c r="O51" i="34"/>
  <c r="O57" i="34"/>
  <c r="N51" i="34"/>
  <c r="N57" i="34"/>
  <c r="E48" i="34"/>
  <c r="F48" i="34"/>
  <c r="G47" i="34"/>
  <c r="G56" i="34"/>
  <c r="E49" i="34"/>
  <c r="E50" i="34" s="1"/>
  <c r="I50" i="34"/>
  <c r="G54" i="26"/>
  <c r="U24" i="98"/>
  <c r="U26" i="98" s="1"/>
  <c r="U27" i="98" s="1"/>
  <c r="V26" i="98"/>
  <c r="V27" i="98" s="1"/>
  <c r="F56" i="99"/>
  <c r="G65" i="99"/>
  <c r="G67" i="99" s="1"/>
  <c r="H55" i="85"/>
  <c r="G55" i="85"/>
  <c r="F55" i="85"/>
  <c r="O55" i="84"/>
  <c r="P55" i="84"/>
  <c r="N55" i="84"/>
  <c r="C33" i="9" s="1" a="1"/>
  <c r="C33" i="9" s="1"/>
  <c r="S55" i="85"/>
  <c r="T55" i="85"/>
  <c r="R55" i="85"/>
  <c r="I33" i="9" s="1" a="1"/>
  <c r="I33" i="9" s="1"/>
  <c r="I34" i="9" s="1"/>
  <c r="H55" i="84"/>
  <c r="G55" i="84"/>
  <c r="F55" i="84"/>
  <c r="D33" i="9" a="1"/>
  <c r="D33" i="9" s="1"/>
  <c r="D34" i="9" s="1"/>
  <c r="G54" i="100"/>
  <c r="H65" i="26" l="1"/>
  <c r="H67" i="26" s="1"/>
  <c r="I70" i="100"/>
  <c r="I69" i="100"/>
  <c r="I70" i="26"/>
  <c r="I69" i="26"/>
  <c r="J66" i="26" s="1"/>
  <c r="J50" i="34"/>
  <c r="F49" i="34"/>
  <c r="F50" i="34" s="1"/>
  <c r="S51" i="34"/>
  <c r="S57" i="34"/>
  <c r="G49" i="34"/>
  <c r="G50" i="34" s="1"/>
  <c r="K50" i="34"/>
  <c r="I70" i="99"/>
  <c r="I69" i="99"/>
  <c r="R51" i="34"/>
  <c r="R57" i="34"/>
  <c r="H33" i="9"/>
  <c r="H34" i="9" s="1"/>
  <c r="C34" i="9"/>
  <c r="E51" i="34"/>
  <c r="G48" i="34"/>
  <c r="I51" i="34"/>
  <c r="I57" i="34"/>
  <c r="G56" i="26"/>
  <c r="H54" i="26"/>
  <c r="G54" i="99"/>
  <c r="F33" i="9" a="1"/>
  <c r="F33" i="9" s="1"/>
  <c r="F34" i="9" s="1"/>
  <c r="G56" i="100"/>
  <c r="H65" i="100"/>
  <c r="H67" i="100" s="1"/>
  <c r="J51" i="34" l="1"/>
  <c r="J57" i="34"/>
  <c r="F51" i="34"/>
  <c r="J66" i="100"/>
  <c r="K57" i="34"/>
  <c r="K51" i="34"/>
  <c r="J70" i="26"/>
  <c r="J69" i="26"/>
  <c r="I58" i="34" a="1"/>
  <c r="I58" i="34" s="1"/>
  <c r="G56" i="99"/>
  <c r="H65" i="99"/>
  <c r="H67" i="99" s="1"/>
  <c r="H54" i="99" s="1"/>
  <c r="G51" i="34"/>
  <c r="H56" i="26"/>
  <c r="I65" i="26"/>
  <c r="I67" i="26" s="1"/>
  <c r="H54" i="100"/>
  <c r="J70" i="100" l="1"/>
  <c r="J69" i="100"/>
  <c r="K66" i="26"/>
  <c r="I54" i="26"/>
  <c r="H56" i="99"/>
  <c r="I65" i="99"/>
  <c r="I67" i="99" s="1"/>
  <c r="H56" i="100"/>
  <c r="I65" i="100"/>
  <c r="I67" i="100" s="1"/>
  <c r="J65" i="26" l="1"/>
  <c r="J67" i="26" s="1"/>
  <c r="K66" i="100"/>
  <c r="K70" i="26"/>
  <c r="K69" i="26"/>
  <c r="I56" i="26"/>
  <c r="J54" i="26"/>
  <c r="I54" i="99"/>
  <c r="I54" i="100"/>
  <c r="K70" i="100" l="1"/>
  <c r="K69" i="100"/>
  <c r="L66" i="26"/>
  <c r="J56" i="26"/>
  <c r="K65" i="26"/>
  <c r="K67" i="26" s="1"/>
  <c r="K54" i="26" s="1"/>
  <c r="I56" i="99"/>
  <c r="J65" i="99"/>
  <c r="I56" i="100"/>
  <c r="J65" i="100"/>
  <c r="J67" i="100" s="1"/>
  <c r="L65" i="26" l="1"/>
  <c r="L66" i="100"/>
  <c r="L67" i="26"/>
  <c r="L54" i="26" s="1"/>
  <c r="L70" i="26"/>
  <c r="L69" i="26"/>
  <c r="J66" i="99"/>
  <c r="J67" i="99" s="1"/>
  <c r="J54" i="99" s="1"/>
  <c r="K56" i="26"/>
  <c r="J54" i="100"/>
  <c r="L70" i="100" l="1"/>
  <c r="L69" i="100"/>
  <c r="M66" i="26"/>
  <c r="J69" i="99"/>
  <c r="J70" i="99"/>
  <c r="L56" i="26"/>
  <c r="M65" i="26"/>
  <c r="J56" i="99"/>
  <c r="K65" i="99"/>
  <c r="J56" i="100"/>
  <c r="K65" i="100"/>
  <c r="K67" i="100" s="1"/>
  <c r="M66" i="100" l="1"/>
  <c r="M67" i="26"/>
  <c r="M54" i="26" s="1"/>
  <c r="N65" i="26" s="1"/>
  <c r="M70" i="26"/>
  <c r="M69" i="26"/>
  <c r="K66" i="99"/>
  <c r="K67" i="99" s="1"/>
  <c r="K54" i="99" s="1"/>
  <c r="K54" i="100"/>
  <c r="M70" i="100" l="1"/>
  <c r="M69" i="100"/>
  <c r="N66" i="26"/>
  <c r="N69" i="26" s="1"/>
  <c r="K69" i="99"/>
  <c r="K70" i="99"/>
  <c r="M56" i="26"/>
  <c r="K56" i="99"/>
  <c r="L65" i="99"/>
  <c r="K56" i="100"/>
  <c r="L65" i="100"/>
  <c r="L67" i="100" s="1"/>
  <c r="N66" i="100" l="1"/>
  <c r="O66" i="26"/>
  <c r="N67" i="26"/>
  <c r="N70" i="26"/>
  <c r="L66" i="99"/>
  <c r="L67" i="99" s="1"/>
  <c r="L54" i="100"/>
  <c r="N70" i="100" l="1"/>
  <c r="N69" i="100"/>
  <c r="N54" i="26"/>
  <c r="L54" i="99"/>
  <c r="L69" i="99"/>
  <c r="L70" i="99"/>
  <c r="O70" i="26"/>
  <c r="O69" i="26"/>
  <c r="L56" i="100"/>
  <c r="M65" i="100"/>
  <c r="M67" i="100" s="1"/>
  <c r="O66" i="100" l="1"/>
  <c r="N56" i="26"/>
  <c r="O65" i="26"/>
  <c r="O67" i="26" s="1"/>
  <c r="O54" i="26" s="1"/>
  <c r="L56" i="99"/>
  <c r="M65" i="99"/>
  <c r="P66" i="26"/>
  <c r="P69" i="26" s="1"/>
  <c r="E65" i="34" s="1" a="1"/>
  <c r="E65" i="34" s="1"/>
  <c r="M54" i="100"/>
  <c r="O70" i="100" l="1"/>
  <c r="O69" i="100"/>
  <c r="M66" i="99"/>
  <c r="M67" i="99" s="1"/>
  <c r="M54" i="99" s="1"/>
  <c r="P65" i="26"/>
  <c r="P67" i="26" s="1"/>
  <c r="E62" i="34" s="1" a="1"/>
  <c r="E62" i="34" s="1"/>
  <c r="O56" i="26"/>
  <c r="AP69" i="26" a="1"/>
  <c r="AP69" i="26" s="1"/>
  <c r="Q66" i="26"/>
  <c r="P70" i="26"/>
  <c r="AP70" i="26" s="1" a="1"/>
  <c r="AP70" i="26" s="1"/>
  <c r="M56" i="100"/>
  <c r="N65" i="100"/>
  <c r="N67" i="100" s="1"/>
  <c r="P66" i="100" l="1"/>
  <c r="M70" i="99"/>
  <c r="M69" i="99"/>
  <c r="M56" i="99"/>
  <c r="N65" i="99"/>
  <c r="AP67" i="26" a="1"/>
  <c r="AP67" i="26" s="1"/>
  <c r="AP66" i="26" s="1"/>
  <c r="P54" i="26"/>
  <c r="Q70" i="26"/>
  <c r="Q69" i="26"/>
  <c r="N54" i="100"/>
  <c r="P70" i="100" l="1"/>
  <c r="P69" i="100"/>
  <c r="N66" i="99"/>
  <c r="N67" i="99" s="1"/>
  <c r="Q65" i="26"/>
  <c r="F61" i="34" s="1" a="1"/>
  <c r="F61" i="34" s="1"/>
  <c r="P56" i="26"/>
  <c r="AP54" i="26" a="1"/>
  <c r="AP54" i="26" s="1"/>
  <c r="AP56" i="26" s="1"/>
  <c r="R66" i="26"/>
  <c r="N56" i="100"/>
  <c r="O65" i="100"/>
  <c r="O67" i="100" s="1"/>
  <c r="Q66" i="100" l="1"/>
  <c r="N69" i="99"/>
  <c r="N70" i="99"/>
  <c r="N54" i="99"/>
  <c r="Q67" i="26"/>
  <c r="Q54" i="26" s="1"/>
  <c r="AQ65" i="26" a="1"/>
  <c r="AQ65" i="26" s="1"/>
  <c r="R70" i="26"/>
  <c r="R69" i="26"/>
  <c r="O54" i="100"/>
  <c r="Q70" i="100" l="1"/>
  <c r="Q69" i="100"/>
  <c r="N56" i="99"/>
  <c r="O65" i="99"/>
  <c r="S66" i="26"/>
  <c r="R65" i="26"/>
  <c r="R67" i="26" s="1"/>
  <c r="R54" i="26" s="1"/>
  <c r="Q56" i="26"/>
  <c r="O56" i="100"/>
  <c r="P65" i="100"/>
  <c r="P67" i="100" s="1"/>
  <c r="R66" i="100" l="1"/>
  <c r="O66" i="99"/>
  <c r="O67" i="99" s="1"/>
  <c r="S70" i="26"/>
  <c r="S69" i="26"/>
  <c r="R56" i="26"/>
  <c r="S65" i="26"/>
  <c r="S67" i="26" s="1"/>
  <c r="S54" i="26" s="1"/>
  <c r="P54" i="100"/>
  <c r="T65" i="26" l="1"/>
  <c r="R70" i="100"/>
  <c r="R69" i="100"/>
  <c r="O54" i="99"/>
  <c r="O69" i="99"/>
  <c r="O70" i="99"/>
  <c r="T66" i="26"/>
  <c r="S56" i="26"/>
  <c r="P56" i="100"/>
  <c r="Q65" i="100"/>
  <c r="Q67" i="100" s="1"/>
  <c r="T69" i="26" l="1"/>
  <c r="S66" i="100"/>
  <c r="O56" i="99"/>
  <c r="P65" i="99"/>
  <c r="U66" i="26"/>
  <c r="T67" i="26"/>
  <c r="T70" i="26"/>
  <c r="Q54" i="100"/>
  <c r="S70" i="100" l="1"/>
  <c r="S69" i="100"/>
  <c r="P66" i="99"/>
  <c r="P67" i="99" s="1"/>
  <c r="U70" i="26"/>
  <c r="U69" i="26"/>
  <c r="T54" i="26"/>
  <c r="Q56" i="100"/>
  <c r="R65" i="100"/>
  <c r="R67" i="100" s="1"/>
  <c r="T66" i="100" l="1"/>
  <c r="P54" i="99"/>
  <c r="P69" i="99"/>
  <c r="P70" i="99"/>
  <c r="T56" i="26"/>
  <c r="U65" i="26"/>
  <c r="U67" i="26" s="1"/>
  <c r="U54" i="26" s="1"/>
  <c r="V66" i="26"/>
  <c r="V69" i="26" s="1"/>
  <c r="R54" i="100"/>
  <c r="T70" i="100" l="1"/>
  <c r="T69" i="100"/>
  <c r="P56" i="99"/>
  <c r="Q65" i="99"/>
  <c r="V65" i="26"/>
  <c r="V67" i="26" s="1"/>
  <c r="U56" i="26"/>
  <c r="W66" i="26"/>
  <c r="V70" i="26"/>
  <c r="R56" i="100"/>
  <c r="S65" i="100"/>
  <c r="S67" i="100" s="1"/>
  <c r="U66" i="100" l="1"/>
  <c r="Q66" i="99"/>
  <c r="Q67" i="99" s="1"/>
  <c r="W70" i="26"/>
  <c r="W69" i="26"/>
  <c r="V54" i="26"/>
  <c r="S54" i="100"/>
  <c r="U70" i="100" l="1"/>
  <c r="U69" i="100"/>
  <c r="Q69" i="99"/>
  <c r="Q70" i="99"/>
  <c r="Q54" i="99"/>
  <c r="V56" i="26"/>
  <c r="W65" i="26"/>
  <c r="W67" i="26" s="1"/>
  <c r="W54" i="26" s="1"/>
  <c r="X66" i="26"/>
  <c r="X69" i="26" s="1"/>
  <c r="S56" i="100"/>
  <c r="T65" i="100"/>
  <c r="T67" i="100" s="1"/>
  <c r="V66" i="100" l="1"/>
  <c r="X65" i="26"/>
  <c r="X67" i="26" s="1"/>
  <c r="W56" i="26"/>
  <c r="Q56" i="99"/>
  <c r="R65" i="99"/>
  <c r="Y66" i="26"/>
  <c r="X70" i="26"/>
  <c r="T54" i="100"/>
  <c r="V70" i="100" l="1"/>
  <c r="V69" i="100"/>
  <c r="R66" i="99"/>
  <c r="R67" i="99" s="1"/>
  <c r="Y70" i="26"/>
  <c r="Y69" i="26"/>
  <c r="X54" i="26"/>
  <c r="T56" i="100"/>
  <c r="U65" i="100"/>
  <c r="U67" i="100" s="1"/>
  <c r="W66" i="100" l="1"/>
  <c r="R54" i="99"/>
  <c r="R69" i="99"/>
  <c r="R70" i="99"/>
  <c r="X56" i="26"/>
  <c r="Y65" i="26"/>
  <c r="Y67" i="26" s="1"/>
  <c r="Y54" i="26" s="1"/>
  <c r="Z66" i="26"/>
  <c r="Z69" i="26" s="1"/>
  <c r="U54" i="100"/>
  <c r="W70" i="100" l="1"/>
  <c r="W69" i="100"/>
  <c r="R56" i="99"/>
  <c r="S65" i="99"/>
  <c r="Z65" i="26"/>
  <c r="Z67" i="26" s="1"/>
  <c r="Y56" i="26"/>
  <c r="AA66" i="26"/>
  <c r="Z70" i="26"/>
  <c r="U56" i="100"/>
  <c r="V65" i="100"/>
  <c r="V67" i="100" s="1"/>
  <c r="X66" i="100" l="1"/>
  <c r="S66" i="99"/>
  <c r="S67" i="99" s="1"/>
  <c r="AA70" i="26"/>
  <c r="AA69" i="26"/>
  <c r="Z54" i="26"/>
  <c r="V54" i="100"/>
  <c r="X70" i="100" l="1"/>
  <c r="X69" i="100"/>
  <c r="S54" i="99"/>
  <c r="S69" i="99"/>
  <c r="S70" i="99"/>
  <c r="AA65" i="26"/>
  <c r="AA67" i="26" s="1"/>
  <c r="AA54" i="26" s="1"/>
  <c r="Z56" i="26"/>
  <c r="AB66" i="26"/>
  <c r="AB69" i="26" s="1"/>
  <c r="F65" i="34" s="1" a="1"/>
  <c r="F65" i="34" s="1"/>
  <c r="V56" i="100"/>
  <c r="W65" i="100"/>
  <c r="W67" i="100" s="1"/>
  <c r="Y66" i="100" l="1"/>
  <c r="S56" i="99"/>
  <c r="T65" i="99"/>
  <c r="AB65" i="26"/>
  <c r="AB67" i="26" s="1"/>
  <c r="F62" i="34" s="1" a="1"/>
  <c r="F62" i="34" s="1"/>
  <c r="AA56" i="26"/>
  <c r="AQ69" i="26" a="1"/>
  <c r="AQ69" i="26" s="1"/>
  <c r="AC66" i="26"/>
  <c r="AB70" i="26"/>
  <c r="AQ70" i="26" s="1" a="1"/>
  <c r="AQ70" i="26" s="1"/>
  <c r="W54" i="100"/>
  <c r="Y70" i="100" l="1"/>
  <c r="Y69" i="100"/>
  <c r="T66" i="99"/>
  <c r="T67" i="99" s="1"/>
  <c r="AQ67" i="26" a="1"/>
  <c r="AQ67" i="26" s="1"/>
  <c r="AQ66" i="26" s="1"/>
  <c r="AB54" i="26"/>
  <c r="AC70" i="26"/>
  <c r="AC69" i="26"/>
  <c r="W56" i="100"/>
  <c r="X65" i="100"/>
  <c r="X67" i="100" s="1"/>
  <c r="Z66" i="100" l="1"/>
  <c r="T54" i="99"/>
  <c r="T69" i="99"/>
  <c r="T70" i="99"/>
  <c r="AB56" i="26"/>
  <c r="AC65" i="26"/>
  <c r="AQ54" i="26" a="1"/>
  <c r="AQ54" i="26" s="1"/>
  <c r="AQ56" i="26" s="1"/>
  <c r="AD66" i="26"/>
  <c r="X54" i="100"/>
  <c r="AC67" i="26" l="1"/>
  <c r="G61" i="34" a="1"/>
  <c r="G61" i="34" s="1"/>
  <c r="AR65" i="26" a="1"/>
  <c r="AR65" i="26" s="1"/>
  <c r="Z70" i="100"/>
  <c r="Z69" i="100"/>
  <c r="T56" i="99"/>
  <c r="U65" i="99"/>
  <c r="AC54" i="26"/>
  <c r="AD70" i="26"/>
  <c r="AD69" i="26"/>
  <c r="X56" i="100"/>
  <c r="Y65" i="100"/>
  <c r="Y67" i="100" s="1"/>
  <c r="AA66" i="100" l="1"/>
  <c r="U66" i="99"/>
  <c r="U67" i="99" s="1"/>
  <c r="AC56" i="26"/>
  <c r="AD65" i="26"/>
  <c r="AD67" i="26" s="1"/>
  <c r="AE66" i="26"/>
  <c r="Y54" i="100"/>
  <c r="AA70" i="100" l="1"/>
  <c r="AA69" i="100"/>
  <c r="U54" i="99"/>
  <c r="U69" i="99"/>
  <c r="U70" i="99"/>
  <c r="AD54" i="26"/>
  <c r="AE70" i="26"/>
  <c r="AE69" i="26"/>
  <c r="Y56" i="100"/>
  <c r="Z65" i="100"/>
  <c r="Z67" i="100" s="1"/>
  <c r="AB66" i="100" l="1"/>
  <c r="AD56" i="26"/>
  <c r="AE65" i="26"/>
  <c r="AE67" i="26" s="1"/>
  <c r="AE54" i="26" s="1"/>
  <c r="U56" i="99"/>
  <c r="V65" i="99"/>
  <c r="AF66" i="26"/>
  <c r="Z54" i="100"/>
  <c r="AB70" i="100" l="1"/>
  <c r="AB69" i="100"/>
  <c r="AE56" i="26"/>
  <c r="AF65" i="26"/>
  <c r="V66" i="99"/>
  <c r="V67" i="99" s="1"/>
  <c r="AF67" i="26"/>
  <c r="AF70" i="26"/>
  <c r="AF69" i="26"/>
  <c r="Z56" i="100"/>
  <c r="AA65" i="100"/>
  <c r="AA67" i="100" s="1"/>
  <c r="AC66" i="100" l="1"/>
  <c r="V54" i="99"/>
  <c r="V69" i="99"/>
  <c r="V70" i="99"/>
  <c r="AF54" i="26"/>
  <c r="AG66" i="26"/>
  <c r="AG69" i="26" s="1"/>
  <c r="AA54" i="100"/>
  <c r="AC70" i="100" l="1"/>
  <c r="AC69" i="100"/>
  <c r="V56" i="99"/>
  <c r="W65" i="99"/>
  <c r="AF56" i="26"/>
  <c r="AG65" i="26"/>
  <c r="AH66" i="26"/>
  <c r="AG67" i="26"/>
  <c r="AG54" i="26" s="1"/>
  <c r="AG70" i="26"/>
  <c r="AA56" i="100"/>
  <c r="AB65" i="100"/>
  <c r="AB67" i="100" s="1"/>
  <c r="AD66" i="100" l="1"/>
  <c r="W66" i="99"/>
  <c r="W67" i="99" s="1"/>
  <c r="AH65" i="26"/>
  <c r="AH67" i="26" s="1"/>
  <c r="AH54" i="26" s="1"/>
  <c r="AG56" i="26"/>
  <c r="AH70" i="26"/>
  <c r="AH69" i="26"/>
  <c r="AB54" i="100"/>
  <c r="AD70" i="100" l="1"/>
  <c r="AD69" i="100"/>
  <c r="AE66" i="100" s="1"/>
  <c r="W54" i="99"/>
  <c r="W69" i="99"/>
  <c r="W70" i="99"/>
  <c r="AI66" i="26"/>
  <c r="AH56" i="26"/>
  <c r="AI65" i="26"/>
  <c r="AB56" i="100"/>
  <c r="AC65" i="100"/>
  <c r="AC67" i="100" s="1"/>
  <c r="AE70" i="100" l="1"/>
  <c r="AE69" i="100"/>
  <c r="W56" i="99"/>
  <c r="X65" i="99"/>
  <c r="AI67" i="26"/>
  <c r="AI54" i="26" s="1"/>
  <c r="AI70" i="26"/>
  <c r="AI69" i="26"/>
  <c r="AC54" i="100"/>
  <c r="AF66" i="100" l="1"/>
  <c r="X66" i="99"/>
  <c r="X67" i="99" s="1"/>
  <c r="AJ66" i="26"/>
  <c r="AI56" i="26"/>
  <c r="AJ65" i="26"/>
  <c r="AC56" i="100"/>
  <c r="AD65" i="100"/>
  <c r="AD67" i="100" s="1"/>
  <c r="AF70" i="100" l="1"/>
  <c r="AF69" i="100"/>
  <c r="X54" i="99"/>
  <c r="X69" i="99"/>
  <c r="X70" i="99"/>
  <c r="AJ67" i="26"/>
  <c r="AJ54" i="26" s="1"/>
  <c r="AJ70" i="26"/>
  <c r="AJ69" i="26"/>
  <c r="AK66" i="26" s="1"/>
  <c r="AD54" i="100"/>
  <c r="AG66" i="100" l="1"/>
  <c r="X56" i="99"/>
  <c r="Y65" i="99"/>
  <c r="AK69" i="26"/>
  <c r="AK70" i="26"/>
  <c r="AJ56" i="26"/>
  <c r="AK65" i="26"/>
  <c r="AK67" i="26" s="1"/>
  <c r="AK54" i="26" s="1"/>
  <c r="AD56" i="100"/>
  <c r="AE65" i="100"/>
  <c r="AE67" i="100" s="1"/>
  <c r="AG70" i="100" l="1"/>
  <c r="AG69" i="100"/>
  <c r="Y66" i="99"/>
  <c r="Y67" i="99" s="1"/>
  <c r="AL66" i="26"/>
  <c r="AL65" i="26"/>
  <c r="AK56" i="26"/>
  <c r="AE54" i="100"/>
  <c r="AH66" i="100" l="1"/>
  <c r="AH70" i="100" s="1"/>
  <c r="AH69" i="100"/>
  <c r="Y54" i="99"/>
  <c r="Y69" i="99"/>
  <c r="Y70" i="99"/>
  <c r="AL67" i="26"/>
  <c r="AL54" i="26" s="1"/>
  <c r="AL70" i="26"/>
  <c r="AL69" i="26"/>
  <c r="AI66" i="100"/>
  <c r="AE56" i="100"/>
  <c r="AF65" i="100"/>
  <c r="AF67" i="100" s="1"/>
  <c r="Y56" i="99" l="1"/>
  <c r="Z65" i="99"/>
  <c r="AM66" i="26"/>
  <c r="AI70" i="100"/>
  <c r="AI69" i="100"/>
  <c r="AL56" i="26"/>
  <c r="AM65" i="26"/>
  <c r="AF54" i="100"/>
  <c r="Z66" i="99" l="1"/>
  <c r="Z67" i="99" s="1"/>
  <c r="AM67" i="26"/>
  <c r="AM70" i="26"/>
  <c r="AM69" i="26"/>
  <c r="AJ66" i="100"/>
  <c r="AF56" i="100"/>
  <c r="AG65" i="100"/>
  <c r="AG67" i="100" s="1"/>
  <c r="Z54" i="99" l="1"/>
  <c r="Z69" i="99"/>
  <c r="Z70" i="99"/>
  <c r="AN66" i="26"/>
  <c r="AM54" i="26"/>
  <c r="AJ70" i="100"/>
  <c r="AJ69" i="100"/>
  <c r="AK66" i="100" s="1"/>
  <c r="AG54" i="100"/>
  <c r="E63" i="34" l="1" a="1"/>
  <c r="E63" i="34" s="1"/>
  <c r="F63" i="34" a="1"/>
  <c r="F63" i="34" s="1"/>
  <c r="G63" i="34" a="1"/>
  <c r="G63" i="34" s="1"/>
  <c r="Z56" i="99"/>
  <c r="AA65" i="99"/>
  <c r="AM56" i="26"/>
  <c r="AN65" i="26"/>
  <c r="AN67" i="26" s="1"/>
  <c r="AN70" i="26"/>
  <c r="AR70" i="26" s="1" a="1"/>
  <c r="AR70" i="26" s="1"/>
  <c r="AN69" i="26"/>
  <c r="AK69" i="100"/>
  <c r="AK70" i="100"/>
  <c r="AG56" i="100"/>
  <c r="AH65" i="100"/>
  <c r="AH67" i="100" s="1"/>
  <c r="AN54" i="26" l="1"/>
  <c r="AR67" i="26" a="1"/>
  <c r="AR67" i="26" s="1"/>
  <c r="AR66" i="26" s="1"/>
  <c r="G62" i="34" a="1"/>
  <c r="G62" i="34" s="1"/>
  <c r="AR69" i="26" a="1"/>
  <c r="AR69" i="26" s="1"/>
  <c r="G65" i="34" a="1"/>
  <c r="G65" i="34" s="1"/>
  <c r="AA66" i="99"/>
  <c r="AA67" i="99" s="1"/>
  <c r="AN56" i="26"/>
  <c r="EP4" i="69" a="1"/>
  <c r="EP4" i="69" s="1"/>
  <c r="DP4" i="96" a="1"/>
  <c r="DP4" i="96" s="1"/>
  <c r="AL66" i="100"/>
  <c r="AH54" i="100"/>
  <c r="AR54" i="26" l="1" a="1"/>
  <c r="AR54" i="26" s="1"/>
  <c r="AR56" i="26" s="1"/>
  <c r="G66" i="34" a="1"/>
  <c r="G66" i="34" s="1"/>
  <c r="F66" i="34" a="1"/>
  <c r="F66" i="34" s="1"/>
  <c r="E66" i="34" a="1"/>
  <c r="E66" i="34" s="1"/>
  <c r="AA69" i="99"/>
  <c r="AA70" i="99"/>
  <c r="AA54" i="99"/>
  <c r="AL70" i="100"/>
  <c r="AL69" i="100"/>
  <c r="AH56" i="100"/>
  <c r="AI65" i="100"/>
  <c r="AI67" i="100" s="1"/>
  <c r="G57" i="34" l="1"/>
  <c r="E58" i="34" s="1" a="1"/>
  <c r="E58" i="34" s="1"/>
  <c r="G52" i="34"/>
  <c r="F57" i="34"/>
  <c r="F52" i="34"/>
  <c r="E57" i="34"/>
  <c r="E52" i="34"/>
  <c r="AA56" i="99"/>
  <c r="AB65" i="99"/>
  <c r="AM66" i="100"/>
  <c r="AI54" i="100"/>
  <c r="N58" i="34" l="1"/>
  <c r="O58" i="34"/>
  <c r="S58" i="34"/>
  <c r="Q58" i="34"/>
  <c r="R58" i="34"/>
  <c r="M58" i="34"/>
  <c r="AB66" i="99"/>
  <c r="AB67" i="99" s="1"/>
  <c r="AM70" i="100"/>
  <c r="AM69" i="100"/>
  <c r="AI56" i="100"/>
  <c r="AJ65" i="100"/>
  <c r="AJ67" i="100" s="1"/>
  <c r="AB54" i="99" l="1"/>
  <c r="AB69" i="99"/>
  <c r="AB70" i="99"/>
  <c r="AN66" i="100"/>
  <c r="AJ54" i="100"/>
  <c r="AB56" i="99" l="1"/>
  <c r="AC65" i="99"/>
  <c r="AN70" i="100"/>
  <c r="AN69" i="100"/>
  <c r="AJ56" i="100"/>
  <c r="AK65" i="100"/>
  <c r="AK67" i="100" s="1"/>
  <c r="AC66" i="99" l="1"/>
  <c r="AC67" i="99" s="1"/>
  <c r="AK54" i="100"/>
  <c r="AC54" i="99" l="1"/>
  <c r="AC69" i="99"/>
  <c r="AC70" i="99"/>
  <c r="AK56" i="100"/>
  <c r="AL65" i="100"/>
  <c r="AL67" i="100" s="1"/>
  <c r="AC56" i="99" l="1"/>
  <c r="AD65" i="99"/>
  <c r="AL54" i="100"/>
  <c r="AD66" i="99" l="1"/>
  <c r="AD67" i="99" s="1"/>
  <c r="AL56" i="100"/>
  <c r="AM65" i="100"/>
  <c r="AM67" i="100" s="1"/>
  <c r="AD54" i="99" l="1"/>
  <c r="AD69" i="99"/>
  <c r="AD70" i="99"/>
  <c r="AM54" i="100"/>
  <c r="AD56" i="99" l="1"/>
  <c r="AE65" i="99"/>
  <c r="AM56" i="100"/>
  <c r="AN65" i="100"/>
  <c r="AN67" i="100" s="1"/>
  <c r="AN54" i="100" s="1"/>
  <c r="AN56" i="100" s="1"/>
  <c r="AE66" i="99" l="1"/>
  <c r="AE67" i="99" s="1"/>
  <c r="AE54" i="99" l="1"/>
  <c r="AE69" i="99"/>
  <c r="AE70" i="99"/>
  <c r="AE56" i="99" l="1"/>
  <c r="AF65" i="99"/>
  <c r="AF66" i="99" l="1"/>
  <c r="AF67" i="99" s="1"/>
  <c r="AF54" i="99" l="1"/>
  <c r="AF69" i="99"/>
  <c r="AF70" i="99"/>
  <c r="AF56" i="99" l="1"/>
  <c r="AG65" i="99"/>
  <c r="AG66" i="99" l="1"/>
  <c r="AG67" i="99" s="1"/>
  <c r="AG54" i="99" l="1"/>
  <c r="AG69" i="99"/>
  <c r="AG70" i="99"/>
  <c r="AG56" i="99" l="1"/>
  <c r="AH65" i="99"/>
  <c r="AH66" i="99" l="1"/>
  <c r="AH67" i="99" s="1"/>
  <c r="AH54" i="99" l="1"/>
  <c r="AH69" i="99"/>
  <c r="AH70" i="99"/>
  <c r="AH56" i="99" l="1"/>
  <c r="AI65" i="99"/>
  <c r="AI66" i="99" l="1"/>
  <c r="AI67" i="99" s="1"/>
  <c r="AI54" i="99" l="1"/>
  <c r="AI69" i="99"/>
  <c r="AI70" i="99"/>
  <c r="AI56" i="99" l="1"/>
  <c r="AJ65" i="99"/>
  <c r="AJ66" i="99" l="1"/>
  <c r="AJ67" i="99" s="1"/>
  <c r="AJ54" i="99" l="1"/>
  <c r="AJ69" i="99"/>
  <c r="AJ70" i="99"/>
  <c r="AJ56" i="99" l="1"/>
  <c r="AK65" i="99"/>
  <c r="AK66" i="99" l="1"/>
  <c r="AK67" i="99" s="1"/>
  <c r="AK69" i="99" l="1"/>
  <c r="AK70" i="99"/>
  <c r="AK54" i="99"/>
  <c r="AK56" i="99" l="1"/>
  <c r="AL65" i="99"/>
  <c r="AL66" i="99" l="1"/>
  <c r="AL67" i="99" s="1"/>
  <c r="AL54" i="99" l="1"/>
  <c r="AL69" i="99"/>
  <c r="AL70" i="99"/>
  <c r="AL56" i="99" l="1"/>
  <c r="AM65" i="99"/>
  <c r="AM66" i="99" l="1"/>
  <c r="AM67" i="99" s="1"/>
  <c r="AM69" i="99" l="1"/>
  <c r="AM70" i="99"/>
  <c r="AM54" i="99"/>
  <c r="AM56" i="99" l="1"/>
  <c r="AN65" i="99"/>
  <c r="AN66" i="99" l="1"/>
  <c r="AN67" i="99" s="1"/>
  <c r="AN54" i="99" s="1"/>
  <c r="AN56" i="99" s="1"/>
  <c r="AN69" i="99" l="1"/>
  <c r="AN70" i="9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<sst xmlns="http://schemas.openxmlformats.org/spreadsheetml/2006/main" count="3499" uniqueCount="533">
  <si>
    <t>2026 Budget - Summary KPIs</t>
  </si>
  <si>
    <t>2026 Budget - Revenue Summary</t>
  </si>
  <si>
    <t>2026 Budget - Summary of P&amp;L by Entity and State</t>
  </si>
  <si>
    <t>Quarterly CAPEX by State</t>
  </si>
  <si>
    <t>All numbers include M&amp;A</t>
  </si>
  <si>
    <t>Total revenue by service line; all numbers include M&amp;A</t>
  </si>
  <si>
    <t>All numbers include M&amp;A; ST/OT does not include overhead load</t>
  </si>
  <si>
    <t>Including 35% EBITDA management fee markup</t>
  </si>
  <si>
    <t>Q1</t>
  </si>
  <si>
    <t>Q2</t>
  </si>
  <si>
    <t>Q3</t>
  </si>
  <si>
    <t>Q4</t>
  </si>
  <si>
    <t>2026 Total</t>
  </si>
  <si>
    <t>MSO</t>
  </si>
  <si>
    <t>JV1</t>
  </si>
  <si>
    <t>JV2</t>
  </si>
  <si>
    <t>NJ</t>
  </si>
  <si>
    <t>MD</t>
  </si>
  <si>
    <t>NC</t>
  </si>
  <si>
    <t>AZ</t>
  </si>
  <si>
    <t>Net Revenue</t>
  </si>
  <si>
    <t>Revenue</t>
  </si>
  <si>
    <t xml:space="preserve">Mergers closed </t>
  </si>
  <si>
    <t>Salary &amp; benefits</t>
  </si>
  <si>
    <t>Therapy Costs</t>
  </si>
  <si>
    <t>New sites</t>
  </si>
  <si>
    <t>Total</t>
  </si>
  <si>
    <t>Operating Costs</t>
  </si>
  <si>
    <t>Rent</t>
  </si>
  <si>
    <t>New Jersey</t>
  </si>
  <si>
    <t>at quarter end</t>
  </si>
  <si>
    <t>Building Expenses</t>
  </si>
  <si>
    <t>Maryland</t>
  </si>
  <si>
    <t>Staff Headcount</t>
  </si>
  <si>
    <t>IT &amp; Software</t>
  </si>
  <si>
    <t>North Carolina</t>
  </si>
  <si>
    <t>RBT</t>
  </si>
  <si>
    <t>Marketing</t>
  </si>
  <si>
    <t>Arizona</t>
  </si>
  <si>
    <t>BCBA</t>
  </si>
  <si>
    <t>Other Direct Expenses</t>
  </si>
  <si>
    <t>Total new sites</t>
  </si>
  <si>
    <t>Indirect Expenses</t>
  </si>
  <si>
    <t>Prepaid Opex</t>
  </si>
  <si>
    <t>Corporate Overhead</t>
  </si>
  <si>
    <t>M&amp;A</t>
  </si>
  <si>
    <t>Center Footprint</t>
  </si>
  <si>
    <t>Total Operating Costs</t>
  </si>
  <si>
    <t>New Centers - NJ</t>
  </si>
  <si>
    <t>New Centers - MD</t>
  </si>
  <si>
    <t>EBITDA</t>
  </si>
  <si>
    <t>New Centers - NC</t>
  </si>
  <si>
    <t>New Centers - AZ</t>
  </si>
  <si>
    <t>Total New Centers</t>
  </si>
  <si>
    <t>Total Operating Centers</t>
  </si>
  <si>
    <t>Billable Hours</t>
  </si>
  <si>
    <t>Census</t>
  </si>
  <si>
    <t>EMR (Central Reach)</t>
  </si>
  <si>
    <t>Payroll (Paylocity)</t>
  </si>
  <si>
    <t>OT</t>
  </si>
  <si>
    <t>CAPEX</t>
  </si>
  <si>
    <t>Entity</t>
  </si>
  <si>
    <t>State</t>
  </si>
  <si>
    <t>Site</t>
  </si>
  <si>
    <t>ABA Billable Rate  $ (Avg.)</t>
  </si>
  <si>
    <t>Center</t>
  </si>
  <si>
    <t>Discharges</t>
  </si>
  <si>
    <t>Class</t>
  </si>
  <si>
    <t>Location</t>
  </si>
  <si>
    <t>Kearny</t>
  </si>
  <si>
    <t>NJ-2026-01</t>
  </si>
  <si>
    <t>NJ-2026-02</t>
  </si>
  <si>
    <t>NJ-2027-01</t>
  </si>
  <si>
    <t>NJ-2027-02</t>
  </si>
  <si>
    <t>NJ-2027-03</t>
  </si>
  <si>
    <t>NJ-2027-04</t>
  </si>
  <si>
    <t>NJ-2027-05</t>
  </si>
  <si>
    <t>NJ-2028-01</t>
  </si>
  <si>
    <t>NJ-2028-02</t>
  </si>
  <si>
    <t>NJ-2028-03</t>
  </si>
  <si>
    <t>NJ-2028-04</t>
  </si>
  <si>
    <t>NJ-2028-05</t>
  </si>
  <si>
    <t>NJ-2028-06</t>
  </si>
  <si>
    <t>MD-2026-01</t>
  </si>
  <si>
    <t>MD-2027-01</t>
  </si>
  <si>
    <t>MD-2028-01</t>
  </si>
  <si>
    <t>NC-2026-01</t>
  </si>
  <si>
    <t>NC-2027-01</t>
  </si>
  <si>
    <t>NC-2026-02</t>
  </si>
  <si>
    <t>Locations</t>
  </si>
  <si>
    <t>Launch Date</t>
  </si>
  <si>
    <t>Max Headcount / acquired headcount for M&amp;A</t>
  </si>
  <si>
    <t>grows over 25 mo.</t>
  </si>
  <si>
    <t>Ramp-up (months) / starting headcount for M&amp;A</t>
  </si>
  <si>
    <t>6mo ramp M&amp;A</t>
  </si>
  <si>
    <t>New Patient (Psych + Referrals)</t>
  </si>
  <si>
    <t>New Patient % diagnosed by in-house psych</t>
  </si>
  <si>
    <t>Psych &gt; ABA Funnel Conversion</t>
  </si>
  <si>
    <r>
      <rPr>
        <sz val="11"/>
        <color rgb="FF000000"/>
        <rFont val="Calibri"/>
        <family val="2"/>
      </rPr>
      <t>A/R Collection 0-30 days</t>
    </r>
    <r>
      <rPr>
        <i/>
        <u/>
        <sz val="11"/>
        <color rgb="FFFF0000"/>
        <rFont val="Calibri"/>
        <family val="2"/>
      </rPr>
      <t xml:space="preserve"> (same month)</t>
    </r>
  </si>
  <si>
    <t>A/R Collection 31-60 days</t>
  </si>
  <si>
    <t>A/R Collection 61-90 days</t>
  </si>
  <si>
    <t>A/R Collection 91-120 days</t>
  </si>
  <si>
    <t>A/R Collection 121-150 days</t>
  </si>
  <si>
    <t>A/R Collection 151-180 days</t>
  </si>
  <si>
    <t>Payor Mix (%)</t>
  </si>
  <si>
    <t>Revenue (Rates)</t>
  </si>
  <si>
    <t>per (EE)</t>
  </si>
  <si>
    <t>Adjustments to revenue</t>
  </si>
  <si>
    <t>A/R Collection rate</t>
  </si>
  <si>
    <t>6% bad debt</t>
  </si>
  <si>
    <t>Average Reimbursement</t>
  </si>
  <si>
    <t>ABA - Direct</t>
  </si>
  <si>
    <t>ABA - Group</t>
  </si>
  <si>
    <t>ABA - Supervision</t>
  </si>
  <si>
    <t>ABA - Family</t>
  </si>
  <si>
    <t>ABA - Assessment</t>
  </si>
  <si>
    <t>Speech - Treatment</t>
  </si>
  <si>
    <t>Speech - Eval</t>
  </si>
  <si>
    <t>Psych - Eval</t>
  </si>
  <si>
    <t>90791 &amp; 96112</t>
  </si>
  <si>
    <t>Blended Billed Hourly Rate</t>
  </si>
  <si>
    <t>Headcount</t>
  </si>
  <si>
    <t>how many kiddos each staff can support</t>
  </si>
  <si>
    <t>Intake</t>
  </si>
  <si>
    <t>6 weekly (new/replac.)</t>
  </si>
  <si>
    <t>Scheduler</t>
  </si>
  <si>
    <t>Trainer</t>
  </si>
  <si>
    <t>Recruiter</t>
  </si>
  <si>
    <t>fractional FTE</t>
  </si>
  <si>
    <t>Community Outreach</t>
  </si>
  <si>
    <t>Compensation (hourly/monthly)</t>
  </si>
  <si>
    <t>Fringe Benefits</t>
  </si>
  <si>
    <t>Operating Expenses</t>
  </si>
  <si>
    <t>Utilities</t>
  </si>
  <si>
    <t>CAM fees</t>
  </si>
  <si>
    <t>Real Estate Taxes</t>
  </si>
  <si>
    <t>Cleaning Services</t>
  </si>
  <si>
    <t>Repairs &amp; Maintenance</t>
  </si>
  <si>
    <t>Misc.</t>
  </si>
  <si>
    <t>Digital Marketing (Unlock Health)</t>
  </si>
  <si>
    <t>Social Media</t>
  </si>
  <si>
    <t>per center</t>
  </si>
  <si>
    <t>Events &amp; Sponsorships</t>
  </si>
  <si>
    <t>Recruiting Fee (Turnover)</t>
  </si>
  <si>
    <t>Fee/FTE</t>
  </si>
  <si>
    <t>Employee Expenses &amp; CE</t>
  </si>
  <si>
    <t>Uniforms &amp; Laundry</t>
  </si>
  <si>
    <t>Consulting &amp; Legal</t>
  </si>
  <si>
    <t>Real Estate legal in CAPEX</t>
  </si>
  <si>
    <t>Corporate Allocation</t>
  </si>
  <si>
    <r>
      <t xml:space="preserve">Travel </t>
    </r>
    <r>
      <rPr>
        <i/>
        <sz val="11"/>
        <color rgb="FFFF0000"/>
        <rFont val="Calibri"/>
        <family val="2"/>
      </rPr>
      <t>(increases 50% annually in line with HQ headcount)</t>
    </r>
  </si>
  <si>
    <t>Bridgelight - Data Analytics</t>
  </si>
  <si>
    <t>Seminars &amp; Convention</t>
  </si>
  <si>
    <r>
      <t xml:space="preserve">Insurance - Umbrella </t>
    </r>
    <r>
      <rPr>
        <i/>
        <sz val="11"/>
        <color rgb="FFFF0000"/>
        <rFont val="Calibri"/>
        <family val="2"/>
      </rPr>
      <t>(doubles each year in line with buildouts)</t>
    </r>
  </si>
  <si>
    <t>Office Supplies</t>
  </si>
  <si>
    <t>Telephone &amp; Cell</t>
  </si>
  <si>
    <t>Banking Fees</t>
  </si>
  <si>
    <r>
      <t xml:space="preserve">Misc. </t>
    </r>
    <r>
      <rPr>
        <i/>
        <sz val="11"/>
        <color rgb="FFFF0000"/>
        <rFont val="Calibri"/>
        <family val="2"/>
      </rPr>
      <t>(to cover infrequent adhoc expenses)</t>
    </r>
  </si>
  <si>
    <t>Software Expense</t>
  </si>
  <si>
    <t>Cost per User</t>
  </si>
  <si>
    <t>Insights Bundle + Claims Processings</t>
  </si>
  <si>
    <t>Fixed</t>
  </si>
  <si>
    <t>Fee/User</t>
  </si>
  <si>
    <t>Noteguard</t>
  </si>
  <si>
    <t>Advanced Business Designer</t>
  </si>
  <si>
    <t>$25 Fee/User</t>
  </si>
  <si>
    <t>fee/user scales based on total users</t>
  </si>
  <si>
    <t>CRM (Hubspot)</t>
  </si>
  <si>
    <t>Marketing Hub Professional</t>
  </si>
  <si>
    <t>Sales Hub Enterprise</t>
  </si>
  <si>
    <t>$1206/yr/seat</t>
  </si>
  <si>
    <t>Users #</t>
  </si>
  <si>
    <t>Core Seats</t>
  </si>
  <si>
    <t>$900/yr/seat</t>
  </si>
  <si>
    <t>Bucketlist</t>
  </si>
  <si>
    <t>IT Services (CNS)</t>
  </si>
  <si>
    <t>Managed IT Service</t>
  </si>
  <si>
    <t>$165/User</t>
  </si>
  <si>
    <t>PowerBI license</t>
  </si>
  <si>
    <t>$17/License</t>
  </si>
  <si>
    <t>Secure Email</t>
  </si>
  <si>
    <t>$28/User</t>
  </si>
  <si>
    <t>Adobe Acrobat</t>
  </si>
  <si>
    <t>$14.99/License</t>
  </si>
  <si>
    <t xml:space="preserve">Misc. </t>
  </si>
  <si>
    <t>$30/User</t>
  </si>
  <si>
    <t>Headcount Turnover</t>
  </si>
  <si>
    <t>Othe positions modeled off recruiting turnover fee</t>
  </si>
  <si>
    <r>
      <t>Corporate Staff</t>
    </r>
    <r>
      <rPr>
        <i/>
        <sz val="11"/>
        <color theme="1"/>
        <rFont val="Calibri"/>
        <family val="2"/>
      </rPr>
      <t xml:space="preserve"> (static positions only)</t>
    </r>
  </si>
  <si>
    <t>[CEO]</t>
  </si>
  <si>
    <t>[COO]</t>
  </si>
  <si>
    <t>[Chief Strategy Officer]</t>
  </si>
  <si>
    <t>[Vice President of HR]</t>
  </si>
  <si>
    <t>[Director of Talent Acquisition]</t>
  </si>
  <si>
    <t>[Director of Employee Experience]</t>
  </si>
  <si>
    <t>[Benefits coordinator]</t>
  </si>
  <si>
    <t>[Director of HR]</t>
  </si>
  <si>
    <t>[M&amp;A Support Staff]</t>
  </si>
  <si>
    <t>[Director of Compliance]</t>
  </si>
  <si>
    <t>[Compliance Manager]</t>
  </si>
  <si>
    <t>[Senior Director of Marketing]</t>
  </si>
  <si>
    <t>[Events Director]</t>
  </si>
  <si>
    <t>[Community Outreach Director]</t>
  </si>
  <si>
    <t>[Marketing Project Manager]</t>
  </si>
  <si>
    <t>[Social Media Manager]</t>
  </si>
  <si>
    <t>[Demand Generation Marketer]</t>
  </si>
  <si>
    <t>[Graphic Design]</t>
  </si>
  <si>
    <t>[Director of Partnership Operations]</t>
  </si>
  <si>
    <t>[Director of Intake]</t>
  </si>
  <si>
    <t>[Associate Director of Intake]</t>
  </si>
  <si>
    <t>[Director of Quality Assurance]</t>
  </si>
  <si>
    <t>[Director of Family Training]</t>
  </si>
  <si>
    <t>[QA Analyst] (1 per 150 patients)</t>
  </si>
  <si>
    <t>[Research Director]</t>
  </si>
  <si>
    <t>[Lead Social Worker]</t>
  </si>
  <si>
    <t>[Director of OT]</t>
  </si>
  <si>
    <t>[Director of Speech Therapy]</t>
  </si>
  <si>
    <t>[Director of Psychology]</t>
  </si>
  <si>
    <t>[Director of Finance]</t>
  </si>
  <si>
    <t>[Bookkeeper - A/P]</t>
  </si>
  <si>
    <t>[Senior Accountant]</t>
  </si>
  <si>
    <t>[Payroll]</t>
  </si>
  <si>
    <t>[Director of Payer Relations]</t>
  </si>
  <si>
    <t>[Director of Contracts ] (RWJ passthrough to CSABA)</t>
  </si>
  <si>
    <t>[Director of RCM]</t>
  </si>
  <si>
    <t>[Billing compliance  Director]</t>
  </si>
  <si>
    <t>[Billing compliance  Manager]</t>
  </si>
  <si>
    <t>[Billing Patient Relations]</t>
  </si>
  <si>
    <t>[Insights/Analytics]</t>
  </si>
  <si>
    <t>[FP&amp;A]</t>
  </si>
  <si>
    <t>[Director of IT]</t>
  </si>
  <si>
    <t>[RBT Engagement Director and Trainer NJ]</t>
  </si>
  <si>
    <t>[Family Training - Manager]</t>
  </si>
  <si>
    <t>[Activations Manager]</t>
  </si>
  <si>
    <t>[Construction and  Facility Manager]</t>
  </si>
  <si>
    <t>[Real estate director]</t>
  </si>
  <si>
    <t>[Facilities Manager]</t>
  </si>
  <si>
    <t>&lt;Insert new line above for new staff&gt;</t>
  </si>
  <si>
    <r>
      <rPr>
        <b/>
        <i/>
        <u/>
        <sz val="11"/>
        <color theme="1"/>
        <rFont val="Calibri"/>
        <family val="2"/>
      </rPr>
      <t>Scaling Staff</t>
    </r>
    <r>
      <rPr>
        <i/>
        <u/>
        <sz val="11"/>
        <color theme="1"/>
        <rFont val="Calibri"/>
        <family val="2"/>
      </rPr>
      <t xml:space="preserve"> (100:90:15 Census:RBT:BCBA ratio)</t>
    </r>
  </si>
  <si>
    <t>Census per Staff #</t>
  </si>
  <si>
    <t>[Auths Specialist] (1 per 100 census ~~)</t>
  </si>
  <si>
    <t>[Credentialling Specialist] (1 per 100 RBT+BCBA)</t>
  </si>
  <si>
    <t>[AR Specialist] (1 per 100 census ~~)</t>
  </si>
  <si>
    <t>[BCBA Recruiter, Current] (1 per 8 monthly BCBA)</t>
  </si>
  <si>
    <t>[Admin Recruiter] (might stay 1)</t>
  </si>
  <si>
    <t>[RBT Recruiter] (1 in 5 weekly)</t>
  </si>
  <si>
    <t>[RBT Trainers] (1 in 10 new RBTs/weekly)</t>
  </si>
  <si>
    <t>[BCBA Trainer] (1 in 50 BCBAs)</t>
  </si>
  <si>
    <t>[BCBA Student Program Coordinator] (1in 50 BCBAs)</t>
  </si>
  <si>
    <t>[Recruiter out-of-NJ]</t>
  </si>
  <si>
    <t>[HR generalist - onboarding]</t>
  </si>
  <si>
    <t>[IT/Data Specialist]</t>
  </si>
  <si>
    <t>Census per Staff can change if we tweak Census:RBT:BCBA ratio by following factors:</t>
  </si>
  <si>
    <t>Discharge rate (average mix of client treatment duration)</t>
  </si>
  <si>
    <t># of ABA referrals that lead to treatment outside of CSH</t>
  </si>
  <si>
    <t>288 census ~260 RBT at 100% annual turn over is ~5 weekly RBT hires</t>
  </si>
  <si>
    <t>Corporate+admin to census ratio approximately 1:7</t>
  </si>
  <si>
    <t>Approximately 1 recruiter/generalist per 100 staff w/ 10% turnover</t>
  </si>
  <si>
    <t>Budget Year</t>
  </si>
  <si>
    <t>3-year term fixed-reimbursement rates</t>
  </si>
  <si>
    <t>rates renegotiated for 2027</t>
  </si>
  <si>
    <t>Compensation</t>
  </si>
  <si>
    <t>10% YOY</t>
  </si>
  <si>
    <t>Digital Marketing</t>
  </si>
  <si>
    <t>Make sure this is appropriate with scaling of business</t>
  </si>
  <si>
    <t>Banking &amp; Payroll Fees</t>
  </si>
  <si>
    <t>3-Year contract with 2% increase, scales with FTE</t>
  </si>
  <si>
    <t>Simulates discount pricing by volume ($65&gt;$60&gt;$55&gt;$50/user)</t>
  </si>
  <si>
    <t>Advanced Designer Fee/User</t>
  </si>
  <si>
    <t>Corporate Staff (Compensation Growth)</t>
  </si>
  <si>
    <r>
      <t>Scaling Staff</t>
    </r>
    <r>
      <rPr>
        <sz val="11"/>
        <color theme="1"/>
        <rFont val="Calibri"/>
        <family val="2"/>
      </rPr>
      <t xml:space="preserve"> (100:90:15 Census:RBT:BCBA ratio)</t>
    </r>
  </si>
  <si>
    <t>Debt and Mezzanine Financing</t>
  </si>
  <si>
    <t>Line of Credit</t>
  </si>
  <si>
    <t>Interest Rates</t>
  </si>
  <si>
    <t>Cash &amp; Cash Equivalents</t>
  </si>
  <si>
    <t>Principal (Beginning Balance)</t>
  </si>
  <si>
    <t>Cash &amp; Equivalent (Beginning Balance)</t>
  </si>
  <si>
    <t>Minimum Working Capital (Cash Balance)</t>
  </si>
  <si>
    <t>Startup Costs paid date</t>
  </si>
  <si>
    <t>Leasehold improvements</t>
  </si>
  <si>
    <t>Capex - hard cost</t>
  </si>
  <si>
    <t>Leasehold credits / Rent Holiday</t>
  </si>
  <si>
    <t>Permitting and approvals</t>
  </si>
  <si>
    <t>Consultants (Architect, Engineering, Expeditor)</t>
  </si>
  <si>
    <t>Capex - soft cost</t>
  </si>
  <si>
    <t>Consultants (Diligence)</t>
  </si>
  <si>
    <t>Kit of parts (e.g., mood board, finish, etc.)</t>
  </si>
  <si>
    <t>Center design</t>
  </si>
  <si>
    <t>Project Management (6% of build out)</t>
  </si>
  <si>
    <t>Contingencies (10% of build-out)</t>
  </si>
  <si>
    <t>Startup Costs (GC Scope)</t>
  </si>
  <si>
    <t>IT setup (automatic door, TVs, camera, routers, etc.)</t>
  </si>
  <si>
    <t>Materials - Gym</t>
  </si>
  <si>
    <t xml:space="preserve">Materials - furniture </t>
  </si>
  <si>
    <t xml:space="preserve">Materials - outdoor playground </t>
  </si>
  <si>
    <t>Opening Event</t>
  </si>
  <si>
    <t>Opex - but cost to open a center</t>
  </si>
  <si>
    <t>Advertising/Promotional</t>
  </si>
  <si>
    <t>Bonus pool (up to 5 people, $3000 each)</t>
  </si>
  <si>
    <t>Opex</t>
  </si>
  <si>
    <t>Security Deposit + Last Month</t>
  </si>
  <si>
    <t>Opex - prepaid</t>
  </si>
  <si>
    <t>1st Month Rent</t>
  </si>
  <si>
    <t>Startup costs (excl. Opex)</t>
  </si>
  <si>
    <t>Months paid before site opening</t>
  </si>
  <si>
    <t>CAPEX paid over how many months</t>
  </si>
  <si>
    <t>Select year below</t>
  </si>
  <si>
    <t>Buildouts</t>
  </si>
  <si>
    <t>Communities</t>
  </si>
  <si>
    <t>JV 1</t>
  </si>
  <si>
    <t>Year</t>
  </si>
  <si>
    <t>Month</t>
  </si>
  <si>
    <t>N/A</t>
  </si>
  <si>
    <t>Other Center &amp; Home Staff</t>
  </si>
  <si>
    <t>Corporate Staff</t>
  </si>
  <si>
    <t>New Build outs</t>
  </si>
  <si>
    <t>Census (Active)</t>
  </si>
  <si>
    <t>New Patient</t>
  </si>
  <si>
    <t>Patients Treated</t>
  </si>
  <si>
    <t>ABA Revenue</t>
  </si>
  <si>
    <t>Other Revenue</t>
  </si>
  <si>
    <t>Net Billable Rate</t>
  </si>
  <si>
    <t>Hourly Cost (Direct)</t>
  </si>
  <si>
    <t>Hourly Cost (Indirect)</t>
  </si>
  <si>
    <t>Hourly Cost (MSO)</t>
  </si>
  <si>
    <t>EBITDA (Hourly)</t>
  </si>
  <si>
    <t>Calculated</t>
  </si>
  <si>
    <t>Checksum</t>
  </si>
  <si>
    <t>Billing Services Cost / $Hr</t>
  </si>
  <si>
    <t>Metrics</t>
  </si>
  <si>
    <t>Total Staff</t>
  </si>
  <si>
    <t>Total Revenues</t>
  </si>
  <si>
    <t>Total Expense</t>
  </si>
  <si>
    <t>Margin %</t>
  </si>
  <si>
    <t>Net Income</t>
  </si>
  <si>
    <t>A/R impact on Cash</t>
  </si>
  <si>
    <t>FCF</t>
  </si>
  <si>
    <t>Cumulative FCF</t>
  </si>
  <si>
    <t>Principal (Beginning of Year)</t>
  </si>
  <si>
    <t>Principal (End of Year)</t>
  </si>
  <si>
    <r>
      <t>Acc. Drawdowns</t>
    </r>
    <r>
      <rPr>
        <i/>
        <sz val="11"/>
        <color theme="1"/>
        <rFont val="Aptos Narrow"/>
        <family val="2"/>
        <scheme val="minor"/>
      </rPr>
      <t xml:space="preserve"> (negative means repayment)</t>
    </r>
  </si>
  <si>
    <t>Cash Balance</t>
  </si>
  <si>
    <t>Interest Expense</t>
  </si>
  <si>
    <t>excl. M&amp;A</t>
  </si>
  <si>
    <t>M&amp;A Only</t>
  </si>
  <si>
    <t>A/R Balance</t>
  </si>
  <si>
    <t>ABA  Rate  $ (Avg.)</t>
  </si>
  <si>
    <t>FY2025 Balance</t>
  </si>
  <si>
    <t>Principal (Beginning)</t>
  </si>
  <si>
    <t>Drawdown</t>
  </si>
  <si>
    <t>Principal ( End)</t>
  </si>
  <si>
    <t>Cash &amp; Equivalent</t>
  </si>
  <si>
    <t>Net Change in Cash</t>
  </si>
  <si>
    <t>Assumes all CAPEX costs are paid for by initial $12M investment</t>
  </si>
  <si>
    <t>Excludes M&amp;A</t>
  </si>
  <si>
    <t>Clinical Staff</t>
  </si>
  <si>
    <t>Interest</t>
  </si>
  <si>
    <t>Total Revenue</t>
  </si>
  <si>
    <t>Adjustments to Revenue</t>
  </si>
  <si>
    <t>Salary &amp; Benefits</t>
  </si>
  <si>
    <t>Prepaid OPEX</t>
  </si>
  <si>
    <t>Therapy Cost</t>
  </si>
  <si>
    <t>ST Staffing</t>
  </si>
  <si>
    <t>OT Staffing</t>
  </si>
  <si>
    <t>Admin</t>
  </si>
  <si>
    <t>Psych Staffing</t>
  </si>
  <si>
    <t>ST / OT Revenue and Costs</t>
  </si>
  <si>
    <t>Total ST/OT Revenue</t>
  </si>
  <si>
    <t>ST Headcount</t>
  </si>
  <si>
    <t>OT Headcount</t>
  </si>
  <si>
    <t>ST/OT EBITDA</t>
  </si>
  <si>
    <t>Customer</t>
  </si>
  <si>
    <t>New Customer</t>
  </si>
  <si>
    <t>Primary Direct Staff</t>
  </si>
  <si>
    <t>Secondary Direct Staff</t>
  </si>
  <si>
    <t>Center Manager</t>
  </si>
  <si>
    <t>Usually 1/center</t>
  </si>
  <si>
    <t>Revenue Types</t>
  </si>
  <si>
    <t>Primary Direct Staff - Service A Hours</t>
  </si>
  <si>
    <t>Primary Direct Staff - Service B Hours</t>
  </si>
  <si>
    <t>Secondary Direct Staff - Service A Hours</t>
  </si>
  <si>
    <t>Secondary Direct Staff - Service B Hours</t>
  </si>
  <si>
    <t>Secondary Direct Staff - Service C Hours</t>
  </si>
  <si>
    <t>Tertiary Direct Staff - Service A Hours</t>
  </si>
  <si>
    <t>Tertiary Direct Staff - Service B Hours</t>
  </si>
  <si>
    <t>Quaternary Direct Staff - Service A Hours</t>
  </si>
  <si>
    <t>Quinary Direct Staff - Service A Hours</t>
  </si>
  <si>
    <t>80% of customers 1 hour</t>
  </si>
  <si>
    <t>80% of new customers 1 hour</t>
  </si>
  <si>
    <t>~2 hours/customer</t>
  </si>
  <si>
    <t>8-10 hours every 6 months</t>
  </si>
  <si>
    <t>Headcount (customers each staff can support)</t>
  </si>
  <si>
    <t>Site-specific</t>
  </si>
  <si>
    <t>1 per 10 new Primary Staff</t>
  </si>
  <si>
    <t>1 per 20 new Primary Staff</t>
  </si>
  <si>
    <t>Tertiary Direct Staff</t>
  </si>
  <si>
    <t>Quinary Direct Staff</t>
  </si>
  <si>
    <t>Quaternary Direct Staff</t>
  </si>
  <si>
    <t>no remote service</t>
  </si>
  <si>
    <t>Primary Direct Staff Lead</t>
  </si>
  <si>
    <t>Center Marketing Outreach</t>
  </si>
  <si>
    <t>Center Director / Remote Site Director</t>
  </si>
  <si>
    <t>Initial Consultation Expert</t>
  </si>
  <si>
    <t>3 customers/week</t>
  </si>
  <si>
    <t>Hourly Rates</t>
  </si>
  <si>
    <t>Monthly from hours*cust.</t>
  </si>
  <si>
    <t>Primary Service B not provided remotely.</t>
  </si>
  <si>
    <t>Corporate</t>
  </si>
  <si>
    <t>Remote</t>
  </si>
  <si>
    <t>NJ-2026-01-Remote</t>
  </si>
  <si>
    <t>NJ-2026-02-Remote</t>
  </si>
  <si>
    <t>NJ-2027-01-Remote</t>
  </si>
  <si>
    <t>NJ-2027-02-Remote</t>
  </si>
  <si>
    <t>NJ-2027-04-Remote</t>
  </si>
  <si>
    <t>NJ-2028-01-Remote</t>
  </si>
  <si>
    <t>NJ-2028-02-Remote</t>
  </si>
  <si>
    <t>NJ-2028-06-Remote</t>
  </si>
  <si>
    <t>MD-2026-01-Remote</t>
  </si>
  <si>
    <t>Other Center &amp; Remote Staff</t>
  </si>
  <si>
    <t>Center, Remote, and M&amp;A</t>
  </si>
  <si>
    <t>Center and Remote</t>
  </si>
  <si>
    <t>[AVP of Centeral Quality and Training]</t>
  </si>
  <si>
    <t>[Regional Centeral Director MD, NC, AZ, NJ]</t>
  </si>
  <si>
    <t>[Centeral Quality Manager]</t>
  </si>
  <si>
    <t>[Director of School Centeral Programs]</t>
  </si>
  <si>
    <t>NJ-2026-01-Center</t>
  </si>
  <si>
    <t>NJ-2026-02-Center</t>
  </si>
  <si>
    <t>NJ-2027-01-Center</t>
  </si>
  <si>
    <t>NJ-2027-02-Center</t>
  </si>
  <si>
    <t>NJ-2027-03-Center</t>
  </si>
  <si>
    <t>NJ-2027-04-Center</t>
  </si>
  <si>
    <t>NJ-2027-05-Center</t>
  </si>
  <si>
    <t>NJ-2028-01-Center</t>
  </si>
  <si>
    <t>NJ-2028-02-Center</t>
  </si>
  <si>
    <t>NJ-2028-03-Center</t>
  </si>
  <si>
    <t>NJ-2028-04-Center</t>
  </si>
  <si>
    <t>NJ-2028-05-Center</t>
  </si>
  <si>
    <t>MD-2026-01-Center</t>
  </si>
  <si>
    <t>MD-2027-01-Center</t>
  </si>
  <si>
    <t>MD-2028-01-Center</t>
  </si>
  <si>
    <t>NC-2026-01-Center</t>
  </si>
  <si>
    <t>NC-2027-01-Center</t>
  </si>
  <si>
    <t>NC-2026-02-Center</t>
  </si>
  <si>
    <t>Center startup costs</t>
  </si>
  <si>
    <t>Materials - Toys and Centeral supplies</t>
  </si>
  <si>
    <t>Centeral</t>
  </si>
  <si>
    <t>M&amp;A per billable hour</t>
  </si>
  <si>
    <t>Assumes passthru acquisition</t>
  </si>
  <si>
    <t>For cashflow modeling</t>
  </si>
  <si>
    <t>Primary - Service A</t>
  </si>
  <si>
    <t>Primary - Service B</t>
  </si>
  <si>
    <t>Secondary - Service A</t>
  </si>
  <si>
    <t>Secondary - Service C</t>
  </si>
  <si>
    <t>Secondary - Service B</t>
  </si>
  <si>
    <t>Payor Profile 1</t>
  </si>
  <si>
    <t>Payor Profile 3</t>
  </si>
  <si>
    <t>Payor Profile 2</t>
  </si>
  <si>
    <t>operational risk of revenue</t>
  </si>
  <si>
    <t>M&amp;A Costs</t>
  </si>
  <si>
    <t>Primary + Secondary Staff</t>
  </si>
  <si>
    <t>Customers</t>
  </si>
  <si>
    <t>New Customers</t>
  </si>
  <si>
    <t>Accretion</t>
  </si>
  <si>
    <t>Customer Interaction</t>
  </si>
  <si>
    <t>Rate (Primary/Secondary)</t>
  </si>
  <si>
    <t>Primary &amp; Secondary Staff</t>
  </si>
  <si>
    <t>Direct Supplies</t>
  </si>
  <si>
    <t>PM/Center</t>
  </si>
  <si>
    <t>Primary Services</t>
  </si>
  <si>
    <t>Quatenary Services</t>
  </si>
  <si>
    <t>Quinary Services</t>
  </si>
  <si>
    <t>Active Customers</t>
  </si>
  <si>
    <t>Quat. Services</t>
  </si>
  <si>
    <t>Tertiary Direct Staff - Service A</t>
  </si>
  <si>
    <t>Tertiary Direct Staff - Service B</t>
  </si>
  <si>
    <t>Quaternary Direct Staff - Service A</t>
  </si>
  <si>
    <t>Quinary Direct Staff - Service A</t>
  </si>
  <si>
    <t>Management Fee</t>
  </si>
  <si>
    <t>New York City</t>
  </si>
  <si>
    <t>Microsoft</t>
  </si>
  <si>
    <t>Apple</t>
  </si>
  <si>
    <t>Netflix</t>
  </si>
  <si>
    <t>Meta</t>
  </si>
  <si>
    <t>New York City-MSO</t>
  </si>
  <si>
    <t>Microsoft-M&amp;A</t>
  </si>
  <si>
    <t>Apple-M&amp;A</t>
  </si>
  <si>
    <t>Netflix-M&amp;A</t>
  </si>
  <si>
    <t>Meta-M&amp;A</t>
  </si>
  <si>
    <t>MDA1</t>
  </si>
  <si>
    <t>MDA3</t>
  </si>
  <si>
    <t>NJA1</t>
  </si>
  <si>
    <t>MDB1</t>
  </si>
  <si>
    <t>NJA2</t>
  </si>
  <si>
    <t>NJA3</t>
  </si>
  <si>
    <t>NJB1</t>
  </si>
  <si>
    <t>NJA4</t>
  </si>
  <si>
    <t>NJB2</t>
  </si>
  <si>
    <t>NJA5</t>
  </si>
  <si>
    <t>NJA6</t>
  </si>
  <si>
    <t>NJA7</t>
  </si>
  <si>
    <t>NJB3</t>
  </si>
  <si>
    <t>GBA1</t>
  </si>
  <si>
    <t>GBB1</t>
  </si>
  <si>
    <t>AZB2</t>
  </si>
  <si>
    <t>AZB1</t>
  </si>
  <si>
    <t>AZB3</t>
  </si>
  <si>
    <t>MDB2</t>
  </si>
  <si>
    <t>NJB4</t>
  </si>
  <si>
    <t>MDA1-Center</t>
  </si>
  <si>
    <t>MDB1-Remote</t>
  </si>
  <si>
    <t>MDA3-Center</t>
  </si>
  <si>
    <t>NJA1-Center</t>
  </si>
  <si>
    <t>NJA2-Center</t>
  </si>
  <si>
    <t>NJA3-Center</t>
  </si>
  <si>
    <t>NJB1-Remote</t>
  </si>
  <si>
    <t>NJA4-Center</t>
  </si>
  <si>
    <t>NJB2-Remote</t>
  </si>
  <si>
    <t>NJA5-Center</t>
  </si>
  <si>
    <t>NJB3-Remote</t>
  </si>
  <si>
    <t>NJA6-Center</t>
  </si>
  <si>
    <t>NJA7-Center</t>
  </si>
  <si>
    <t>NJB4-Remote</t>
  </si>
  <si>
    <t>GBA1-Center</t>
  </si>
  <si>
    <t>GBB1-Remote</t>
  </si>
  <si>
    <t>AZB2-Remote</t>
  </si>
  <si>
    <t>AZB3-Remote</t>
  </si>
  <si>
    <t>AZB1-Remote</t>
  </si>
  <si>
    <t>NCA9</t>
  </si>
  <si>
    <t>NCA9-Center</t>
  </si>
  <si>
    <t>MDB2-Remote</t>
  </si>
  <si>
    <t>Other Corporate Staff</t>
  </si>
  <si>
    <t>Adj. EBITDA</t>
  </si>
  <si>
    <t>Assumes all pre-2026 CAPEX costs are paid for by initial 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</si>
</sst>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&quot;$&quot;* #,##0_);_(&quot;$&quot;* \(#,##0\);_(&quot;$&quot;* &quot;-&quot;??_);_(@_)"/>
    <numFmt numFmtId="167" formatCode="_(&quot;$&quot;* #,##0.0_);_(&quot;$&quot;* \(#,##0.0\);_(&quot;$&quot;* &quot;-&quot;??_);_(@_)"/>
    <numFmt numFmtId="168" formatCode="_(* #,##0.0_);_(* \(#,##0.0\);_(* &quot;-&quot;?_);_(@_)"/>
    <numFmt numFmtId="169" formatCode="_(&quot;$&quot;* #,##0.0_);_(&quot;$&quot;* \(#,##0.0\);_(&quot;$&quot;* &quot;-&quot;?_);_(@_)"/>
    <numFmt numFmtId="170" formatCode="_([$$-409]* #,##0.00_);_([$$-409]* \(#,##0.00\);_([$$-409]* &quot;-&quot;??_);_(@_)"/>
    <numFmt numFmtId="171" formatCode="0.0%"/>
    <numFmt numFmtId="172" formatCode="0.0"/>
    <numFmt numFmtId="173" formatCode="_([$$-409]* #,##0_);_([$$-409]* \(#,##0\);_([$$-409]* &quot;-&quot;??_);_(@_)"/>
  </numFmts>
  <fonts count="44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u/>
      <sz val="11"/>
      <color rgb="FFFF0000"/>
      <name val="Calibri"/>
      <family val="2"/>
    </font>
    <font>
      <sz val="11"/>
      <color rgb="FF0070C0"/>
      <name val="Calibri"/>
      <family val="2"/>
    </font>
    <font>
      <i/>
      <sz val="11"/>
      <color theme="1"/>
      <name val="Calibri"/>
      <family val="2"/>
    </font>
    <font>
      <i/>
      <sz val="11"/>
      <color rgb="FF0070C0"/>
      <name val="Calibri"/>
      <family val="2"/>
    </font>
    <font>
      <i/>
      <sz val="11"/>
      <color rgb="FFFF0000"/>
      <name val="Calibri"/>
      <family val="2"/>
    </font>
    <font>
      <i/>
      <u/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0"/>
      <name val="Aptos Narrow"/>
      <family val="2"/>
      <scheme val="minor"/>
    </font>
    <font>
      <b/>
      <sz val="11"/>
      <color theme="0" tint="-0.14999847407452621"/>
      <name val="Calibri"/>
      <family val="2"/>
    </font>
    <font>
      <b/>
      <u/>
      <sz val="11"/>
      <color theme="1"/>
      <name val="Calibri"/>
      <family val="2"/>
    </font>
    <font>
      <i/>
      <u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i/>
      <u/>
      <sz val="11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i/>
      <sz val="11"/>
      <name val="Calibri"/>
      <family val="2"/>
    </font>
    <font>
      <b/>
      <sz val="11"/>
      <color rgb="FFFF0000"/>
      <name val="Calibri"/>
      <family val="2"/>
    </font>
    <font>
      <b/>
      <u/>
      <sz val="11"/>
      <color rgb="FFFF0000"/>
      <name val="Calibri"/>
      <family val="2"/>
    </font>
    <font>
      <strike/>
      <sz val="11"/>
      <color rgb="FFFF0000"/>
      <name val="Calibri"/>
      <family val="2"/>
    </font>
    <font>
      <b/>
      <sz val="11"/>
      <color theme="0" tint="-4.9989318521683403E-2"/>
      <name val="Aptos Narrow"/>
      <family val="2"/>
      <scheme val="minor"/>
    </font>
    <font>
      <b/>
      <i/>
      <u/>
      <sz val="11"/>
      <color theme="1"/>
      <name val="Calibri"/>
      <family val="2"/>
    </font>
    <font>
      <sz val="11"/>
      <color theme="0" tint="-0.14999847407452621"/>
      <name val="Aptos Narrow"/>
      <family val="2"/>
      <scheme val="minor"/>
    </font>
    <font>
      <i/>
      <sz val="11"/>
      <color rgb="FF0070C0"/>
      <name val="Aptos Narrow"/>
      <family val="2"/>
      <scheme val="minor"/>
    </font>
    <font>
      <i/>
      <u/>
      <sz val="11"/>
      <color rgb="FFFF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28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166" fontId="8" fillId="2" borderId="0" xfId="2" applyNumberFormat="1" applyFont="1" applyFill="1"/>
    <xf numFmtId="0" fontId="9" fillId="0" borderId="0" xfId="0" applyFont="1"/>
    <xf numFmtId="0" fontId="6" fillId="3" borderId="0" xfId="0" applyFont="1" applyFill="1" applyAlignment="1">
      <alignment horizontal="right"/>
    </xf>
    <xf numFmtId="0" fontId="6" fillId="3" borderId="0" xfId="0" applyFont="1" applyFill="1"/>
    <xf numFmtId="0" fontId="8" fillId="2" borderId="0" xfId="0" applyFont="1" applyFill="1" applyAlignment="1">
      <alignment horizontal="center"/>
    </xf>
    <xf numFmtId="0" fontId="10" fillId="2" borderId="0" xfId="0" applyFont="1" applyFill="1"/>
    <xf numFmtId="166" fontId="0" fillId="0" borderId="0" xfId="2" applyNumberFormat="1" applyFont="1"/>
    <xf numFmtId="166" fontId="6" fillId="0" borderId="0" xfId="2" applyNumberFormat="1" applyFont="1"/>
    <xf numFmtId="14" fontId="0" fillId="0" borderId="0" xfId="0" applyNumberFormat="1"/>
    <xf numFmtId="9" fontId="7" fillId="0" borderId="0" xfId="0" applyNumberFormat="1" applyFont="1"/>
    <xf numFmtId="0" fontId="8" fillId="2" borderId="0" xfId="0" applyFont="1" applyFill="1"/>
    <xf numFmtId="0" fontId="4" fillId="0" borderId="0" xfId="0" applyFont="1"/>
    <xf numFmtId="0" fontId="14" fillId="0" borderId="0" xfId="0" applyFont="1"/>
    <xf numFmtId="0" fontId="13" fillId="3" borderId="0" xfId="0" applyFont="1" applyFill="1" applyAlignment="1">
      <alignment horizontal="right"/>
    </xf>
    <xf numFmtId="0" fontId="13" fillId="3" borderId="0" xfId="0" applyFont="1" applyFill="1"/>
    <xf numFmtId="14" fontId="15" fillId="2" borderId="0" xfId="0" applyNumberFormat="1" applyFont="1" applyFill="1"/>
    <xf numFmtId="0" fontId="15" fillId="2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44" fontId="17" fillId="2" borderId="0" xfId="2" applyFont="1" applyFill="1"/>
    <xf numFmtId="9" fontId="17" fillId="2" borderId="0" xfId="0" applyNumberFormat="1" applyFont="1" applyFill="1"/>
    <xf numFmtId="0" fontId="16" fillId="0" borderId="0" xfId="0" applyFont="1"/>
    <xf numFmtId="164" fontId="15" fillId="2" borderId="0" xfId="1" applyNumberFormat="1" applyFont="1" applyFill="1"/>
    <xf numFmtId="0" fontId="18" fillId="0" borderId="0" xfId="0" applyFont="1"/>
    <xf numFmtId="165" fontId="15" fillId="2" borderId="0" xfId="1" applyNumberFormat="1" applyFont="1" applyFill="1"/>
    <xf numFmtId="166" fontId="15" fillId="2" borderId="0" xfId="2" applyNumberFormat="1" applyFont="1" applyFill="1"/>
    <xf numFmtId="9" fontId="17" fillId="2" borderId="0" xfId="0" applyNumberFormat="1" applyFont="1" applyFill="1" applyAlignment="1">
      <alignment horizontal="center"/>
    </xf>
    <xf numFmtId="0" fontId="19" fillId="0" borderId="0" xfId="0" applyFont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right"/>
    </xf>
    <xf numFmtId="44" fontId="21" fillId="0" borderId="0" xfId="2" applyFont="1" applyFill="1"/>
    <xf numFmtId="9" fontId="8" fillId="2" borderId="0" xfId="0" applyNumberFormat="1" applyFont="1" applyFill="1"/>
    <xf numFmtId="14" fontId="6" fillId="3" borderId="0" xfId="0" applyNumberFormat="1" applyFont="1" applyFill="1"/>
    <xf numFmtId="0" fontId="0" fillId="0" borderId="0" xfId="0" applyAlignment="1">
      <alignment horizontal="left" indent="2"/>
    </xf>
    <xf numFmtId="164" fontId="17" fillId="2" borderId="0" xfId="1" applyNumberFormat="1" applyFont="1" applyFill="1"/>
    <xf numFmtId="166" fontId="20" fillId="0" borderId="0" xfId="2" applyNumberFormat="1" applyFont="1" applyFill="1"/>
    <xf numFmtId="166" fontId="12" fillId="2" borderId="0" xfId="2" applyNumberFormat="1" applyFont="1" applyFill="1"/>
    <xf numFmtId="0" fontId="0" fillId="0" borderId="0" xfId="0" applyAlignment="1">
      <alignment horizontal="left" indent="4"/>
    </xf>
    <xf numFmtId="167" fontId="15" fillId="2" borderId="0" xfId="2" applyNumberFormat="1" applyFont="1" applyFill="1"/>
    <xf numFmtId="44" fontId="15" fillId="2" borderId="0" xfId="2" applyFont="1" applyFill="1"/>
    <xf numFmtId="9" fontId="15" fillId="2" borderId="0" xfId="3" applyFont="1" applyFill="1"/>
    <xf numFmtId="0" fontId="22" fillId="0" borderId="0" xfId="0" applyFont="1"/>
    <xf numFmtId="0" fontId="23" fillId="3" borderId="0" xfId="0" applyFont="1" applyFill="1"/>
    <xf numFmtId="0" fontId="13" fillId="3" borderId="0" xfId="0" applyFont="1" applyFill="1" applyAlignment="1">
      <alignment horizontal="center" vertical="center" wrapText="1"/>
    </xf>
    <xf numFmtId="165" fontId="8" fillId="2" borderId="0" xfId="1" applyNumberFormat="1" applyFont="1" applyFill="1"/>
    <xf numFmtId="0" fontId="24" fillId="0" borderId="0" xfId="0" applyFont="1" applyAlignment="1">
      <alignment horizontal="center"/>
    </xf>
    <xf numFmtId="165" fontId="7" fillId="0" borderId="0" xfId="1" applyNumberFormat="1" applyFont="1" applyAlignment="1">
      <alignment horizontal="center"/>
    </xf>
    <xf numFmtId="165" fontId="0" fillId="0" borderId="0" xfId="1" applyNumberFormat="1" applyFont="1"/>
    <xf numFmtId="9" fontId="16" fillId="0" borderId="0" xfId="0" applyNumberFormat="1" applyFont="1"/>
    <xf numFmtId="0" fontId="0" fillId="0" borderId="0" xfId="0" applyAlignment="1">
      <alignment horizontal="right"/>
    </xf>
    <xf numFmtId="43" fontId="7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5" fillId="2" borderId="0" xfId="0" applyFont="1" applyFill="1"/>
    <xf numFmtId="0" fontId="25" fillId="0" borderId="0" xfId="0" applyFont="1"/>
    <xf numFmtId="44" fontId="0" fillId="0" borderId="0" xfId="2" applyFont="1"/>
    <xf numFmtId="166" fontId="26" fillId="0" borderId="0" xfId="2" applyNumberFormat="1" applyFont="1" applyFill="1"/>
    <xf numFmtId="169" fontId="0" fillId="0" borderId="0" xfId="0" applyNumberFormat="1"/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right"/>
    </xf>
    <xf numFmtId="0" fontId="26" fillId="0" borderId="0" xfId="0" applyFont="1"/>
    <xf numFmtId="0" fontId="27" fillId="0" borderId="0" xfId="0" applyFont="1" applyAlignment="1">
      <alignment horizontal="center"/>
    </xf>
    <xf numFmtId="166" fontId="0" fillId="0" borderId="0" xfId="0" applyNumberFormat="1"/>
    <xf numFmtId="166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1" fillId="6" borderId="0" xfId="0" applyFont="1" applyFill="1" applyAlignment="1">
      <alignment horizontal="centerContinuous"/>
    </xf>
    <xf numFmtId="170" fontId="0" fillId="0" borderId="0" xfId="0" applyNumberFormat="1"/>
    <xf numFmtId="165" fontId="0" fillId="0" borderId="0" xfId="1" applyNumberFormat="1" applyFont="1" applyAlignment="1">
      <alignment horizontal="center"/>
    </xf>
    <xf numFmtId="0" fontId="6" fillId="3" borderId="0" xfId="0" applyFont="1" applyFill="1" applyAlignment="1">
      <alignment horizontal="centerContinuous"/>
    </xf>
    <xf numFmtId="166" fontId="6" fillId="0" borderId="0" xfId="0" applyNumberFormat="1" applyFont="1"/>
    <xf numFmtId="165" fontId="6" fillId="0" borderId="0" xfId="0" applyNumberFormat="1" applyFont="1"/>
    <xf numFmtId="0" fontId="6" fillId="3" borderId="0" xfId="0" applyFont="1" applyFill="1" applyAlignment="1">
      <alignment horizontal="center"/>
    </xf>
    <xf numFmtId="166" fontId="0" fillId="0" borderId="0" xfId="2" applyNumberFormat="1" applyFont="1" applyAlignment="1">
      <alignment horizontal="center"/>
    </xf>
    <xf numFmtId="166" fontId="7" fillId="0" borderId="0" xfId="2" applyNumberFormat="1" applyFont="1" applyAlignment="1">
      <alignment horizontal="center"/>
    </xf>
    <xf numFmtId="9" fontId="0" fillId="0" borderId="0" xfId="0" applyNumberFormat="1"/>
    <xf numFmtId="0" fontId="12" fillId="0" borderId="0" xfId="0" applyFont="1"/>
    <xf numFmtId="0" fontId="12" fillId="0" borderId="0" xfId="0" applyFont="1" applyAlignment="1">
      <alignment horizontal="left" indent="2"/>
    </xf>
    <xf numFmtId="0" fontId="29" fillId="0" borderId="0" xfId="0" applyFont="1"/>
    <xf numFmtId="171" fontId="0" fillId="0" borderId="0" xfId="0" applyNumberFormat="1"/>
    <xf numFmtId="165" fontId="20" fillId="0" borderId="0" xfId="1" applyNumberFormat="1" applyFont="1" applyFill="1"/>
    <xf numFmtId="0" fontId="6" fillId="9" borderId="0" xfId="0" applyFont="1" applyFill="1"/>
    <xf numFmtId="9" fontId="0" fillId="0" borderId="0" xfId="3" applyFont="1"/>
    <xf numFmtId="0" fontId="13" fillId="0" borderId="0" xfId="0" applyFont="1" applyAlignment="1">
      <alignment horizontal="left"/>
    </xf>
    <xf numFmtId="171" fontId="15" fillId="2" borderId="0" xfId="3" applyNumberFormat="1" applyFont="1" applyFill="1"/>
    <xf numFmtId="164" fontId="0" fillId="0" borderId="0" xfId="1" applyNumberFormat="1" applyFont="1"/>
    <xf numFmtId="0" fontId="30" fillId="0" borderId="0" xfId="0" applyFont="1"/>
    <xf numFmtId="14" fontId="0" fillId="0" borderId="0" xfId="2" applyNumberFormat="1" applyFont="1"/>
    <xf numFmtId="166" fontId="0" fillId="0" borderId="0" xfId="2" applyNumberFormat="1" applyFont="1" applyAlignment="1">
      <alignment wrapText="1"/>
    </xf>
    <xf numFmtId="0" fontId="19" fillId="0" borderId="0" xfId="0" applyFont="1" applyAlignment="1">
      <alignment horizontal="center"/>
    </xf>
    <xf numFmtId="0" fontId="31" fillId="0" borderId="0" xfId="0" applyFont="1" applyAlignment="1">
      <alignment horizontal="left" indent="2"/>
    </xf>
    <xf numFmtId="165" fontId="12" fillId="2" borderId="0" xfId="1" applyNumberFormat="1" applyFont="1" applyFill="1"/>
    <xf numFmtId="0" fontId="0" fillId="0" borderId="0" xfId="0" applyAlignment="1">
      <alignment horizontal="right" indent="2"/>
    </xf>
    <xf numFmtId="0" fontId="33" fillId="0" borderId="0" xfId="0" applyFont="1"/>
    <xf numFmtId="0" fontId="34" fillId="0" borderId="0" xfId="0" applyFont="1"/>
    <xf numFmtId="44" fontId="35" fillId="0" borderId="0" xfId="2" applyFont="1"/>
    <xf numFmtId="0" fontId="37" fillId="0" borderId="0" xfId="0" applyFont="1"/>
    <xf numFmtId="14" fontId="12" fillId="0" borderId="0" xfId="0" applyNumberFormat="1" applyFont="1"/>
    <xf numFmtId="0" fontId="19" fillId="0" borderId="0" xfId="0" applyFont="1" applyAlignment="1">
      <alignment horizontal="right"/>
    </xf>
    <xf numFmtId="166" fontId="13" fillId="0" borderId="0" xfId="2" applyNumberFormat="1" applyFont="1"/>
    <xf numFmtId="9" fontId="18" fillId="0" borderId="0" xfId="0" applyNumberFormat="1" applyFont="1"/>
    <xf numFmtId="0" fontId="18" fillId="0" borderId="0" xfId="0" applyFont="1" applyAlignment="1">
      <alignment horizontal="right"/>
    </xf>
    <xf numFmtId="14" fontId="0" fillId="0" borderId="0" xfId="0" applyNumberFormat="1" applyAlignment="1">
      <alignment horizontal="center"/>
    </xf>
    <xf numFmtId="171" fontId="0" fillId="0" borderId="0" xfId="3" applyNumberFormat="1" applyFont="1"/>
    <xf numFmtId="172" fontId="7" fillId="0" borderId="0" xfId="0" applyNumberFormat="1" applyFont="1" applyAlignment="1">
      <alignment horizontal="center"/>
    </xf>
    <xf numFmtId="44" fontId="7" fillId="0" borderId="0" xfId="2" applyFont="1" applyAlignment="1">
      <alignment horizontal="center"/>
    </xf>
    <xf numFmtId="9" fontId="15" fillId="2" borderId="0" xfId="0" applyNumberFormat="1" applyFont="1" applyFill="1" applyAlignment="1">
      <alignment horizontal="center"/>
    </xf>
    <xf numFmtId="171" fontId="7" fillId="0" borderId="0" xfId="3" applyNumberFormat="1" applyFont="1"/>
    <xf numFmtId="0" fontId="7" fillId="0" borderId="0" xfId="0" applyFont="1" applyAlignment="1">
      <alignment horizontal="left" indent="1"/>
    </xf>
    <xf numFmtId="0" fontId="38" fillId="0" borderId="0" xfId="0" applyFont="1"/>
    <xf numFmtId="0" fontId="18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14" fontId="7" fillId="0" borderId="0" xfId="0" applyNumberFormat="1" applyFont="1"/>
    <xf numFmtId="43" fontId="0" fillId="0" borderId="0" xfId="1" applyFont="1"/>
    <xf numFmtId="1" fontId="6" fillId="0" borderId="0" xfId="1" applyNumberFormat="1" applyFont="1" applyAlignment="1">
      <alignment horizontal="center"/>
    </xf>
    <xf numFmtId="0" fontId="39" fillId="4" borderId="0" xfId="0" applyFont="1" applyFill="1" applyAlignment="1">
      <alignment horizontal="centerContinuous"/>
    </xf>
    <xf numFmtId="1" fontId="27" fillId="0" borderId="0" xfId="0" applyNumberFormat="1" applyFont="1" applyAlignment="1">
      <alignment horizontal="center"/>
    </xf>
    <xf numFmtId="3" fontId="7" fillId="0" borderId="0" xfId="1" applyNumberFormat="1" applyFont="1" applyAlignment="1">
      <alignment horizontal="center"/>
    </xf>
    <xf numFmtId="0" fontId="6" fillId="6" borderId="0" xfId="0" applyFont="1" applyFill="1" applyAlignment="1">
      <alignment horizontal="centerContinuous"/>
    </xf>
    <xf numFmtId="14" fontId="11" fillId="4" borderId="0" xfId="0" applyNumberFormat="1" applyFont="1" applyFill="1"/>
    <xf numFmtId="14" fontId="32" fillId="11" borderId="0" xfId="0" applyNumberFormat="1" applyFont="1" applyFill="1"/>
    <xf numFmtId="14" fontId="32" fillId="10" borderId="0" xfId="0" applyNumberFormat="1" applyFont="1" applyFill="1"/>
    <xf numFmtId="14" fontId="32" fillId="7" borderId="0" xfId="0" applyNumberFormat="1" applyFont="1" applyFill="1"/>
    <xf numFmtId="165" fontId="0" fillId="0" borderId="0" xfId="0" applyNumberFormat="1"/>
    <xf numFmtId="1" fontId="0" fillId="0" borderId="0" xfId="0" applyNumberFormat="1"/>
    <xf numFmtId="170" fontId="34" fillId="0" borderId="0" xfId="0" applyNumberFormat="1" applyFont="1"/>
    <xf numFmtId="173" fontId="0" fillId="0" borderId="0" xfId="0" applyNumberFormat="1"/>
    <xf numFmtId="173" fontId="6" fillId="0" borderId="0" xfId="0" applyNumberFormat="1" applyFont="1"/>
    <xf numFmtId="170" fontId="6" fillId="0" borderId="0" xfId="0" applyNumberFormat="1" applyFont="1"/>
    <xf numFmtId="1" fontId="6" fillId="0" borderId="0" xfId="0" applyNumberFormat="1" applyFont="1"/>
    <xf numFmtId="170" fontId="8" fillId="0" borderId="0" xfId="0" applyNumberFormat="1" applyFont="1"/>
    <xf numFmtId="0" fontId="9" fillId="2" borderId="0" xfId="0" applyFont="1" applyFill="1" applyAlignment="1">
      <alignment horizontal="center"/>
    </xf>
    <xf numFmtId="14" fontId="15" fillId="12" borderId="0" xfId="0" applyNumberFormat="1" applyFont="1" applyFill="1"/>
    <xf numFmtId="0" fontId="15" fillId="12" borderId="0" xfId="0" applyFont="1" applyFill="1" applyAlignment="1">
      <alignment horizontal="center"/>
    </xf>
    <xf numFmtId="43" fontId="0" fillId="0" borderId="0" xfId="0" applyNumberFormat="1"/>
    <xf numFmtId="0" fontId="13" fillId="0" borderId="0" xfId="0" applyFont="1" applyAlignment="1">
      <alignment horizontal="center" indent="2"/>
    </xf>
    <xf numFmtId="3" fontId="6" fillId="9" borderId="0" xfId="0" applyNumberFormat="1" applyFont="1" applyFill="1" applyAlignment="1">
      <alignment horizontal="centerContinuous"/>
    </xf>
    <xf numFmtId="0" fontId="6" fillId="9" borderId="0" xfId="0" applyFont="1" applyFill="1" applyAlignment="1">
      <alignment horizontal="centerContinuous"/>
    </xf>
    <xf numFmtId="14" fontId="32" fillId="11" borderId="0" xfId="0" applyNumberFormat="1" applyFont="1" applyFill="1" applyAlignment="1">
      <alignment horizontal="centerContinuous"/>
    </xf>
    <xf numFmtId="14" fontId="32" fillId="7" borderId="0" xfId="0" applyNumberFormat="1" applyFont="1" applyFill="1" applyAlignment="1">
      <alignment horizontal="centerContinuous"/>
    </xf>
    <xf numFmtId="14" fontId="32" fillId="10" borderId="0" xfId="0" applyNumberFormat="1" applyFont="1" applyFill="1" applyAlignment="1">
      <alignment horizontal="centerContinuous"/>
    </xf>
    <xf numFmtId="6" fontId="15" fillId="2" borderId="0" xfId="0" applyNumberFormat="1" applyFont="1" applyFill="1" applyAlignment="1">
      <alignment horizontal="center"/>
    </xf>
    <xf numFmtId="166" fontId="7" fillId="0" borderId="0" xfId="2" applyNumberFormat="1" applyFont="1"/>
    <xf numFmtId="0" fontId="0" fillId="0" borderId="0" xfId="0" applyAlignment="1">
      <alignment horizontal="right" indent="1"/>
    </xf>
    <xf numFmtId="9" fontId="0" fillId="0" borderId="0" xfId="2" applyNumberFormat="1" applyFont="1"/>
    <xf numFmtId="166" fontId="5" fillId="0" borderId="0" xfId="2" applyNumberFormat="1" applyFont="1"/>
    <xf numFmtId="166" fontId="22" fillId="0" borderId="0" xfId="2" applyNumberFormat="1" applyFont="1"/>
    <xf numFmtId="0" fontId="41" fillId="3" borderId="0" xfId="0" applyFont="1" applyFill="1"/>
    <xf numFmtId="170" fontId="41" fillId="3" borderId="0" xfId="0" applyNumberFormat="1" applyFont="1" applyFill="1"/>
    <xf numFmtId="171" fontId="41" fillId="3" borderId="0" xfId="0" applyNumberFormat="1" applyFont="1" applyFill="1"/>
    <xf numFmtId="171" fontId="7" fillId="0" borderId="0" xfId="0" applyNumberFormat="1" applyFont="1"/>
    <xf numFmtId="166" fontId="28" fillId="0" borderId="0" xfId="2" applyNumberFormat="1" applyFont="1" applyAlignment="1">
      <alignment horizontal="center"/>
    </xf>
    <xf numFmtId="171" fontId="8" fillId="2" borderId="0" xfId="0" applyNumberFormat="1" applyFont="1" applyFill="1"/>
    <xf numFmtId="166" fontId="0" fillId="13" borderId="0" xfId="2" applyNumberFormat="1" applyFont="1" applyFill="1"/>
    <xf numFmtId="1" fontId="42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9" fontId="35" fillId="0" borderId="0" xfId="2" applyNumberFormat="1" applyFont="1"/>
    <xf numFmtId="44" fontId="0" fillId="0" borderId="0" xfId="2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" fontId="7" fillId="0" borderId="0" xfId="1" applyNumberFormat="1" applyFont="1" applyAlignment="1">
      <alignment horizontal="center"/>
    </xf>
    <xf numFmtId="0" fontId="31" fillId="0" borderId="0" xfId="0" applyFont="1"/>
    <xf numFmtId="0" fontId="6" fillId="3" borderId="0" xfId="1" applyNumberFormat="1" applyFont="1" applyFill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3" fontId="27" fillId="0" borderId="0" xfId="1" applyNumberFormat="1" applyFont="1" applyAlignment="1">
      <alignment horizontal="center"/>
    </xf>
    <xf numFmtId="3" fontId="27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66" fontId="7" fillId="0" borderId="0" xfId="0" applyNumberFormat="1" applyFont="1"/>
    <xf numFmtId="44" fontId="0" fillId="0" borderId="0" xfId="0" applyNumberFormat="1"/>
    <xf numFmtId="172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44" fontId="21" fillId="0" borderId="0" xfId="2" applyFont="1"/>
    <xf numFmtId="165" fontId="20" fillId="0" borderId="0" xfId="1" applyNumberFormat="1" applyFont="1"/>
    <xf numFmtId="166" fontId="20" fillId="0" borderId="0" xfId="2" applyNumberFormat="1" applyFont="1"/>
    <xf numFmtId="165" fontId="6" fillId="0" borderId="0" xfId="1" applyNumberFormat="1" applyFont="1"/>
    <xf numFmtId="168" fontId="0" fillId="0" borderId="0" xfId="0" applyNumberFormat="1"/>
    <xf numFmtId="0" fontId="6" fillId="0" borderId="0" xfId="0" applyFont="1" applyAlignment="1">
      <alignment horizontal="left" indent="2"/>
    </xf>
    <xf numFmtId="6" fontId="0" fillId="0" borderId="0" xfId="0" applyNumberFormat="1"/>
    <xf numFmtId="165" fontId="6" fillId="0" borderId="0" xfId="1" applyNumberFormat="1" applyFont="1" applyAlignment="1">
      <alignment horizontal="center"/>
    </xf>
    <xf numFmtId="0" fontId="6" fillId="0" borderId="0" xfId="0" applyFont="1" applyAlignment="1">
      <alignment horizontal="centerContinuous"/>
    </xf>
    <xf numFmtId="0" fontId="34" fillId="0" borderId="0" xfId="0" applyFont="1" applyAlignment="1">
      <alignment horizontal="centerContinuous"/>
    </xf>
    <xf numFmtId="166" fontId="8" fillId="0" borderId="0" xfId="2" applyNumberFormat="1" applyFont="1"/>
    <xf numFmtId="166" fontId="8" fillId="0" borderId="0" xfId="0" applyNumberFormat="1" applyFont="1"/>
    <xf numFmtId="14" fontId="0" fillId="0" borderId="0" xfId="1" applyNumberFormat="1" applyFont="1"/>
    <xf numFmtId="0" fontId="6" fillId="0" borderId="0" xfId="0" applyFont="1" applyAlignment="1">
      <alignment horizontal="left"/>
    </xf>
    <xf numFmtId="0" fontId="0" fillId="0" borderId="1" xfId="0" applyBorder="1"/>
    <xf numFmtId="165" fontId="0" fillId="0" borderId="1" xfId="1" applyNumberFormat="1" applyFont="1" applyBorder="1" applyAlignment="1">
      <alignment horizontal="center"/>
    </xf>
    <xf numFmtId="165" fontId="6" fillId="0" borderId="1" xfId="0" applyNumberFormat="1" applyFont="1" applyBorder="1"/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6" borderId="1" xfId="0" applyFont="1" applyFill="1" applyBorder="1" applyAlignment="1">
      <alignment horizontal="left"/>
    </xf>
    <xf numFmtId="0" fontId="11" fillId="6" borderId="1" xfId="0" applyFont="1" applyFill="1" applyBorder="1" applyAlignment="1">
      <alignment horizontal="center"/>
    </xf>
    <xf numFmtId="166" fontId="0" fillId="0" borderId="1" xfId="2" applyNumberFormat="1" applyFont="1" applyBorder="1"/>
    <xf numFmtId="166" fontId="6" fillId="0" borderId="1" xfId="2" applyNumberFormat="1" applyFont="1" applyBorder="1"/>
    <xf numFmtId="0" fontId="11" fillId="14" borderId="1" xfId="0" applyFont="1" applyFill="1" applyBorder="1" applyAlignment="1">
      <alignment horizontal="center"/>
    </xf>
    <xf numFmtId="0" fontId="6" fillId="0" borderId="2" xfId="0" applyFont="1" applyBorder="1"/>
    <xf numFmtId="165" fontId="0" fillId="0" borderId="2" xfId="1" applyNumberFormat="1" applyFont="1" applyBorder="1"/>
    <xf numFmtId="165" fontId="6" fillId="0" borderId="2" xfId="1" applyNumberFormat="1" applyFont="1" applyBorder="1"/>
    <xf numFmtId="1" fontId="0" fillId="0" borderId="1" xfId="0" applyNumberFormat="1" applyBorder="1" applyAlignment="1">
      <alignment horizontal="center"/>
    </xf>
    <xf numFmtId="0" fontId="11" fillId="6" borderId="1" xfId="0" applyFont="1" applyFill="1" applyBorder="1"/>
    <xf numFmtId="0" fontId="3" fillId="0" borderId="0" xfId="0" applyFont="1"/>
    <xf numFmtId="0" fontId="3" fillId="5" borderId="0" xfId="0" applyFont="1" applyFill="1"/>
    <xf numFmtId="0" fontId="3" fillId="0" borderId="0" xfId="0" applyFont="1" applyAlignment="1">
      <alignment horizontal="left" indent="2"/>
    </xf>
    <xf numFmtId="9" fontId="3" fillId="0" borderId="0" xfId="0" applyNumberFormat="1" applyFont="1"/>
    <xf numFmtId="0" fontId="3" fillId="3" borderId="0" xfId="0" applyFont="1" applyFill="1"/>
    <xf numFmtId="43" fontId="3" fillId="0" borderId="0" xfId="0" applyNumberFormat="1" applyFont="1"/>
    <xf numFmtId="168" fontId="3" fillId="0" borderId="0" xfId="0" applyNumberFormat="1" applyFont="1"/>
    <xf numFmtId="0" fontId="3" fillId="8" borderId="0" xfId="0" applyFont="1" applyFill="1"/>
    <xf numFmtId="166" fontId="3" fillId="0" borderId="0" xfId="0" applyNumberFormat="1" applyFont="1"/>
    <xf numFmtId="166" fontId="3" fillId="0" borderId="0" xfId="2" applyNumberFormat="1" applyFont="1"/>
    <xf numFmtId="167" fontId="3" fillId="0" borderId="0" xfId="0" applyNumberFormat="1" applyFont="1"/>
    <xf numFmtId="14" fontId="3" fillId="0" borderId="0" xfId="0" applyNumberFormat="1" applyFont="1"/>
    <xf numFmtId="0" fontId="2" fillId="0" borderId="0" xfId="0" applyFont="1"/>
    <xf numFmtId="0" fontId="2" fillId="8" borderId="0" xfId="0" applyFont="1" applyFill="1"/>
    <xf numFmtId="9" fontId="18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" fillId="0" borderId="0" xfId="0" applyFont="1" applyAlignment="1">
      <alignment horizontal="left" indent="2"/>
    </xf>
    <xf numFmtId="0" fontId="32" fillId="9" borderId="1" xfId="0" applyFont="1" applyFill="1" applyBorder="1" applyAlignment="1">
      <alignment horizontal="center"/>
    </xf>
    <xf numFmtId="0" fontId="32" fillId="6" borderId="1" xfId="0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0" fontId="32" fillId="9" borderId="1" xfId="0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eetMetadata" Target="metadata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microsoft.com/office/2017/06/relationships/rdRichValue" Target="richData/rdrichvalue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1</v>
  </rv>
  <rv s="1">
    <v>13</v>
    <v>3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DF854-BE07-45A7-A212-3B9AF5BC22E9}">
  <sheetPr>
    <pageSetUpPr fitToPage="1"/>
  </sheetPr>
  <dimension ref="A1:BG69"/>
  <sheetViews>
    <sheetView tabSelected="1" view="pageBreakPreview" zoomScale="85" zoomScaleNormal="100" zoomScaleSheetLayoutView="85" workbookViewId="0">
      <selection activeCell="AE20" sqref="AE20"/>
    </sheetView>
  </sheetViews>
  <sheetFormatPr defaultRowHeight="15" x14ac:dyDescent="0.25"/>
  <cols>
    <col min="1" max="1" width="4.7109375" customWidth="1"/>
    <col min="2" max="2" width="2.42578125" customWidth="1"/>
    <col min="3" max="3" width="27.140625" customWidth="1"/>
    <col min="4" max="6" width="12.5703125" bestFit="1" customWidth="1"/>
    <col min="7" max="7" width="12.85546875" bestFit="1" customWidth="1"/>
    <col min="8" max="8" width="13.7109375" bestFit="1" customWidth="1"/>
    <col min="9" max="9" width="12.7109375" customWidth="1"/>
    <col min="10" max="10" width="5.28515625" customWidth="1"/>
    <col min="11" max="11" width="12.5703125" bestFit="1" customWidth="1"/>
    <col min="12" max="12" width="12.85546875" bestFit="1" customWidth="1"/>
    <col min="13" max="16" width="12.5703125" bestFit="1" customWidth="1"/>
    <col min="17" max="17" width="15.140625" customWidth="1"/>
    <col min="18" max="18" width="14.7109375" customWidth="1"/>
    <col min="19" max="19" width="5.7109375" customWidth="1"/>
    <col min="20" max="20" width="23" bestFit="1" customWidth="1"/>
    <col min="21" max="24" width="12.85546875" bestFit="1" customWidth="1"/>
    <col min="25" max="26" width="11.7109375" bestFit="1" customWidth="1"/>
    <col min="27" max="27" width="12.85546875" bestFit="1" customWidth="1"/>
    <col min="28" max="28" width="5.7109375" customWidth="1"/>
    <col min="29" max="29" width="5.42578125" customWidth="1"/>
    <col min="30" max="30" width="23" bestFit="1" customWidth="1"/>
    <col min="31" max="33" width="12.7109375" bestFit="1" customWidth="1"/>
    <col min="34" max="34" width="12.5703125" bestFit="1" customWidth="1"/>
    <col min="35" max="36" width="13.42578125" bestFit="1" customWidth="1"/>
    <col min="37" max="37" width="5.7109375" customWidth="1"/>
    <col min="38" max="38" width="23" bestFit="1" customWidth="1"/>
    <col min="39" max="41" width="12.7109375" bestFit="1" customWidth="1"/>
    <col min="42" max="42" width="12.5703125" bestFit="1" customWidth="1"/>
    <col min="43" max="44" width="13.42578125" bestFit="1" customWidth="1"/>
    <col min="45" max="45" width="5.42578125" customWidth="1"/>
    <col min="46" max="46" width="23" bestFit="1" customWidth="1"/>
    <col min="47" max="49" width="12.7109375" bestFit="1" customWidth="1"/>
    <col min="50" max="50" width="12.5703125" bestFit="1" customWidth="1"/>
    <col min="51" max="52" width="13.42578125" bestFit="1" customWidth="1"/>
    <col min="53" max="53" width="6.5703125" customWidth="1"/>
    <col min="54" max="54" width="22.85546875" customWidth="1"/>
    <col min="55" max="55" width="13.28515625" bestFit="1" customWidth="1"/>
    <col min="56" max="58" width="14.28515625" bestFit="1" customWidth="1"/>
    <col min="59" max="59" width="12.5703125" bestFit="1" customWidth="1"/>
  </cols>
  <sheetData>
    <row r="1" spans="1:59" x14ac:dyDescent="0.25">
      <c r="A1" s="1" t="s">
        <v>0</v>
      </c>
      <c r="J1" s="1" t="s">
        <v>1</v>
      </c>
      <c r="S1" s="1" t="s">
        <v>2</v>
      </c>
      <c r="AC1" s="1" t="str">
        <f>AD3&amp;" P&amp;L Summary by Quarter"</f>
        <v>Corporate P&amp;L Summary by Quarter</v>
      </c>
      <c r="AK1" s="1" t="str">
        <f>AL3&amp;" P&amp;L Summary by Quarter"</f>
        <v>JV1 P&amp;L Summary by Quarter</v>
      </c>
      <c r="AS1" s="1" t="str">
        <f>AT3&amp;" P&amp;L Summary by Quarter"</f>
        <v>JV2 P&amp;L Summary by Quarter</v>
      </c>
      <c r="BA1" s="1" t="s">
        <v>3</v>
      </c>
    </row>
    <row r="2" spans="1:59" x14ac:dyDescent="0.25">
      <c r="A2" s="4" t="s">
        <v>4</v>
      </c>
      <c r="J2" s="4" t="s">
        <v>5</v>
      </c>
      <c r="S2" s="4" t="s">
        <v>6</v>
      </c>
      <c r="AC2" s="4" t="s">
        <v>7</v>
      </c>
      <c r="AK2" s="4"/>
      <c r="AS2" s="4"/>
      <c r="BA2" s="4"/>
    </row>
    <row r="3" spans="1:59" x14ac:dyDescent="0.25">
      <c r="A3" s="1"/>
      <c r="B3" s="196" t="s">
        <v>471</v>
      </c>
      <c r="C3" s="196"/>
      <c r="D3" s="197" t="s">
        <v>8</v>
      </c>
      <c r="E3" s="197" t="s">
        <v>9</v>
      </c>
      <c r="F3" s="197" t="s">
        <v>10</v>
      </c>
      <c r="G3" s="197" t="s">
        <v>11</v>
      </c>
      <c r="H3" s="197" t="s">
        <v>12</v>
      </c>
      <c r="K3" s="196" t="s">
        <v>468</v>
      </c>
      <c r="L3" s="196"/>
      <c r="M3" s="196" t="s">
        <v>8</v>
      </c>
      <c r="N3" s="197" t="s">
        <v>9</v>
      </c>
      <c r="O3" s="197" t="s">
        <v>10</v>
      </c>
      <c r="P3" s="197" t="s">
        <v>11</v>
      </c>
      <c r="Q3" s="197" t="s">
        <v>12</v>
      </c>
      <c r="U3" s="223" t="s">
        <v>407</v>
      </c>
      <c r="V3" s="224" t="s">
        <v>14</v>
      </c>
      <c r="W3" s="226" t="s">
        <v>15</v>
      </c>
      <c r="X3" s="226"/>
      <c r="Y3" s="226"/>
      <c r="Z3" s="224" t="s">
        <v>472</v>
      </c>
      <c r="AA3" s="224" t="s">
        <v>12</v>
      </c>
      <c r="AD3" s="200" t="s">
        <v>407</v>
      </c>
      <c r="AE3" s="197" t="s">
        <v>8</v>
      </c>
      <c r="AF3" s="197" t="s">
        <v>9</v>
      </c>
      <c r="AG3" s="197" t="s">
        <v>10</v>
      </c>
      <c r="AH3" s="197" t="s">
        <v>11</v>
      </c>
      <c r="AI3" s="197" t="s">
        <v>12</v>
      </c>
      <c r="AL3" s="200" t="s">
        <v>14</v>
      </c>
      <c r="AM3" s="197" t="s">
        <v>8</v>
      </c>
      <c r="AN3" s="197" t="s">
        <v>9</v>
      </c>
      <c r="AO3" s="197" t="s">
        <v>10</v>
      </c>
      <c r="AP3" s="197" t="s">
        <v>11</v>
      </c>
      <c r="AQ3" s="197" t="s">
        <v>12</v>
      </c>
      <c r="AT3" s="200" t="s">
        <v>15</v>
      </c>
      <c r="AU3" s="197" t="s">
        <v>8</v>
      </c>
      <c r="AV3" s="197" t="s">
        <v>9</v>
      </c>
      <c r="AW3" s="197" t="s">
        <v>10</v>
      </c>
      <c r="AX3" s="197" t="s">
        <v>11</v>
      </c>
      <c r="AY3" s="197" t="s">
        <v>12</v>
      </c>
      <c r="BB3" s="200">
        <v>2026</v>
      </c>
      <c r="BC3" s="197" t="s">
        <v>8</v>
      </c>
      <c r="BD3" s="197" t="s">
        <v>9</v>
      </c>
      <c r="BE3" s="197" t="s">
        <v>10</v>
      </c>
      <c r="BF3" s="197" t="s">
        <v>11</v>
      </c>
      <c r="BG3" s="197" t="s">
        <v>12</v>
      </c>
    </row>
    <row r="4" spans="1:59" x14ac:dyDescent="0.25">
      <c r="C4" t="s">
        <v>16</v>
      </c>
      <c r="D4" s="3">
        <f>SUMIFS(QTR!EY:EY,QTR!$D:$D,"New Jersey")+SUMIFS(QTR!EY:EY,QTR!$D:$D,"M&amp;A")</f>
        <v>302</v>
      </c>
      <c r="E4" s="3">
        <f>SUMIFS(QTR!EZ:EZ,QTR!$D:$D,"New Jersey")+SUMIFS(QTR!EZ:EZ,QTR!$D:$D,"M&amp;A")</f>
        <v>573</v>
      </c>
      <c r="F4" s="3">
        <f>SUMIFS(QTR!FA:FA,QTR!$D:$D,"New Jersey")+SUMIFS(QTR!FA:FA,QTR!$D:$D,"M&amp;A")</f>
        <v>652</v>
      </c>
      <c r="G4" s="3">
        <f>SUMIFS(QTR!FB:FB,QTR!$D:$D,"New Jersey")+SUMIFS(QTR!FB:FB,QTR!$D:$D,"M&amp;A")</f>
        <v>818</v>
      </c>
      <c r="L4" t="s">
        <v>16</v>
      </c>
      <c r="M4" s="12" cm="1">
        <f t="array" ref="M4:P4">_xlfn.LET(_xlpm.data,_xlfn.ANCHORARRAY(QTR!$J$4),_xlpm.states,_xlfn.ANCHORARRAY(QTR!$D$4),_xlpm.rev,_xlfn._xlws.FILTER(_xlpm.data,(_xlpm.states="M&amp;A")+(_xlpm.states="New Jersey")),
_xlfn.BYCOL(_xlpm.rev,_xlfn.LAMBDA(_xlpm.a,SUM(_xlpm.a))))*0.88</f>
        <v>6652993.8475733316</v>
      </c>
      <c r="N4" s="12">
        <v>14400481.920293329</v>
      </c>
      <c r="O4" s="12">
        <v>19125659.36658667</v>
      </c>
      <c r="P4" s="12">
        <v>24066601.000053331</v>
      </c>
      <c r="Q4" s="13">
        <f>SUM(_xlfn.ANCHORARRAY(M4))</f>
        <v>64245736.134506658</v>
      </c>
      <c r="R4" s="13"/>
      <c r="U4" s="3"/>
      <c r="V4" s="3" t="s">
        <v>16</v>
      </c>
      <c r="W4" s="3" t="s">
        <v>17</v>
      </c>
      <c r="X4" s="3" t="s">
        <v>18</v>
      </c>
      <c r="Y4" s="3" t="s">
        <v>19</v>
      </c>
      <c r="AD4" s="1" t="s">
        <v>20</v>
      </c>
      <c r="AE4" s="67">
        <f>AM15+AU15</f>
        <v>2026001.3362837946</v>
      </c>
      <c r="AF4" s="67">
        <f>AN15+AV15</f>
        <v>2111237.1685719099</v>
      </c>
      <c r="AG4" s="67">
        <f>AO15+AW15</f>
        <v>2217426.8096308541</v>
      </c>
      <c r="AH4" s="67">
        <f>AP15+AX15</f>
        <v>2344570.2594606257</v>
      </c>
      <c r="AI4" s="74">
        <f>SUM(AE4:AH4)</f>
        <v>8699235.5739471838</v>
      </c>
      <c r="AL4" s="1" t="s">
        <v>20</v>
      </c>
      <c r="AM4" s="67">
        <f>SUM('JV1-Monthly'!E37:G37)</f>
        <v>6903817.0869066641</v>
      </c>
      <c r="AN4" s="67">
        <f>SUM('JV1-Monthly'!H37:J37)</f>
        <v>14810919.94829333</v>
      </c>
      <c r="AO4" s="67">
        <f>SUM('JV1-Monthly'!K37:M37)</f>
        <v>19627305.845253326</v>
      </c>
      <c r="AP4" s="67">
        <f>SUM('JV1-Monthly'!N37:P37)</f>
        <v>24659455.92938666</v>
      </c>
      <c r="AQ4" s="74">
        <f>SUM(AM4:AP4)</f>
        <v>66001498.809839979</v>
      </c>
      <c r="AT4" s="1" t="s">
        <v>20</v>
      </c>
      <c r="AU4" s="67">
        <f>SUM('JV2-Monthly'!E37:G37)</f>
        <v>6398573.356905194</v>
      </c>
      <c r="AV4" s="67">
        <f>SUM('JV2-Monthly'!H37:J37)</f>
        <v>6797163.6263660798</v>
      </c>
      <c r="AW4" s="67">
        <f>SUM('JV2-Monthly'!K37:M37)</f>
        <v>7648894.6436407994</v>
      </c>
      <c r="AX4" s="67">
        <f>SUM('JV2-Monthly'!N37:P37)</f>
        <v>8441456.7353131827</v>
      </c>
      <c r="AY4" s="74">
        <f>SUM(AU4:AX4)</f>
        <v>29286088.362225257</v>
      </c>
      <c r="BB4" s="1"/>
      <c r="BC4" s="189"/>
      <c r="BD4" s="189"/>
      <c r="BE4" s="189"/>
      <c r="BF4" s="189"/>
      <c r="BG4" s="180"/>
    </row>
    <row r="5" spans="1:59" x14ac:dyDescent="0.25">
      <c r="C5" t="s">
        <v>17</v>
      </c>
      <c r="D5" s="3">
        <f>SUMIFS(QTR!EY:EY,QTR!$D:$D,"maryland")</f>
        <v>168</v>
      </c>
      <c r="E5" s="3">
        <f>SUMIFS(QTR!EZ:EZ,QTR!$D:$D,"maryland")</f>
        <v>175</v>
      </c>
      <c r="F5" s="3">
        <f>SUMIFS(QTR!FA:FA,QTR!$D:$D,"maryland")</f>
        <v>191</v>
      </c>
      <c r="G5" s="3">
        <f>SUMIFS(QTR!FB:FB,QTR!$D:$D,"maryland")</f>
        <v>206</v>
      </c>
      <c r="L5" t="s">
        <v>17</v>
      </c>
      <c r="M5" s="12" cm="1">
        <f t="array" ref="M5:P5">_xlfn.LET(_xlpm.data,_xlfn.ANCHORARRAY(QTR!$J$4),_xlpm.states,_xlfn.ANCHORARRAY(QTR!$D$4),_xlpm.rev,_xlfn._xlws.FILTER(_xlpm.data,(_xlpm.states="Maryland")),
_xlfn.BYCOL(_xlpm.rev,_xlfn.LAMBDA(_xlpm.a,SUM(_xlpm.a))))*0.88</f>
        <v>3522502.1580408001</v>
      </c>
      <c r="N5" s="12">
        <v>3620303.05804992</v>
      </c>
      <c r="O5" s="12">
        <v>3966738.1952932794</v>
      </c>
      <c r="P5" s="12">
        <v>4202669.2270991998</v>
      </c>
      <c r="Q5" s="13">
        <f>SUM(M5:P5)</f>
        <v>15312212.6384832</v>
      </c>
      <c r="R5" s="13"/>
      <c r="T5" t="s">
        <v>21</v>
      </c>
      <c r="U5" s="67">
        <v>0</v>
      </c>
      <c r="V5" s="67">
        <f>'JV1'!$F$32</f>
        <v>66001498.809840009</v>
      </c>
      <c r="W5" s="67">
        <f>'JV2'!$J$32</f>
        <v>15972074.288931198</v>
      </c>
      <c r="X5" s="67">
        <f>'JV2'!$N$32</f>
        <v>10650586.070254592</v>
      </c>
      <c r="Y5" s="67">
        <f>'JV2'!$R$32</f>
        <v>2663428.0030394658</v>
      </c>
      <c r="Z5" s="67">
        <f>SUM('MDA1:NCA9'!$E67:$P67)</f>
        <v>4481921.1021908801</v>
      </c>
      <c r="AA5" s="67">
        <f>SUM(U5:Z5)</f>
        <v>99769508.274256155</v>
      </c>
      <c r="AB5" s="67"/>
      <c r="AI5" s="67"/>
      <c r="AQ5" s="67"/>
      <c r="AY5" s="67"/>
      <c r="BB5" s="1" t="s">
        <v>22</v>
      </c>
      <c r="BC5" s="53">
        <f>COUNTIFS(Base!$D$5:$BD$5,"&gt;="&amp;DATE($BB$3,RIGHT(BC$3,1)*3-2,1),
Base!$D$5:$BD$5,"&lt;"&amp;DATE($BB$3,RIGHT(BC$3,1)*3+1,1),
Base!$D$1:$BD$1,"M&amp;A")</f>
        <v>1</v>
      </c>
      <c r="BD5" s="53">
        <f>COUNTIFS(Base!$D$5:$BD$5,"&gt;="&amp;DATE($BB$3,RIGHT(BD$3,1)*3-2,1),
Base!$D$5:$BD$5,"&lt;"&amp;DATE($BB$3,RIGHT(BD$3,1)*3+1,1),
Base!$D$1:$BD$1,"M&amp;A")</f>
        <v>0</v>
      </c>
      <c r="BE5" s="53">
        <f>COUNTIFS(Base!$D$5:$BD$5,"&gt;="&amp;DATE($BB$3,RIGHT(BE$3,1)*3-2,1),
Base!$D$5:$BD$5,"&lt;"&amp;DATE($BB$3,RIGHT(BE$3,1)*3+1,1),
Base!$D$1:$BD$1,"M&amp;A")</f>
        <v>0</v>
      </c>
      <c r="BF5" s="53">
        <f>COUNTIFS(Base!$D$5:$BD$5,"&gt;="&amp;DATE($BB$3,RIGHT(BF$3,1)*3-2,1),
Base!$D$5:$BD$5,"&lt;"&amp;DATE($BB$3,RIGHT(BF$3,1)*3+1,1),
Base!$D$1:$BD$1,"M&amp;A")</f>
        <v>1</v>
      </c>
      <c r="BG5" s="180">
        <f t="shared" ref="BG5:BG11" si="0">SUM(BC5:BF5)</f>
        <v>2</v>
      </c>
    </row>
    <row r="6" spans="1:59" x14ac:dyDescent="0.25">
      <c r="C6" t="s">
        <v>18</v>
      </c>
      <c r="D6" s="3">
        <f>SUMIFS(QTR!EY:EY,QTR!$D:$D,"North carolina")</f>
        <v>138</v>
      </c>
      <c r="E6" s="3">
        <f>SUMIFS(QTR!EZ:EZ,QTR!$D:$D,"North carolina")</f>
        <v>150</v>
      </c>
      <c r="F6" s="3">
        <f>SUMIFS(QTR!FA:FA,QTR!$D:$D,"North carolina")</f>
        <v>167</v>
      </c>
      <c r="G6" s="3">
        <f>SUMIFS(QTR!FB:FB,QTR!$D:$D,"North carolina")</f>
        <v>192</v>
      </c>
      <c r="L6" t="s">
        <v>18</v>
      </c>
      <c r="M6" s="12" cm="1">
        <f t="array" ref="M6:P6">_xlfn.LET(_xlpm.data,_xlfn.ANCHORARRAY(QTR!$J$4),_xlpm.states,_xlfn.ANCHORARRAY(QTR!$D$4),_xlpm.rev,_xlfn._xlws.FILTER(_xlpm.data,(_xlpm.states="North Carolina")),
_xlfn.BYCOL(_xlpm.rev,_xlfn.LAMBDA(_xlpm.a,SUM(_xlpm.a))))*0.88</f>
        <v>2129349.1574733546</v>
      </c>
      <c r="N6" s="12">
        <v>2333803.8211311996</v>
      </c>
      <c r="O6" s="12">
        <v>2652109.3931235196</v>
      </c>
      <c r="P6" s="12">
        <v>3138029.975033184</v>
      </c>
      <c r="Q6" s="13">
        <f>SUM(M6:P6)</f>
        <v>10253292.346761258</v>
      </c>
      <c r="R6" s="13"/>
      <c r="T6" t="s">
        <v>149</v>
      </c>
      <c r="U6" s="67">
        <f>SUM(V18:Y18)</f>
        <v>8699235.5739471838</v>
      </c>
      <c r="V6" s="67">
        <v>0</v>
      </c>
      <c r="W6" s="67">
        <v>0</v>
      </c>
      <c r="X6" s="67">
        <v>0</v>
      </c>
      <c r="Y6" s="67">
        <v>0</v>
      </c>
      <c r="Z6" s="67">
        <v>0</v>
      </c>
      <c r="AA6" s="67"/>
      <c r="AB6" s="67"/>
      <c r="AD6" t="s">
        <v>23</v>
      </c>
      <c r="AE6" s="12">
        <f>SUM('Corp.'!E40:G40)</f>
        <v>1977714.5362837953</v>
      </c>
      <c r="AF6" s="12">
        <f>SUM('Corp.'!H40:J40)</f>
        <v>2062950.3685719101</v>
      </c>
      <c r="AG6" s="12">
        <f>SUM('Corp.'!K40:M40)</f>
        <v>2169140.0096308538</v>
      </c>
      <c r="AH6" s="12">
        <f>SUM('Corp.'!N40:P40)</f>
        <v>2296283.4594606264</v>
      </c>
      <c r="AI6" s="74">
        <f t="shared" ref="AI6:AI15" si="1">SUM(AE6:AH6)</f>
        <v>8506088.3739471845</v>
      </c>
      <c r="AL6" t="s">
        <v>23</v>
      </c>
      <c r="AM6" s="12">
        <f>SUM('JV1-Monthly'!E40:G40)</f>
        <v>1870480.8298206541</v>
      </c>
      <c r="AN6" s="12">
        <f>SUM('JV1-Monthly'!H40:J40)</f>
        <v>3155939.922733489</v>
      </c>
      <c r="AO6" s="12">
        <f>SUM('JV1-Monthly'!K40:M40)</f>
        <v>4408908.8665392306</v>
      </c>
      <c r="AP6" s="12">
        <f>SUM('JV1-Monthly'!N40:P40)</f>
        <v>6016974.5807341337</v>
      </c>
      <c r="AQ6" s="74">
        <f t="shared" ref="AQ6:AQ15" si="2">SUM(AM6:AP6)</f>
        <v>15452304.199827507</v>
      </c>
      <c r="AT6" t="s">
        <v>23</v>
      </c>
      <c r="AU6" s="12">
        <f>SUM('JV2-Monthly'!E40:G40)</f>
        <v>3542027.7826392315</v>
      </c>
      <c r="AV6" s="12">
        <f>SUM('JV2-Monthly'!H40:J40)</f>
        <v>3751082.1148861856</v>
      </c>
      <c r="AW6" s="12">
        <f>SUM('JV2-Monthly'!K40:M40)</f>
        <v>4326296.1772531839</v>
      </c>
      <c r="AX6" s="12">
        <f>SUM('JV2-Monthly'!N40:P40)</f>
        <v>4794581.3247526772</v>
      </c>
      <c r="AY6" s="74">
        <f t="shared" ref="AY6:AY15" si="3">SUM(AU6:AX6)</f>
        <v>16413987.399531279</v>
      </c>
      <c r="BC6" s="53"/>
      <c r="BD6" s="53"/>
      <c r="BE6" s="53"/>
      <c r="BF6" s="53"/>
      <c r="BG6" s="180"/>
    </row>
    <row r="7" spans="1:59" x14ac:dyDescent="0.25">
      <c r="C7" s="191" t="s">
        <v>19</v>
      </c>
      <c r="D7" s="194">
        <f>SUMIFS(QTR!EY:EY,QTR!$D:$D,"Arizona")</f>
        <v>41</v>
      </c>
      <c r="E7" s="194">
        <f>SUMIFS(QTR!EZ:EZ,QTR!$D:$D,"Arizona")</f>
        <v>46</v>
      </c>
      <c r="F7" s="194">
        <f>SUMIFS(QTR!FA:FA,QTR!$D:$D,"Arizona")</f>
        <v>52</v>
      </c>
      <c r="G7" s="194">
        <f>SUMIFS(QTR!FB:FB,QTR!$D:$D,"Arizona")</f>
        <v>57</v>
      </c>
      <c r="L7" s="191" t="s">
        <v>19</v>
      </c>
      <c r="M7" s="198" cm="1">
        <f t="array" ref="M7:P7">_xlfn.LET(_xlpm.data,_xlfn.ANCHORARRAY(QTR!$J$4),_xlpm.states,_xlfn.ANCHORARRAY(QTR!$D$4),_xlpm.rev,_xlfn._xlws.FILTER(_xlpm.data,(_xlpm.states="Arizona")),
_xlfn.BYCOL(_xlpm.rev,_xlfn.LAMBDA(_xlpm.a,SUM(_xlpm.a))))*0.88</f>
        <v>551541.72806303983</v>
      </c>
      <c r="N7" s="198">
        <v>626966.23788362648</v>
      </c>
      <c r="O7" s="198">
        <v>707104.77956799977</v>
      </c>
      <c r="P7" s="198">
        <v>777815.25752479979</v>
      </c>
      <c r="Q7" s="199">
        <f>SUM(M7:P7)</f>
        <v>2663428.0030394662</v>
      </c>
      <c r="R7" s="13"/>
      <c r="AD7" t="s">
        <v>24</v>
      </c>
      <c r="AE7" s="12">
        <f>SUM('Corp.'!E41:G41)</f>
        <v>0</v>
      </c>
      <c r="AF7" s="12">
        <f>SUM('Corp.'!H41:J41)</f>
        <v>0</v>
      </c>
      <c r="AG7" s="12">
        <f>SUM('Corp.'!K41:M41)</f>
        <v>0</v>
      </c>
      <c r="AH7" s="12">
        <f>SUM('Corp.'!N41:P41)</f>
        <v>0</v>
      </c>
      <c r="AI7" s="74">
        <f t="shared" si="1"/>
        <v>0</v>
      </c>
      <c r="AL7" t="s">
        <v>24</v>
      </c>
      <c r="AM7" s="12">
        <f>SUM('JV1-Monthly'!E41:G41)</f>
        <v>1970073.6000000001</v>
      </c>
      <c r="AN7" s="12">
        <f>SUM('JV1-Monthly'!H41:J41)</f>
        <v>4925183.9999999991</v>
      </c>
      <c r="AO7" s="12">
        <f>SUM('JV1-Monthly'!K41:M41)</f>
        <v>6021734.3999999994</v>
      </c>
      <c r="AP7" s="12">
        <f>SUM('JV1-Monthly'!N41:P41)</f>
        <v>6811622.3999999994</v>
      </c>
      <c r="AQ7" s="74">
        <f t="shared" si="2"/>
        <v>19728614.399999999</v>
      </c>
      <c r="AT7" t="s">
        <v>24</v>
      </c>
      <c r="AU7" s="12">
        <f>SUM('JV2-Monthly'!E41:G41)</f>
        <v>0</v>
      </c>
      <c r="AV7" s="12">
        <f>SUM('JV2-Monthly'!H41:J41)</f>
        <v>0</v>
      </c>
      <c r="AW7" s="12">
        <f>SUM('JV2-Monthly'!K41:M41)</f>
        <v>0</v>
      </c>
      <c r="AX7" s="12">
        <f>SUM('JV2-Monthly'!N41:P41)</f>
        <v>0</v>
      </c>
      <c r="AY7" s="74">
        <f t="shared" si="3"/>
        <v>0</v>
      </c>
      <c r="BB7" s="201" t="s">
        <v>25</v>
      </c>
      <c r="BC7" s="202"/>
      <c r="BD7" s="202"/>
      <c r="BE7" s="202"/>
      <c r="BF7" s="202"/>
      <c r="BG7" s="203"/>
    </row>
    <row r="8" spans="1:59" x14ac:dyDescent="0.25">
      <c r="C8" s="1" t="s">
        <v>26</v>
      </c>
      <c r="D8" s="2">
        <f>SUM(D4:D7)</f>
        <v>649</v>
      </c>
      <c r="E8" s="2">
        <f>SUM(E4:E7)</f>
        <v>944</v>
      </c>
      <c r="F8" s="2">
        <f>SUM(F4:F7)</f>
        <v>1062</v>
      </c>
      <c r="G8" s="2">
        <f>SUM(G4:G7)</f>
        <v>1273</v>
      </c>
      <c r="H8" s="2"/>
      <c r="I8" s="2"/>
      <c r="M8" s="13">
        <f>SUM(M4:M7)</f>
        <v>12856386.891150527</v>
      </c>
      <c r="N8" s="13">
        <f>SUM(N4:N7)</f>
        <v>20981555.037358075</v>
      </c>
      <c r="O8" s="13">
        <f>SUM(O4:O7)</f>
        <v>26451611.734571464</v>
      </c>
      <c r="P8" s="13">
        <f>SUM(P4:P7)</f>
        <v>32185115.459710512</v>
      </c>
      <c r="Q8" s="13">
        <f>SUM(Q4:Q7)</f>
        <v>92474669.122790575</v>
      </c>
      <c r="R8" s="13"/>
      <c r="T8" s="1" t="s">
        <v>27</v>
      </c>
      <c r="AD8" t="s">
        <v>28</v>
      </c>
      <c r="AE8" s="12">
        <f>SUM('Corp.'!E42:G42)</f>
        <v>0</v>
      </c>
      <c r="AF8" s="12">
        <f>SUM('Corp.'!H42:J42)</f>
        <v>0</v>
      </c>
      <c r="AG8" s="12">
        <f>SUM('Corp.'!K42:M42)</f>
        <v>0</v>
      </c>
      <c r="AH8" s="12">
        <f>SUM('Corp.'!N42:P42)</f>
        <v>0</v>
      </c>
      <c r="AI8" s="74">
        <f t="shared" si="1"/>
        <v>0</v>
      </c>
      <c r="AL8" t="s">
        <v>28</v>
      </c>
      <c r="AM8" s="12">
        <f>SUM('JV1-Monthly'!E42:G42)</f>
        <v>183484.47000000003</v>
      </c>
      <c r="AN8" s="12">
        <f>SUM('JV1-Monthly'!H42:J42)</f>
        <v>288484.47000000003</v>
      </c>
      <c r="AO8" s="12">
        <f>SUM('JV1-Monthly'!K42:M42)</f>
        <v>348484.47000000003</v>
      </c>
      <c r="AP8" s="12">
        <f>SUM('JV1-Monthly'!N42:P42)</f>
        <v>408484.47</v>
      </c>
      <c r="AQ8" s="74">
        <f t="shared" si="2"/>
        <v>1228937.8800000001</v>
      </c>
      <c r="AT8" t="s">
        <v>28</v>
      </c>
      <c r="AU8" s="12">
        <f>SUM('JV2-Monthly'!E42:G42)</f>
        <v>77687.400000000009</v>
      </c>
      <c r="AV8" s="12">
        <f>SUM('JV2-Monthly'!H42:J42)</f>
        <v>84400.400000000009</v>
      </c>
      <c r="AW8" s="12">
        <f>SUM('JV2-Monthly'!K42:M42)</f>
        <v>140703.51</v>
      </c>
      <c r="AX8" s="12">
        <f>SUM('JV2-Monthly'!N42:P42)</f>
        <v>160842.51</v>
      </c>
      <c r="AY8" s="74">
        <f t="shared" si="3"/>
        <v>463633.82000000007</v>
      </c>
      <c r="BB8" t="s">
        <v>29</v>
      </c>
      <c r="BC8" s="53" cm="1">
        <f t="array" ref="BC8">SUM(COUNTIFS('P&amp;Ls'!$S:$S,2026,'P&amp;Ls'!$Q:$Q,$BB8,'P&amp;Ls'!$T:$T,{1,2,3}))</f>
        <v>2</v>
      </c>
      <c r="BD8" s="53" cm="1">
        <f t="array" ref="BD8">SUM(COUNTIFS('P&amp;Ls'!$S:$S,2026,'P&amp;Ls'!$Q:$Q,$BB8,'P&amp;Ls'!$T:$T,{4,5,6}))</f>
        <v>1</v>
      </c>
      <c r="BE8" s="53" cm="1">
        <f t="array" ref="BE8">SUM(COUNTIFS('P&amp;Ls'!$S:$S,2026,'P&amp;Ls'!$Q:$Q,$BB8,'P&amp;Ls'!$T:$T,{7,8,9}))</f>
        <v>2</v>
      </c>
      <c r="BF8" s="53" cm="1">
        <f t="array" ref="BF8">SUM(COUNTIFS('P&amp;Ls'!$S:$S,2026,'P&amp;Ls'!$Q:$Q,$BB8,'P&amp;Ls'!$T:$T,{10,11,12}))</f>
        <v>1</v>
      </c>
      <c r="BG8" s="180">
        <f t="shared" si="0"/>
        <v>6</v>
      </c>
    </row>
    <row r="9" spans="1:59" x14ac:dyDescent="0.25">
      <c r="A9" s="186"/>
      <c r="B9" s="225" t="s">
        <v>30</v>
      </c>
      <c r="C9" s="225"/>
      <c r="D9" s="225"/>
      <c r="E9" s="225"/>
      <c r="F9" s="225"/>
      <c r="G9" s="225"/>
      <c r="H9" s="185"/>
      <c r="I9" s="185"/>
      <c r="R9" s="13"/>
      <c r="T9" s="39" t="s">
        <v>23</v>
      </c>
      <c r="U9" s="12">
        <f>SUM('Corp.'!E40:P40)</f>
        <v>8506088.3739471845</v>
      </c>
      <c r="V9" s="12">
        <f>'JV1'!F35</f>
        <v>15452304.199827505</v>
      </c>
      <c r="W9" s="12">
        <f>'JV2'!J35</f>
        <v>9219259.4861770123</v>
      </c>
      <c r="X9" s="12">
        <f>'JV2'!N35</f>
        <v>5749477.7424457632</v>
      </c>
      <c r="Y9" s="12">
        <f>'JV2'!R35</f>
        <v>1445250.1709085044</v>
      </c>
      <c r="Z9" s="67">
        <f>SUM('MDA1:NCA9'!$E72:$P72)</f>
        <v>2581252.4568087878</v>
      </c>
      <c r="AA9" s="67">
        <f t="shared" ref="AA9:AA17" si="4">SUM(U9:Z9)</f>
        <v>42953632.430114754</v>
      </c>
      <c r="AB9" s="67"/>
      <c r="AD9" t="s">
        <v>31</v>
      </c>
      <c r="AE9" s="12">
        <f>SUM('Corp.'!E43:G43)</f>
        <v>0</v>
      </c>
      <c r="AF9" s="12">
        <f>SUM('Corp.'!H43:J43)</f>
        <v>0</v>
      </c>
      <c r="AG9" s="12">
        <f>SUM('Corp.'!K43:M43)</f>
        <v>0</v>
      </c>
      <c r="AH9" s="12">
        <f>SUM('Corp.'!N43:P43)</f>
        <v>0</v>
      </c>
      <c r="AI9" s="74">
        <f t="shared" si="1"/>
        <v>0</v>
      </c>
      <c r="AL9" t="s">
        <v>31</v>
      </c>
      <c r="AM9" s="12">
        <f>SUM('JV1-Monthly'!E43:G43)</f>
        <v>83585.009999999995</v>
      </c>
      <c r="AN9" s="12">
        <f>SUM('JV1-Monthly'!H43:J43)</f>
        <v>144485.01</v>
      </c>
      <c r="AO9" s="12">
        <f>SUM('JV1-Monthly'!K43:M43)</f>
        <v>179285.01</v>
      </c>
      <c r="AP9" s="12">
        <f>SUM('JV1-Monthly'!N43:P43)</f>
        <v>214085.01</v>
      </c>
      <c r="AQ9" s="74">
        <f t="shared" si="2"/>
        <v>621440.04</v>
      </c>
      <c r="AT9" t="s">
        <v>31</v>
      </c>
      <c r="AU9" s="12">
        <f>SUM('JV2-Monthly'!E43:G43)</f>
        <v>45483.78</v>
      </c>
      <c r="AV9" s="12">
        <f>SUM('JV2-Monthly'!H43:J43)</f>
        <v>51083.78</v>
      </c>
      <c r="AW9" s="12">
        <f>SUM('JV2-Monthly'!K43:M43)</f>
        <v>79383.78</v>
      </c>
      <c r="AX9" s="12">
        <f>SUM('JV2-Monthly'!N43:P43)</f>
        <v>93183.78</v>
      </c>
      <c r="AY9" s="74">
        <f t="shared" si="3"/>
        <v>269135.12</v>
      </c>
      <c r="BB9" t="s">
        <v>32</v>
      </c>
      <c r="BC9" s="53" cm="1">
        <f t="array" ref="BC9">SUM(COUNTIFS('P&amp;Ls'!$S:$S,2026,'P&amp;Ls'!$Q:$Q,$BB9,'P&amp;Ls'!$T:$T,{1,2,3}))</f>
        <v>0</v>
      </c>
      <c r="BD9" s="53" cm="1">
        <f t="array" ref="BD9">SUM(COUNTIFS('P&amp;Ls'!$S:$S,2026,'P&amp;Ls'!$Q:$Q,$BB9,'P&amp;Ls'!$T:$T,{4,5,6}))</f>
        <v>0</v>
      </c>
      <c r="BE9" s="53" cm="1">
        <f t="array" ref="BE9">SUM(COUNTIFS('P&amp;Ls'!$S:$S,2026,'P&amp;Ls'!$Q:$Q,$BB9,'P&amp;Ls'!$T:$T,{7,8,9}))</f>
        <v>1</v>
      </c>
      <c r="BF9" s="53" cm="1">
        <f t="array" ref="BF9">SUM(COUNTIFS('P&amp;Ls'!$S:$S,2026,'P&amp;Ls'!$Q:$Q,$BB9,'P&amp;Ls'!$T:$T,{10,11,12}))</f>
        <v>0</v>
      </c>
      <c r="BG9" s="180">
        <f t="shared" si="0"/>
        <v>1</v>
      </c>
    </row>
    <row r="10" spans="1:59" x14ac:dyDescent="0.25">
      <c r="A10" s="190"/>
      <c r="B10" s="205" t="s">
        <v>33</v>
      </c>
      <c r="C10" s="205"/>
      <c r="D10" s="205" t="s">
        <v>8</v>
      </c>
      <c r="E10" s="205" t="s">
        <v>9</v>
      </c>
      <c r="F10" s="205" t="s">
        <v>10</v>
      </c>
      <c r="G10" s="205" t="s">
        <v>11</v>
      </c>
      <c r="H10" s="205"/>
      <c r="K10" s="196" t="s">
        <v>470</v>
      </c>
      <c r="L10" s="196"/>
      <c r="M10" s="196" t="s">
        <v>8</v>
      </c>
      <c r="N10" s="197" t="s">
        <v>9</v>
      </c>
      <c r="O10" s="197" t="s">
        <v>10</v>
      </c>
      <c r="P10" s="197" t="s">
        <v>11</v>
      </c>
      <c r="Q10" s="197" t="s">
        <v>12</v>
      </c>
      <c r="R10" s="13"/>
      <c r="T10" s="39" t="s">
        <v>24</v>
      </c>
      <c r="U10" s="12">
        <f>SUM('Corp.'!E41:P41)</f>
        <v>0</v>
      </c>
      <c r="V10" s="12">
        <f>'JV1'!F36</f>
        <v>19728614.400000002</v>
      </c>
      <c r="W10" s="12">
        <f>'JV2'!J36</f>
        <v>0</v>
      </c>
      <c r="X10" s="12">
        <f>'JV2'!N36</f>
        <v>0</v>
      </c>
      <c r="Y10" s="12">
        <f>'JV2'!R36</f>
        <v>0</v>
      </c>
      <c r="Z10" s="67">
        <f>SUM('MDA1:NCA9'!E73)</f>
        <v>0</v>
      </c>
      <c r="AA10" s="67">
        <f t="shared" si="4"/>
        <v>19728614.400000002</v>
      </c>
      <c r="AB10" s="67"/>
      <c r="AD10" t="s">
        <v>34</v>
      </c>
      <c r="AE10" s="12">
        <f>SUM('Corp.'!E44:G44)</f>
        <v>48286.8</v>
      </c>
      <c r="AF10" s="12">
        <f>SUM('Corp.'!H44:J44)</f>
        <v>48286.8</v>
      </c>
      <c r="AG10" s="12">
        <f>SUM('Corp.'!K44:M44)</f>
        <v>48286.8</v>
      </c>
      <c r="AH10" s="12">
        <f>SUM('Corp.'!N44:P44)</f>
        <v>48286.8</v>
      </c>
      <c r="AI10" s="74">
        <f t="shared" si="1"/>
        <v>193147.2</v>
      </c>
      <c r="AL10" t="s">
        <v>34</v>
      </c>
      <c r="AM10" s="12">
        <f>SUM('JV1-Monthly'!E44:G44)</f>
        <v>13780.845999999998</v>
      </c>
      <c r="AN10" s="12">
        <f>SUM('JV1-Monthly'!H44:J44)</f>
        <v>24360.762000000002</v>
      </c>
      <c r="AO10" s="12">
        <f>SUM('JV1-Monthly'!K44:M44)</f>
        <v>31332.050600000002</v>
      </c>
      <c r="AP10" s="12">
        <f>SUM('JV1-Monthly'!N44:P44)</f>
        <v>41372.8626</v>
      </c>
      <c r="AQ10" s="74">
        <f t="shared" si="2"/>
        <v>110846.52119999999</v>
      </c>
      <c r="AT10" t="s">
        <v>34</v>
      </c>
      <c r="AU10" s="12">
        <f>SUM('JV2-Monthly'!E44:G44)</f>
        <v>30466.114800000003</v>
      </c>
      <c r="AV10" s="12">
        <f>SUM('JV2-Monthly'!H44:J44)</f>
        <v>32352.978800000004</v>
      </c>
      <c r="AW10" s="12">
        <f>SUM('JV2-Monthly'!K44:M44)</f>
        <v>39192.860799999995</v>
      </c>
      <c r="AX10" s="12">
        <f>SUM('JV2-Monthly'!N44:P44)</f>
        <v>42747.577799999999</v>
      </c>
      <c r="AY10" s="74">
        <f t="shared" si="3"/>
        <v>144759.53220000002</v>
      </c>
      <c r="BB10" t="s">
        <v>35</v>
      </c>
      <c r="BC10" s="53" cm="1">
        <f t="array" ref="BC10">SUM(COUNTIFS('P&amp;Ls'!$S:$S,2026,'P&amp;Ls'!$Q:$Q,$BB10,'P&amp;Ls'!$T:$T,{1,2,3}))</f>
        <v>0</v>
      </c>
      <c r="BD10" s="53" cm="1">
        <f t="array" ref="BD10">SUM(COUNTIFS('P&amp;Ls'!$S:$S,2026,'P&amp;Ls'!$Q:$Q,$BB10,'P&amp;Ls'!$T:$T,{4,5,6}))</f>
        <v>1</v>
      </c>
      <c r="BE10" s="53" cm="1">
        <f t="array" ref="BE10">SUM(COUNTIFS('P&amp;Ls'!$S:$S,2026,'P&amp;Ls'!$Q:$Q,$BB10,'P&amp;Ls'!$T:$T,{7,8,9}))</f>
        <v>0</v>
      </c>
      <c r="BF10" s="53" cm="1">
        <f t="array" ref="BF10">SUM(COUNTIFS('P&amp;Ls'!$S:$S,2026,'P&amp;Ls'!$Q:$Q,$BB10,'P&amp;Ls'!$T:$T,{10,11,12}))</f>
        <v>1</v>
      </c>
      <c r="BG10" s="180">
        <f t="shared" si="0"/>
        <v>2</v>
      </c>
    </row>
    <row r="11" spans="1:59" x14ac:dyDescent="0.25">
      <c r="C11" t="s">
        <v>373</v>
      </c>
      <c r="D11" s="169" cm="1">
        <f t="array" ref="D11:G11">_xlfn.LET(_xlpm.data,_xlfn.ANCHORARRAY(QTR!$EE$4),_xlpm.states,_xlfn.ANCHORARRAY(QTR!$D$4),_xlpm.rev,_xlfn._xlws.FILTER(_xlpm.data,(_xlpm.states="M&amp;A")+(_xlpm.states="New Jersey")),
_xlfn.BYCOL(_xlpm.data,_xlfn.LAMBDA(_xlpm.a,SUM(_xlpm.a))))</f>
        <v>271.92</v>
      </c>
      <c r="E11" s="169">
        <v>334.4</v>
      </c>
      <c r="F11" s="169">
        <v>418.57000000000005</v>
      </c>
      <c r="G11" s="169">
        <v>523.77</v>
      </c>
      <c r="L11" t="s">
        <v>16</v>
      </c>
      <c r="M11" s="12" cm="1">
        <f t="array" ref="M11:P11">_xlfn.LET(_xlpm.data,_xlfn.ANCHORARRAY(QTR!$BH$4),_xlpm.states,_xlfn.ANCHORARRAY(QTR!$D$4),_xlpm.rev,_xlfn._xlws.FILTER(_xlpm.data,(_xlpm.states="M&amp;A")+(_xlpm.states="New Jersey")),
_xlfn.BYCOL(_xlpm.rev,_xlfn.LAMBDA(_xlpm.a,SUM(_xlpm.a))))*0.88</f>
        <v>250823.23933333327</v>
      </c>
      <c r="N11" s="12">
        <v>410438.02799999993</v>
      </c>
      <c r="O11" s="12">
        <v>501646.47866666655</v>
      </c>
      <c r="P11" s="12">
        <v>592854.92933333328</v>
      </c>
      <c r="Q11" s="13">
        <f>SUM(M11:P11)</f>
        <v>1755762.6753333332</v>
      </c>
      <c r="R11" s="13"/>
      <c r="T11" s="39" t="s">
        <v>28</v>
      </c>
      <c r="U11" s="12">
        <f>SUM('Corp.'!E42:P42)</f>
        <v>0</v>
      </c>
      <c r="V11" s="12">
        <f>'JV1'!F37</f>
        <v>1228937.8799999999</v>
      </c>
      <c r="W11" s="12">
        <f>'JV2'!J37</f>
        <v>315947.81999999995</v>
      </c>
      <c r="X11" s="12">
        <f>'JV2'!N37</f>
        <v>147686</v>
      </c>
      <c r="Y11" s="12">
        <f>'JV2'!R37</f>
        <v>0</v>
      </c>
      <c r="Z11" s="12">
        <v>0</v>
      </c>
      <c r="AA11" s="67">
        <f t="shared" si="4"/>
        <v>1692571.6999999997</v>
      </c>
      <c r="AB11" s="67"/>
      <c r="AD11" t="s">
        <v>37</v>
      </c>
      <c r="AE11" s="12">
        <f>SUM('Corp.'!E45:G45)</f>
        <v>0</v>
      </c>
      <c r="AF11" s="12">
        <f>SUM('Corp.'!H45:J45)</f>
        <v>0</v>
      </c>
      <c r="AG11" s="12">
        <f>SUM('Corp.'!K45:M45)</f>
        <v>0</v>
      </c>
      <c r="AH11" s="12">
        <f>SUM('Corp.'!N45:P45)</f>
        <v>0</v>
      </c>
      <c r="AI11" s="74">
        <f t="shared" si="1"/>
        <v>0</v>
      </c>
      <c r="AL11" t="s">
        <v>37</v>
      </c>
      <c r="AM11" s="12">
        <f>SUM('JV1-Monthly'!E45:G45)</f>
        <v>82500</v>
      </c>
      <c r="AN11" s="12">
        <f>SUM('JV1-Monthly'!H45:J45)</f>
        <v>135000</v>
      </c>
      <c r="AO11" s="12">
        <f>SUM('JV1-Monthly'!K45:M45)</f>
        <v>165000</v>
      </c>
      <c r="AP11" s="12">
        <f>SUM('JV1-Monthly'!N45:P45)</f>
        <v>195000</v>
      </c>
      <c r="AQ11" s="74">
        <f t="shared" si="2"/>
        <v>577500</v>
      </c>
      <c r="AT11" t="s">
        <v>37</v>
      </c>
      <c r="AU11" s="12">
        <f>SUM('JV2-Monthly'!E45:G45)</f>
        <v>70500</v>
      </c>
      <c r="AV11" s="12">
        <f>SUM('JV2-Monthly'!H45:J45)</f>
        <v>76500</v>
      </c>
      <c r="AW11" s="12">
        <f>SUM('JV2-Monthly'!K45:M45)</f>
        <v>101250</v>
      </c>
      <c r="AX11" s="12">
        <f>SUM('JV2-Monthly'!N45:P45)</f>
        <v>114750</v>
      </c>
      <c r="AY11" s="74">
        <f t="shared" si="3"/>
        <v>363000</v>
      </c>
      <c r="BB11" t="s">
        <v>38</v>
      </c>
      <c r="BC11" s="53" cm="1">
        <f t="array" ref="BC11">SUM(COUNTIFS('P&amp;Ls'!$S:$S,2026,'P&amp;Ls'!$Q:$Q,$BB11,'P&amp;Ls'!$T:$T,{1,2,3}))</f>
        <v>0</v>
      </c>
      <c r="BD11" s="53" cm="1">
        <f t="array" ref="BD11">SUM(COUNTIFS('P&amp;Ls'!$S:$S,2026,'P&amp;Ls'!$Q:$Q,$BB11,'P&amp;Ls'!$T:$T,{4,5,6}))</f>
        <v>0</v>
      </c>
      <c r="BE11" s="53" cm="1">
        <f t="array" ref="BE11">SUM(COUNTIFS('P&amp;Ls'!$S:$S,2026,'P&amp;Ls'!$Q:$Q,$BB11,'P&amp;Ls'!$T:$T,{7,8,9}))</f>
        <v>0</v>
      </c>
      <c r="BF11" s="53" cm="1">
        <f t="array" ref="BF11">SUM(COUNTIFS('P&amp;Ls'!$S:$S,2026,'P&amp;Ls'!$Q:$Q,$BB11,'P&amp;Ls'!$T:$T,{10,11,12}))</f>
        <v>0</v>
      </c>
      <c r="BG11" s="180">
        <f t="shared" si="0"/>
        <v>0</v>
      </c>
    </row>
    <row r="12" spans="1:59" x14ac:dyDescent="0.25">
      <c r="C12" t="s">
        <v>374</v>
      </c>
      <c r="D12" s="169" cm="1">
        <f t="array" ref="D12:G12">_xlfn.LET(_xlpm.data,_xlfn.ANCHORARRAY(QTR!$EJ$4),_xlpm.states,_xlfn.ANCHORARRAY(QTR!$D$4),_xlpm.rev,_xlfn._xlws.FILTER(_xlpm.data,(_xlpm.states="M&amp;A")+(_xlpm.states="New Jersey")),
_xlfn.BYCOL(_xlpm.data,_xlfn.LAMBDA(_xlpm.a,SUM(_xlpm.a))))</f>
        <v>49.51</v>
      </c>
      <c r="E12" s="169">
        <v>60.139999999999993</v>
      </c>
      <c r="F12" s="169">
        <v>74.040000000000006</v>
      </c>
      <c r="G12" s="169">
        <v>91.329999999999984</v>
      </c>
      <c r="L12" t="s">
        <v>17</v>
      </c>
      <c r="M12" s="12" cm="1">
        <f t="array" ref="M12:P12">_xlfn.LET(_xlpm.data,_xlfn.ANCHORARRAY(QTR!$BH$4),_xlpm.states,_xlfn.ANCHORARRAY(QTR!$D$4),_xlpm.rev,_xlfn._xlws.FILTER(_xlpm.data,(_xlpm.states="Maryland")),
_xlfn.BYCOL(_xlpm.rev,_xlfn.LAMBDA(_xlpm.a,SUM(_xlpm.a))))*0.88</f>
        <v>132449.72540799997</v>
      </c>
      <c r="N12" s="12">
        <v>132449.72540799997</v>
      </c>
      <c r="O12" s="12">
        <v>197481.09981599994</v>
      </c>
      <c r="P12" s="12">
        <v>197481.09981599994</v>
      </c>
      <c r="Q12" s="13">
        <f>SUM(M12:P12)</f>
        <v>659861.65044799983</v>
      </c>
      <c r="R12" s="13"/>
      <c r="T12" s="39" t="s">
        <v>31</v>
      </c>
      <c r="U12" s="12">
        <f>SUM('Corp.'!E43:P43)</f>
        <v>0</v>
      </c>
      <c r="V12" s="12">
        <f>'JV1'!F38</f>
        <v>621440.04</v>
      </c>
      <c r="W12" s="12">
        <f>'JV2'!J38</f>
        <v>148935.12000000002</v>
      </c>
      <c r="X12" s="12">
        <f>'JV2'!N38</f>
        <v>120200</v>
      </c>
      <c r="Y12" s="12">
        <f>'JV2'!R38</f>
        <v>0</v>
      </c>
      <c r="Z12" s="12">
        <v>0</v>
      </c>
      <c r="AA12" s="67">
        <f t="shared" si="4"/>
        <v>890575.16</v>
      </c>
      <c r="AB12" s="67"/>
      <c r="AD12" t="s">
        <v>40</v>
      </c>
      <c r="AE12" s="12">
        <f>SUM('Corp.'!E46:G46)</f>
        <v>0</v>
      </c>
      <c r="AF12" s="12">
        <f>SUM('Corp.'!H46:J46)</f>
        <v>0</v>
      </c>
      <c r="AG12" s="12">
        <f>SUM('Corp.'!K46:M46)</f>
        <v>0</v>
      </c>
      <c r="AH12" s="12">
        <f>SUM('Corp.'!N46:P46)</f>
        <v>0</v>
      </c>
      <c r="AI12" s="74">
        <f t="shared" si="1"/>
        <v>0</v>
      </c>
      <c r="AL12" t="s">
        <v>40</v>
      </c>
      <c r="AM12" s="12">
        <f>SUM('JV1-Monthly'!E46:G46)</f>
        <v>125104.99999999999</v>
      </c>
      <c r="AN12" s="12">
        <f>SUM('JV1-Monthly'!H46:J46)</f>
        <v>223200</v>
      </c>
      <c r="AO12" s="12">
        <f>SUM('JV1-Monthly'!K46:M46)</f>
        <v>313039.5</v>
      </c>
      <c r="AP12" s="12">
        <f>SUM('JV1-Monthly'!N46:P46)</f>
        <v>432456</v>
      </c>
      <c r="AQ12" s="74">
        <f t="shared" si="2"/>
        <v>1093800.5</v>
      </c>
      <c r="AT12" t="s">
        <v>40</v>
      </c>
      <c r="AU12" s="12">
        <f>SUM('JV2-Monthly'!E46:G46)</f>
        <v>331208.5</v>
      </c>
      <c r="AV12" s="12">
        <f>SUM('JV2-Monthly'!H46:J46)</f>
        <v>353254.5</v>
      </c>
      <c r="AW12" s="12">
        <f>SUM('JV2-Monthly'!K46:M46)</f>
        <v>400418.5</v>
      </c>
      <c r="AX12" s="12">
        <f>SUM('JV2-Monthly'!N46:P46)</f>
        <v>444100.5</v>
      </c>
      <c r="AY12" s="74">
        <f t="shared" si="3"/>
        <v>1528982</v>
      </c>
      <c r="BB12" s="1" t="s">
        <v>41</v>
      </c>
      <c r="BC12" s="180">
        <f>SUM(BC5:BC11)</f>
        <v>3</v>
      </c>
      <c r="BD12" s="180">
        <f>SUM(BD5:BD11)</f>
        <v>2</v>
      </c>
      <c r="BE12" s="180">
        <f>SUM(BE5:BE11)</f>
        <v>3</v>
      </c>
      <c r="BF12" s="180">
        <f>SUM(BF5:BF11)</f>
        <v>3</v>
      </c>
      <c r="BG12" s="180">
        <f>SUM(BG5:BG11)</f>
        <v>11</v>
      </c>
    </row>
    <row r="13" spans="1:59" ht="14.45" customHeight="1" x14ac:dyDescent="0.25">
      <c r="C13" t="s">
        <v>418</v>
      </c>
      <c r="D13" s="3" cm="1">
        <f t="array" ref="D13:G13">_xlfn.LET(_xlpm.data,_xlfn.VSTACK(_xlfn.ANCHORARRAY(QTR!$DU$4),_xlfn.ANCHORARRAY(QTR!$DZ$4)),_xlpm.states,_xlfn.VSTACK(_xlfn.ANCHORARRAY(QTR!$D$4),_xlfn.ANCHORARRAY(QTR!$D$4)),_xlpm.rev,_xlfn._xlws.FILTER(_xlpm.data,(_xlpm.states="M&amp;A")+(_xlpm.states="New Jersey")),
_xlfn.BYCOL(_xlpm.data,_xlfn.LAMBDA(_xlpm.a,SUM(_xlpm.a))))+_xlfn.HSTACK(Monthly!G5,Monthly!J5,Monthly!M5,Monthly!P5)</f>
        <v>93</v>
      </c>
      <c r="E13" s="3">
        <v>116</v>
      </c>
      <c r="F13" s="3">
        <v>143</v>
      </c>
      <c r="G13" s="3">
        <v>169</v>
      </c>
      <c r="L13" t="s">
        <v>18</v>
      </c>
      <c r="M13" s="12" cm="1">
        <f t="array" ref="M13:P13">_xlfn.LET(_xlpm.data,_xlfn.ANCHORARRAY(QTR!$BH$4),_xlpm.states,_xlfn.ANCHORARRAY(QTR!$D$4),_xlpm.rev,_xlfn._xlws.FILTER(_xlpm.data,(_xlpm.states="North Carolina")),
_xlfn.BYCOL(_xlpm.rev,_xlfn.LAMBDA(_xlpm.a,SUM(_xlpm.a))))*0.88</f>
        <v>62730.587919999991</v>
      </c>
      <c r="N13" s="12">
        <v>83640.783893333326</v>
      </c>
      <c r="O13" s="12">
        <v>125461.17583999998</v>
      </c>
      <c r="P13" s="12">
        <v>125461.17583999998</v>
      </c>
      <c r="Q13" s="13">
        <f>SUM(M13:P13)</f>
        <v>397293.72349333327</v>
      </c>
      <c r="R13" s="13"/>
      <c r="T13" s="39" t="s">
        <v>34</v>
      </c>
      <c r="U13" s="12">
        <f>SUM('Corp.'!E44:P44)</f>
        <v>193147.20000000004</v>
      </c>
      <c r="V13" s="12">
        <f>'JV1'!F39</f>
        <v>110846.52119999999</v>
      </c>
      <c r="W13" s="12">
        <f>'JV2'!J39</f>
        <v>75299.351200000005</v>
      </c>
      <c r="X13" s="12">
        <f>'JV2'!N39</f>
        <v>45655.37000000001</v>
      </c>
      <c r="Y13" s="12">
        <f>'JV2'!R39</f>
        <v>23804.811000000002</v>
      </c>
      <c r="Z13" s="12">
        <v>0</v>
      </c>
      <c r="AA13" s="67">
        <f t="shared" si="4"/>
        <v>448753.25340000005</v>
      </c>
      <c r="AB13" s="67"/>
      <c r="AD13" t="s">
        <v>42</v>
      </c>
      <c r="AE13" s="12">
        <f>SUM('Corp.'!E47:G47)</f>
        <v>0</v>
      </c>
      <c r="AF13" s="12">
        <f>SUM('Corp.'!H47:J47)</f>
        <v>0</v>
      </c>
      <c r="AG13" s="12">
        <f>SUM('Corp.'!K47:M47)</f>
        <v>0</v>
      </c>
      <c r="AH13" s="12">
        <f>SUM('Corp.'!N47:P47)</f>
        <v>0</v>
      </c>
      <c r="AI13" s="74">
        <f t="shared" si="1"/>
        <v>0</v>
      </c>
      <c r="AL13" t="s">
        <v>42</v>
      </c>
      <c r="AM13" s="12">
        <f>SUM('JV1-Monthly'!E47:G47)</f>
        <v>66000</v>
      </c>
      <c r="AN13" s="12">
        <f>SUM('JV1-Monthly'!H47:J47)</f>
        <v>108000</v>
      </c>
      <c r="AO13" s="12">
        <f>SUM('JV1-Monthly'!K47:M47)</f>
        <v>132000</v>
      </c>
      <c r="AP13" s="12">
        <f>SUM('JV1-Monthly'!N47:P47)</f>
        <v>156000</v>
      </c>
      <c r="AQ13" s="74">
        <f t="shared" si="2"/>
        <v>462000</v>
      </c>
      <c r="AT13" t="s">
        <v>42</v>
      </c>
      <c r="AU13" s="12">
        <f>SUM('JV2-Monthly'!E47:G47)</f>
        <v>52650</v>
      </c>
      <c r="AV13" s="12">
        <f>SUM('JV2-Monthly'!H47:J47)</f>
        <v>57400</v>
      </c>
      <c r="AW13" s="12">
        <f>SUM('JV2-Monthly'!K47:M47)</f>
        <v>84150</v>
      </c>
      <c r="AX13" s="12">
        <f>SUM('JV2-Monthly'!N47:P47)</f>
        <v>96000</v>
      </c>
      <c r="AY13" s="74">
        <f t="shared" si="3"/>
        <v>290200</v>
      </c>
      <c r="BB13" s="1"/>
      <c r="BC13" s="12"/>
      <c r="BD13" s="12"/>
      <c r="BE13" s="12"/>
      <c r="BF13" s="12"/>
      <c r="BG13" s="13"/>
    </row>
    <row r="14" spans="1:59" ht="14.45" customHeight="1" x14ac:dyDescent="0.25">
      <c r="C14" s="191" t="s">
        <v>530</v>
      </c>
      <c r="D14" s="204">
        <f>'Corp.'!G3</f>
        <v>78.436249245714649</v>
      </c>
      <c r="E14" s="204">
        <f>'Corp.'!J3</f>
        <v>83.83718445714328</v>
      </c>
      <c r="F14" s="204">
        <f>'Corp.'!M3</f>
        <v>91.734764365714796</v>
      </c>
      <c r="G14" s="204">
        <f>'Corp.'!P3</f>
        <v>100.32420349714346</v>
      </c>
      <c r="L14" s="191" t="s">
        <v>19</v>
      </c>
      <c r="M14" s="198" cm="1">
        <f t="array" ref="M14:P14">_xlfn.LET(_xlpm.data,_xlfn.ANCHORARRAY(QTR!$BH$4),_xlpm.states,_xlfn.ANCHORARRAY(QTR!$D$4),_xlpm.rev,_xlfn._xlws.FILTER(_xlpm.data,(_xlpm.states="Arizona")),
_xlfn.BYCOL(_xlpm.rev,_xlfn.LAMBDA(_xlpm.a,SUM(_xlpm.a))))*0.88</f>
        <v>0</v>
      </c>
      <c r="N14" s="198">
        <v>0</v>
      </c>
      <c r="O14" s="198">
        <v>0</v>
      </c>
      <c r="P14" s="198">
        <v>0</v>
      </c>
      <c r="Q14" s="199">
        <f>SUM(M14:P14)</f>
        <v>0</v>
      </c>
      <c r="R14" s="13"/>
      <c r="T14" s="39" t="s">
        <v>37</v>
      </c>
      <c r="U14" s="12">
        <f>SUM('Corp.'!E45:P45)</f>
        <v>0</v>
      </c>
      <c r="V14" s="12">
        <f>'JV1'!F40</f>
        <v>577500</v>
      </c>
      <c r="W14" s="12">
        <f>'JV2'!J40</f>
        <v>127500</v>
      </c>
      <c r="X14" s="12">
        <f>'JV2'!N40</f>
        <v>127500</v>
      </c>
      <c r="Y14" s="12">
        <f>'JV2'!R40</f>
        <v>108000</v>
      </c>
      <c r="Z14" s="12">
        <v>0</v>
      </c>
      <c r="AA14" s="67">
        <f t="shared" si="4"/>
        <v>940500</v>
      </c>
      <c r="AB14" s="67"/>
      <c r="AD14" t="s">
        <v>43</v>
      </c>
      <c r="AE14" s="12">
        <f>SUM('Corp.'!E48:G48)</f>
        <v>0</v>
      </c>
      <c r="AF14" s="12">
        <f>SUM('Corp.'!H48:J48)</f>
        <v>0</v>
      </c>
      <c r="AG14" s="12">
        <f>SUM('Corp.'!K48:M48)</f>
        <v>0</v>
      </c>
      <c r="AH14" s="12">
        <f>SUM('Corp.'!N48:P48)</f>
        <v>0</v>
      </c>
      <c r="AI14" s="74">
        <f t="shared" si="1"/>
        <v>0</v>
      </c>
      <c r="AL14" t="s">
        <v>43</v>
      </c>
      <c r="AM14" s="12">
        <f>SUM('JV1-Monthly'!E48:G48)</f>
        <v>431468.93999999994</v>
      </c>
      <c r="AN14" s="12">
        <f>SUM('JV1-Monthly'!H48:J48)</f>
        <v>151234.47</v>
      </c>
      <c r="AO14" s="12">
        <f>SUM('JV1-Monthly'!K48:M48)</f>
        <v>302468.94</v>
      </c>
      <c r="AP14" s="12">
        <f>SUM('JV1-Monthly'!N48:P48)</f>
        <v>0</v>
      </c>
      <c r="AQ14" s="74">
        <f t="shared" si="2"/>
        <v>885172.34999999986</v>
      </c>
      <c r="AT14" t="s">
        <v>43</v>
      </c>
      <c r="AU14" s="12">
        <f>SUM('JV2-Monthly'!E48:G48)</f>
        <v>0</v>
      </c>
      <c r="AV14" s="12">
        <f>SUM('JV2-Monthly'!H48:J48)</f>
        <v>231016.11</v>
      </c>
      <c r="AW14" s="12">
        <f>SUM('JV2-Monthly'!K48:M48)</f>
        <v>103139</v>
      </c>
      <c r="AX14" s="12">
        <f>SUM('JV2-Monthly'!N48:P48)</f>
        <v>0</v>
      </c>
      <c r="AY14" s="74">
        <f t="shared" si="3"/>
        <v>334155.11</v>
      </c>
      <c r="BC14" s="12"/>
      <c r="BD14" s="12"/>
      <c r="BE14" s="12"/>
      <c r="BF14" s="12"/>
      <c r="BG14" s="12"/>
    </row>
    <row r="15" spans="1:59" ht="14.45" customHeight="1" x14ac:dyDescent="0.25">
      <c r="B15" s="1"/>
      <c r="C15" s="190" t="s">
        <v>26</v>
      </c>
      <c r="D15" s="172">
        <f>SUM(D11:D14)</f>
        <v>492.86624924571464</v>
      </c>
      <c r="E15" s="172">
        <f>SUM(E11:E14)</f>
        <v>594.37718445714324</v>
      </c>
      <c r="F15" s="172">
        <f>SUM(F11:F14)</f>
        <v>727.34476436571492</v>
      </c>
      <c r="G15" s="172">
        <f>SUM(G11:G14)</f>
        <v>884.42420349714337</v>
      </c>
      <c r="M15" s="13">
        <f>SUM(M11:M14)</f>
        <v>446003.55266133323</v>
      </c>
      <c r="N15" s="13">
        <f>SUM(N11:N14)</f>
        <v>626528.53730133316</v>
      </c>
      <c r="O15" s="13">
        <f>SUM(O11:O14)</f>
        <v>824588.75432266644</v>
      </c>
      <c r="P15" s="13">
        <f>SUM(P11:P14)</f>
        <v>915797.20498933317</v>
      </c>
      <c r="Q15" s="13">
        <f>SUM(Q11:Q14)</f>
        <v>2812918.0492746667</v>
      </c>
      <c r="R15" s="13"/>
      <c r="T15" s="39" t="s">
        <v>40</v>
      </c>
      <c r="U15" s="12">
        <f>SUM('Corp.'!E46:P46)</f>
        <v>0</v>
      </c>
      <c r="V15" s="12">
        <f>'JV1'!F41</f>
        <v>1093800.5</v>
      </c>
      <c r="W15" s="12">
        <f>'JV2'!J41</f>
        <v>663228</v>
      </c>
      <c r="X15" s="12">
        <f>'JV2'!N41</f>
        <v>653274</v>
      </c>
      <c r="Y15" s="12">
        <f>'JV2'!R41</f>
        <v>212479.99999999997</v>
      </c>
      <c r="Z15" s="12">
        <v>0</v>
      </c>
      <c r="AA15" s="67">
        <f t="shared" si="4"/>
        <v>2622782.5</v>
      </c>
      <c r="AB15" s="67"/>
      <c r="AD15" t="s">
        <v>44</v>
      </c>
      <c r="AE15" s="12">
        <f>SUM('Corp.'!E49:G49)</f>
        <v>0</v>
      </c>
      <c r="AF15" s="12">
        <f>SUM('Corp.'!H49:J49)</f>
        <v>0</v>
      </c>
      <c r="AG15" s="12">
        <f>SUM('Corp.'!K49:M49)</f>
        <v>0</v>
      </c>
      <c r="AH15" s="12">
        <f>SUM('Corp.'!N49:P49)</f>
        <v>0</v>
      </c>
      <c r="AI15" s="74">
        <f t="shared" si="1"/>
        <v>0</v>
      </c>
      <c r="AL15" t="s">
        <v>44</v>
      </c>
      <c r="AM15" s="12">
        <f>SUM('JV1-Monthly'!E49:G49)</f>
        <v>700041.49383042764</v>
      </c>
      <c r="AN15" s="12">
        <f>SUM('JV1-Monthly'!H49:J49)</f>
        <v>993577.36251445429</v>
      </c>
      <c r="AO15" s="12">
        <f>SUM('JV1-Monthly'!K49:M49)</f>
        <v>1192808.3373971914</v>
      </c>
      <c r="AP15" s="12">
        <f>SUM('JV1-Monthly'!N49:P49)</f>
        <v>1402492.1371835454</v>
      </c>
      <c r="AQ15" s="74">
        <f t="shared" si="2"/>
        <v>4288919.3309256183</v>
      </c>
      <c r="AT15" t="s">
        <v>44</v>
      </c>
      <c r="AU15" s="12">
        <f>SUM('JV2-Monthly'!E49:G49)</f>
        <v>1325959.8424533671</v>
      </c>
      <c r="AV15" s="12">
        <f>SUM('JV2-Monthly'!H49:J49)</f>
        <v>1117659.8060574555</v>
      </c>
      <c r="AW15" s="12">
        <f>SUM('JV2-Monthly'!K49:M49)</f>
        <v>1024618.4722336624</v>
      </c>
      <c r="AX15" s="12">
        <f>SUM('JV2-Monthly'!N49:P49)</f>
        <v>942078.12227708043</v>
      </c>
      <c r="AY15" s="74">
        <f t="shared" si="3"/>
        <v>4410316.2430215655</v>
      </c>
      <c r="BB15" t="s">
        <v>45</v>
      </c>
      <c r="BC15" s="12" cm="1">
        <f t="array" ref="BC15:BF15">_xlfn.LET(_xlpm.hours,_xlfn.ANCHORARRAY(QTR!$ET$4),_xlpm.type,ISNUMBER(SEARCH($C$4,_xlfn._TRO_TRAILING(Sites!$H:$H))),_xlpm.states,ISNUMBER(SEARCH($BB15,_xlfn.ANCHORARRAY(QTR!$D$4))),
_xlfn.BYCOL(_xlfn._xlws.FILTER(_xlpm.hours,_xlpm.states,0),_xlfn.LAMBDA(_xlpm.cols,SUM(_xlpm.cols))))</f>
        <v>300000</v>
      </c>
      <c r="BD15" s="12">
        <v>100000</v>
      </c>
      <c r="BE15" s="12">
        <v>100000</v>
      </c>
      <c r="BF15" s="12">
        <v>400000</v>
      </c>
      <c r="BG15" s="13">
        <f t="shared" ref="BG15:BG19" si="5">SUM(BC15:BF15)</f>
        <v>900000</v>
      </c>
    </row>
    <row r="16" spans="1:59" ht="14.45" customHeight="1" x14ac:dyDescent="0.25">
      <c r="A16" s="186"/>
      <c r="B16" s="225" t="s">
        <v>30</v>
      </c>
      <c r="C16" s="225"/>
      <c r="D16" s="225"/>
      <c r="E16" s="225"/>
      <c r="F16" s="225"/>
      <c r="G16" s="225"/>
      <c r="M16" s="13"/>
      <c r="N16" s="13"/>
      <c r="O16" s="13"/>
      <c r="P16" s="13"/>
      <c r="Q16" s="13"/>
      <c r="R16" s="13"/>
      <c r="T16" s="39" t="s">
        <v>42</v>
      </c>
      <c r="U16" s="12">
        <f>SUM('Corp.'!E47:P47)</f>
        <v>0</v>
      </c>
      <c r="V16" s="12">
        <f>'JV1'!F42</f>
        <v>462000</v>
      </c>
      <c r="W16" s="12">
        <f>'JV2'!J42</f>
        <v>141300</v>
      </c>
      <c r="X16" s="12">
        <f>'JV2'!N42</f>
        <v>102100</v>
      </c>
      <c r="Y16" s="12">
        <f>'JV2'!R42</f>
        <v>46800</v>
      </c>
      <c r="Z16" s="12">
        <v>0</v>
      </c>
      <c r="AA16" s="67">
        <f t="shared" si="4"/>
        <v>752200</v>
      </c>
      <c r="AB16" s="67"/>
      <c r="BB16" t="s">
        <v>29</v>
      </c>
      <c r="BC16" s="12" cm="1">
        <f t="array" ref="BC16:BF16">_xlfn.LET(_xlpm.hours,_xlfn.ANCHORARRAY(QTR!$ET$4),_xlpm.type,ISNUMBER(SEARCH($C$4,_xlfn._TRO_TRAILING(Sites!$H:$H))),_xlpm.states,ISNUMBER(SEARCH($BB16,_xlfn.ANCHORARRAY(QTR!$D$4))),
_xlfn.BYCOL(_xlfn._xlws.FILTER(_xlpm.hours,_xlpm.states,0),_xlfn.LAMBDA(_xlpm.cols,SUM(_xlpm.cols))))</f>
        <v>3307333.3333333335</v>
      </c>
      <c r="BD16" s="12">
        <v>2591833.3333333335</v>
      </c>
      <c r="BE16" s="12">
        <v>1881333.3333333333</v>
      </c>
      <c r="BF16" s="12">
        <v>1646166.6666666667</v>
      </c>
      <c r="BG16" s="13">
        <f t="shared" si="5"/>
        <v>9426666.666666666</v>
      </c>
    </row>
    <row r="17" spans="1:59" x14ac:dyDescent="0.25">
      <c r="B17" s="196" t="s">
        <v>46</v>
      </c>
      <c r="C17" s="196"/>
      <c r="D17" s="196" t="s">
        <v>8</v>
      </c>
      <c r="E17" s="196" t="s">
        <v>9</v>
      </c>
      <c r="F17" s="196" t="s">
        <v>10</v>
      </c>
      <c r="G17" s="196" t="s">
        <v>11</v>
      </c>
      <c r="H17" s="196" t="s">
        <v>12</v>
      </c>
      <c r="K17" s="196" t="s">
        <v>469</v>
      </c>
      <c r="L17" s="196"/>
      <c r="M17" s="196" t="s">
        <v>8</v>
      </c>
      <c r="N17" s="197" t="s">
        <v>9</v>
      </c>
      <c r="O17" s="197" t="s">
        <v>10</v>
      </c>
      <c r="P17" s="197" t="s">
        <v>11</v>
      </c>
      <c r="Q17" s="197" t="s">
        <v>12</v>
      </c>
      <c r="R17" s="13"/>
      <c r="T17" s="39" t="s">
        <v>43</v>
      </c>
      <c r="U17" s="12">
        <f>SUM('Corp.'!E48:P48)</f>
        <v>0</v>
      </c>
      <c r="V17" s="12">
        <f>'JV1'!F43</f>
        <v>885172.34999999986</v>
      </c>
      <c r="W17" s="12">
        <f>'JV2'!J43</f>
        <v>126877.11</v>
      </c>
      <c r="X17" s="12">
        <f>'JV2'!N43</f>
        <v>207278</v>
      </c>
      <c r="Y17" s="12">
        <f>'JV2'!R43</f>
        <v>0</v>
      </c>
      <c r="Z17" s="12">
        <v>0</v>
      </c>
      <c r="AA17" s="67">
        <f t="shared" si="4"/>
        <v>1219327.46</v>
      </c>
      <c r="AB17" s="67"/>
      <c r="AD17" s="39" t="s">
        <v>47</v>
      </c>
      <c r="AE17" s="183">
        <f>SUM(AE6:AE16)</f>
        <v>2026001.3362837953</v>
      </c>
      <c r="AF17" s="183">
        <f>SUM(AF6:AF16)</f>
        <v>2111237.1685719099</v>
      </c>
      <c r="AG17" s="183">
        <f>SUM(AG6:AG16)</f>
        <v>2217426.8096308536</v>
      </c>
      <c r="AH17" s="183">
        <f>SUM(AH6:AH16)</f>
        <v>2344570.2594606262</v>
      </c>
      <c r="AI17" s="183">
        <f>SUM(AI6:AI16)</f>
        <v>8699235.5739471838</v>
      </c>
      <c r="AL17" s="39" t="s">
        <v>47</v>
      </c>
      <c r="AM17" s="183">
        <f>SUM(AM6:AM16)</f>
        <v>5526520.1896510813</v>
      </c>
      <c r="AN17" s="183">
        <f>SUM(AN6:AN16)</f>
        <v>10149465.997247944</v>
      </c>
      <c r="AO17" s="183">
        <f>SUM(AO6:AO16)</f>
        <v>13095061.574536422</v>
      </c>
      <c r="AP17" s="183">
        <f>SUM(AP6:AP16)</f>
        <v>15678487.460517678</v>
      </c>
      <c r="AQ17" s="183">
        <f>SUM(AQ6:AQ16)</f>
        <v>44449535.221953131</v>
      </c>
      <c r="AT17" s="39" t="s">
        <v>47</v>
      </c>
      <c r="AU17" s="183">
        <f>SUM(AU6:AU16)</f>
        <v>5475983.4198925979</v>
      </c>
      <c r="AV17" s="183">
        <f>SUM(AV6:AV16)</f>
        <v>5754749.6897436418</v>
      </c>
      <c r="AW17" s="183">
        <f>SUM(AW6:AW16)</f>
        <v>6299152.3002868462</v>
      </c>
      <c r="AX17" s="183">
        <f>SUM(AX6:AX16)</f>
        <v>6688283.8148297574</v>
      </c>
      <c r="AY17" s="183">
        <f>SUM(AY6:AY16)</f>
        <v>24218169.224752847</v>
      </c>
      <c r="BB17" t="s">
        <v>32</v>
      </c>
      <c r="BC17" s="12" cm="1">
        <f t="array" ref="BC17:BF17">_xlfn.LET(_xlpm.hours,_xlfn.ANCHORARRAY(QTR!$ET$4),_xlpm.type,ISNUMBER(SEARCH($C$4,_xlfn._TRO_TRAILING(Sites!$H:$H))),_xlpm.states,ISNUMBER(SEARCH($BB17,_xlfn.ANCHORARRAY(QTR!$D$4))),
_xlfn.BYCOL(_xlfn._xlws.FILTER(_xlpm.hours,_xlpm.states,0),_xlfn.LAMBDA(_xlpm.cols,SUM(_xlpm.cols))))</f>
        <v>0</v>
      </c>
      <c r="BD17" s="12">
        <v>262280</v>
      </c>
      <c r="BE17" s="12">
        <v>393420</v>
      </c>
      <c r="BF17" s="12">
        <v>131140</v>
      </c>
      <c r="BG17" s="13">
        <f t="shared" si="5"/>
        <v>786840</v>
      </c>
    </row>
    <row r="18" spans="1:59" ht="14.45" customHeight="1" x14ac:dyDescent="0.25">
      <c r="C18" t="s">
        <v>48</v>
      </c>
      <c r="D18" s="3">
        <f>COUNTIFS('P&amp;Ls'!$S:$S,2026,'P&amp;Ls'!$Q:$Q,"New Jersey",'P&amp;Ls'!$T:$T,1)+COUNTIFS('P&amp;Ls'!$S:$S,2026,'P&amp;Ls'!$Q:$Q,"New Jersey",'P&amp;Ls'!$T:$T,2)+COUNTIFS('P&amp;Ls'!$S:$S,2026,'P&amp;Ls'!$Q:$Q,"New Jersey",'P&amp;Ls'!$T:$T,3)</f>
        <v>2</v>
      </c>
      <c r="E18" s="3">
        <f>COUNTIFS('P&amp;Ls'!$S:$S,2026,'P&amp;Ls'!$Q:$Q,"New Jersey",'P&amp;Ls'!$T:$T,4)+COUNTIFS('P&amp;Ls'!$S:$S,2026,'P&amp;Ls'!$Q:$Q,"New Jersey",'P&amp;Ls'!$T:$T,5)+COUNTIFS('P&amp;Ls'!$S:$S,2026,'P&amp;Ls'!$Q:$Q,"New Jersey",'P&amp;Ls'!$T:$T,6)</f>
        <v>1</v>
      </c>
      <c r="F18" s="3">
        <f>COUNTIFS('P&amp;Ls'!$S:$S,2026,'P&amp;Ls'!$Q:$Q,"New Jersey",'P&amp;Ls'!$T:$T,7)+COUNTIFS('P&amp;Ls'!$S:$S,2026,'P&amp;Ls'!$Q:$Q,"New Jersey",'P&amp;Ls'!$T:$T,8)+COUNTIFS('P&amp;Ls'!$S:$S,2026,'P&amp;Ls'!$Q:$Q,"New Jersey",'P&amp;Ls'!$T:$T,9)</f>
        <v>2</v>
      </c>
      <c r="G18" s="3">
        <f>COUNTIFS('P&amp;Ls'!$S:$S,2026,'P&amp;Ls'!$Q:$Q,"New Jersey",'P&amp;Ls'!$T:$T,12)+COUNTIFS('P&amp;Ls'!$S:$S,2026,'P&amp;Ls'!$Q:$Q,"New Jersey",'P&amp;Ls'!$T:$T,11)+COUNTIFS('P&amp;Ls'!$S:$S,2026,'P&amp;Ls'!$Q:$Q,"New Jersey",'P&amp;Ls'!$T:$T,10)</f>
        <v>1</v>
      </c>
      <c r="H18" s="2">
        <f>SUM(D18:G18)</f>
        <v>6</v>
      </c>
      <c r="L18" t="s">
        <v>16</v>
      </c>
      <c r="M18" s="12" cm="1">
        <f t="array" ref="M18">_xlfn.LET(_xlpm.qtr,RIGHT(M17,1),_xlpm.state1,"New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307251.11673704442</v>
      </c>
      <c r="N18" s="12" cm="1">
        <f t="array" ref="N18">_xlfn.LET(_xlpm.qtr,RIGHT(N17,1),_xlpm.state1,"New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573285.62025326584</v>
      </c>
      <c r="O18" s="12" cm="1">
        <f t="array" ref="O18">_xlfn.LET(_xlpm.qtr,RIGHT(O17,1),_xlpm.state1,"New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855028.55328371702</v>
      </c>
      <c r="P18" s="12" cm="1">
        <f t="array" ref="P18">_xlfn.LET(_xlpm.qtr,RIGHT(P17,1),_xlpm.state1,"New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1194808.2658693632</v>
      </c>
      <c r="Q18" s="13">
        <f>SUM(M18:P18)</f>
        <v>2930373.5561433905</v>
      </c>
      <c r="R18" s="13"/>
      <c r="T18" s="39" t="s">
        <v>44</v>
      </c>
      <c r="U18" s="12">
        <f>SUM('Corp.'!E49:P49)</f>
        <v>0</v>
      </c>
      <c r="V18" s="12">
        <f>'JV1'!F44</f>
        <v>4288919.3309256192</v>
      </c>
      <c r="W18" s="12">
        <f>'JV2'!J44</f>
        <v>2441702.6509997593</v>
      </c>
      <c r="X18" s="12">
        <f>'JV2'!N44</f>
        <v>1552237.8377312853</v>
      </c>
      <c r="Y18" s="12">
        <f>'JV2'!R44</f>
        <v>416375.75429052062</v>
      </c>
      <c r="Z18" s="12">
        <v>0</v>
      </c>
      <c r="AA18" s="67"/>
      <c r="AB18" s="67"/>
      <c r="BB18" t="s">
        <v>35</v>
      </c>
      <c r="BC18" s="12" cm="1">
        <f t="array" ref="BC18:BF18">_xlfn.LET(_xlpm.hours,_xlfn.ANCHORARRAY(QTR!$ET$4),_xlpm.type,ISNUMBER(SEARCH($C$4,_xlfn._TRO_TRAILING(Sites!$H:$H))),_xlpm.states,ISNUMBER(SEARCH($BB18,_xlfn.ANCHORARRAY(QTR!$D$4))),
_xlfn.BYCOL(_xlfn._xlws.FILTER(_xlpm.hours,_xlpm.states,0),_xlfn.LAMBDA(_xlpm.cols,SUM(_xlpm.cols))))</f>
        <v>0</v>
      </c>
      <c r="BD18" s="12">
        <v>393420</v>
      </c>
      <c r="BE18" s="12">
        <v>695833.33333333326</v>
      </c>
      <c r="BF18" s="12">
        <v>453620</v>
      </c>
      <c r="BG18" s="13">
        <f t="shared" si="5"/>
        <v>1542873.3333333333</v>
      </c>
    </row>
    <row r="19" spans="1:59" ht="14.45" customHeight="1" x14ac:dyDescent="0.25">
      <c r="C19" t="s">
        <v>49</v>
      </c>
      <c r="D19" s="3">
        <f>COUNTIFS('P&amp;Ls'!$S:$S,2026,'P&amp;Ls'!$Q:$Q,"Maryland",'P&amp;Ls'!$T:$T,1)+COUNTIFS('P&amp;Ls'!$S:$S,2026,'P&amp;Ls'!$Q:$Q,"Maryland",'P&amp;Ls'!$T:$T,2)+COUNTIFS('P&amp;Ls'!$S:$S,2026,'P&amp;Ls'!$Q:$Q,"Maryland",'P&amp;Ls'!$T:$T,3)</f>
        <v>0</v>
      </c>
      <c r="E19" s="3">
        <f>COUNTIFS('P&amp;Ls'!$S:$S,2026,'P&amp;Ls'!$Q:$Q,"Maryland",'P&amp;Ls'!$T:$T,4)+COUNTIFS('P&amp;Ls'!$S:$S,2026,'P&amp;Ls'!$Q:$Q,"Maryland",'P&amp;Ls'!$T:$T,5)+COUNTIFS('P&amp;Ls'!$S:$S,2026,'P&amp;Ls'!$Q:$Q,"Maryland",'P&amp;Ls'!$T:$T,6)</f>
        <v>0</v>
      </c>
      <c r="F19" s="3">
        <f>COUNTIFS('P&amp;Ls'!$S:$S,2026,'P&amp;Ls'!$Q:$Q,"Maryland",'P&amp;Ls'!$T:$T,7)+COUNTIFS('P&amp;Ls'!$S:$S,2026,'P&amp;Ls'!$Q:$Q,"Maryland",'P&amp;Ls'!$T:$T,8)+COUNTIFS('P&amp;Ls'!$S:$S,2026,'P&amp;Ls'!$Q:$Q,"Maryland",'P&amp;Ls'!$T:$T,9)</f>
        <v>1</v>
      </c>
      <c r="G19" s="3">
        <f>COUNTIFS('P&amp;Ls'!$S:$S,2026,'P&amp;Ls'!$Q:$Q,"Maryland",'P&amp;Ls'!$T:$T,12)+COUNTIFS('P&amp;Ls'!$S:$S,2026,'P&amp;Ls'!$Q:$Q,"Maryland",'P&amp;Ls'!$T:$T,11)+COUNTIFS('P&amp;Ls'!$S:$S,2026,'P&amp;Ls'!$Q:$Q,"Maryland",'P&amp;Ls'!$T:$T,10)</f>
        <v>0</v>
      </c>
      <c r="H19" s="2">
        <f>SUM(D19:G19)</f>
        <v>1</v>
      </c>
      <c r="L19" t="s">
        <v>17</v>
      </c>
      <c r="M19" s="12" cm="1">
        <f t="array" ref="M19">_xlfn.LET(_xlpm.qtr,RIGHT(M17,1),_xlpm.state1,"Maryland",_xlpm.state2,"M&amp;A",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N19" s="12" cm="1">
        <f t="array" ref="N19">_xlfn.LET(_xlpm.qtr,RIGHT(N17,1),_xlpm.state1,"Maryland",_xlpm.state2,"M&amp;A",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O19" s="12" cm="1">
        <f t="array" ref="O19">_xlfn.LET(_xlpm.qtr,RIGHT(O17,1),_xlpm.state1,"Maryland",_xlpm.state2,"M&amp;A",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290637.41180390399</v>
      </c>
      <c r="P19" s="12" cm="1">
        <f t="array" ref="P19">_xlfn.LET(_xlpm.qtr,RIGHT(P17,1),_xlpm.state1,"Maryland",_xlpm.state2,"M&amp;A",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304586.60187366395</v>
      </c>
      <c r="Q19" s="13">
        <f>SUM(M19:P19)</f>
        <v>1126281.7530342399</v>
      </c>
      <c r="R19" s="13"/>
      <c r="AD19" s="182" t="s">
        <v>50</v>
      </c>
      <c r="AE19" s="74">
        <f>AE4-AE17</f>
        <v>0</v>
      </c>
      <c r="AF19" s="74">
        <f>AF4-AF17</f>
        <v>0</v>
      </c>
      <c r="AG19" s="74">
        <f>AG4-AG17</f>
        <v>0</v>
      </c>
      <c r="AH19" s="74">
        <f>AH4-AH17</f>
        <v>0</v>
      </c>
      <c r="AI19" s="74">
        <f>AI4-AI17</f>
        <v>0</v>
      </c>
      <c r="AL19" s="182" t="s">
        <v>50</v>
      </c>
      <c r="AM19" s="74">
        <f>AM4-AM17</f>
        <v>1377296.8972555827</v>
      </c>
      <c r="AN19" s="74">
        <f>AN4-AN17</f>
        <v>4661453.9510453865</v>
      </c>
      <c r="AO19" s="74">
        <f>AO4-AO17</f>
        <v>6532244.2707169037</v>
      </c>
      <c r="AP19" s="74">
        <f>AP4-AP17</f>
        <v>8980968.468868982</v>
      </c>
      <c r="AQ19" s="74">
        <f>AQ4-AQ17</f>
        <v>21551963.587886848</v>
      </c>
      <c r="AT19" s="182" t="s">
        <v>50</v>
      </c>
      <c r="AU19" s="74">
        <f>AU4-AU17</f>
        <v>922589.93701259606</v>
      </c>
      <c r="AV19" s="74">
        <f>AV4-AV17</f>
        <v>1042413.936622438</v>
      </c>
      <c r="AW19" s="74">
        <f>AW4-AW17</f>
        <v>1349742.3433539532</v>
      </c>
      <c r="AX19" s="74">
        <f>AX4-AX17</f>
        <v>1753172.9204834253</v>
      </c>
      <c r="AY19" s="74">
        <f>AY4-AY17</f>
        <v>5067919.1374724098</v>
      </c>
      <c r="BB19" t="s">
        <v>38</v>
      </c>
      <c r="BC19" s="12" cm="1">
        <f t="array" ref="BC19:BF19">_xlfn.LET(_xlpm.hours,_xlfn.ANCHORARRAY(QTR!$ET$4),_xlpm.type,ISNUMBER(SEARCH($C$4,_xlfn._TRO_TRAILING(Sites!$H:$H))),_xlpm.states,ISNUMBER(SEARCH($BB19,_xlfn.ANCHORARRAY(QTR!$D$4))),
_xlfn.BYCOL(_xlfn._xlws.FILTER(_xlpm.hours,_xlpm.states,0),_xlfn.LAMBDA(_xlpm.cols,SUM(_xlpm.cols))))</f>
        <v>0</v>
      </c>
      <c r="BD19" s="12">
        <v>0</v>
      </c>
      <c r="BE19" s="12">
        <v>0</v>
      </c>
      <c r="BF19" s="12">
        <v>0</v>
      </c>
      <c r="BG19" s="13">
        <f t="shared" si="5"/>
        <v>0</v>
      </c>
    </row>
    <row r="20" spans="1:59" ht="14.45" customHeight="1" x14ac:dyDescent="0.25">
      <c r="C20" t="s">
        <v>51</v>
      </c>
      <c r="D20" s="3">
        <f>COUNTIFS('P&amp;Ls'!$S:$S,2026,'P&amp;Ls'!$Q:$Q,"North Carolina",'P&amp;Ls'!$T:$T,1)+COUNTIFS('P&amp;Ls'!$S:$S,2026,'P&amp;Ls'!$Q:$Q,"North Carolina",'P&amp;Ls'!$T:$T,2)+COUNTIFS('P&amp;Ls'!$S:$S,2026,'P&amp;Ls'!$Q:$Q,"North Carolina",'P&amp;Ls'!$T:$T,3)</f>
        <v>0</v>
      </c>
      <c r="E20" s="3">
        <f>COUNTIFS('P&amp;Ls'!$S:$S,2026,'P&amp;Ls'!$Q:$Q,"North Carolina",'P&amp;Ls'!$T:$T,4)+COUNTIFS('P&amp;Ls'!$S:$S,2026,'P&amp;Ls'!$Q:$Q,"North Carolina",'P&amp;Ls'!$T:$T,5)+COUNTIFS('P&amp;Ls'!$S:$S,2026,'P&amp;Ls'!$Q:$Q,"North Carolina",'P&amp;Ls'!$T:$T,6)</f>
        <v>1</v>
      </c>
      <c r="F20" s="3">
        <f>COUNTIFS('P&amp;Ls'!$S:$S,2026,'P&amp;Ls'!$Q:$Q,"North Carolina",'P&amp;Ls'!$T:$T,7)+COUNTIFS('P&amp;Ls'!$S:$S,2026,'P&amp;Ls'!$Q:$Q,"North Carolina",'P&amp;Ls'!$T:$T,8)+COUNTIFS('P&amp;Ls'!$S:$S,2026,'P&amp;Ls'!$Q:$Q,"North Carolina",'P&amp;Ls'!$T:$T,9)</f>
        <v>0</v>
      </c>
      <c r="G20" s="3">
        <f>COUNTIFS('P&amp;Ls'!$S:$S,2026,'P&amp;Ls'!$Q:$Q,"North Carolina",'P&amp;Ls'!$T:$T,12)+COUNTIFS('P&amp;Ls'!$S:$S,2026,'P&amp;Ls'!$Q:$Q,"North Carolina",'P&amp;Ls'!$T:$T,11)+COUNTIFS('P&amp;Ls'!$S:$S,2026,'P&amp;Ls'!$Q:$Q,"North Carolina",'P&amp;Ls'!$T:$T,10)</f>
        <v>1</v>
      </c>
      <c r="H20" s="2">
        <f>SUM(D20:G20)</f>
        <v>2</v>
      </c>
      <c r="L20" t="s">
        <v>18</v>
      </c>
      <c r="M20" s="12" cm="1">
        <f t="array" ref="M20">_xlfn.LET(_xlpm.qtr,RIGHT(M17,1),_xlpm.state1,"North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82592.943271168013</v>
      </c>
      <c r="N20" s="12" cm="1">
        <f t="array" ref="N20">_xlfn.LET(_xlpm.qtr,RIGHT(N17,1),_xlpm.state1,"North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92258.074930560018</v>
      </c>
      <c r="O20" s="12" cm="1">
        <f t="array" ref="O20">_xlfn.LET(_xlpm.qtr,RIGHT(O17,1),_xlpm.state1,"North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113345.63491468801</v>
      </c>
      <c r="P20" s="12" cm="1">
        <f t="array" ref="P20">_xlfn.LET(_xlpm.qtr,RIGHT(P17,1),_xlpm.state1,"North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137069.139896832</v>
      </c>
      <c r="Q20" s="13">
        <f>SUM(M20:P20)</f>
        <v>425265.79301324807</v>
      </c>
      <c r="R20" s="13"/>
      <c r="T20" s="39" t="s">
        <v>47</v>
      </c>
      <c r="U20" s="12">
        <f t="shared" ref="U20:AA20" si="6">SUM(U9:U19)</f>
        <v>8699235.5739471838</v>
      </c>
      <c r="V20" s="183">
        <f t="shared" si="6"/>
        <v>44449535.221953131</v>
      </c>
      <c r="W20" s="183">
        <f t="shared" si="6"/>
        <v>13260049.538376771</v>
      </c>
      <c r="X20" s="67">
        <f>SUM(X9:X19)</f>
        <v>8705408.9501770493</v>
      </c>
      <c r="Y20" s="183">
        <f t="shared" si="6"/>
        <v>2252710.7361990251</v>
      </c>
      <c r="Z20" s="183">
        <f t="shared" si="6"/>
        <v>2581252.4568087878</v>
      </c>
      <c r="AA20" s="183">
        <f t="shared" si="6"/>
        <v>71248956.903514743</v>
      </c>
      <c r="AB20" s="183"/>
      <c r="AE20" s="107">
        <f>IFERROR(AE19/AE4,"")</f>
        <v>0</v>
      </c>
      <c r="AF20" s="107">
        <f>IFERROR(AF19/AF4,"")</f>
        <v>0</v>
      </c>
      <c r="AG20" s="107">
        <f>IFERROR(AG19/AG4,"")</f>
        <v>0</v>
      </c>
      <c r="AH20" s="107">
        <f>IFERROR(AH19/AH4,"")</f>
        <v>0</v>
      </c>
      <c r="AI20" s="107">
        <f>IFERROR(AI19/AI4,"")</f>
        <v>0</v>
      </c>
      <c r="AM20" s="107">
        <f>AM19/AM4</f>
        <v>0.19949788355019943</v>
      </c>
      <c r="AN20" s="107">
        <f>AN19/AN4</f>
        <v>0.31473088554384687</v>
      </c>
      <c r="AO20" s="107">
        <f>AO19/AO4</f>
        <v>0.33281410715351256</v>
      </c>
      <c r="AP20" s="107">
        <f>AP19/AP4</f>
        <v>0.36419978180322976</v>
      </c>
      <c r="AQ20" s="107">
        <f>AQ19/AQ4</f>
        <v>0.3265374874285995</v>
      </c>
      <c r="AU20" s="107">
        <f>AU19/AU4</f>
        <v>0.14418681877218117</v>
      </c>
      <c r="AV20" s="107">
        <f>AV19/AV4</f>
        <v>0.15336013577471233</v>
      </c>
      <c r="AW20" s="107">
        <f>AW19/AW4</f>
        <v>0.1764624048621343</v>
      </c>
      <c r="AX20" s="107">
        <f>AX19/AX4</f>
        <v>0.20768606360906516</v>
      </c>
      <c r="AY20" s="107">
        <f>AY19/AY4</f>
        <v>0.17304868696665135</v>
      </c>
      <c r="BC20" s="107"/>
      <c r="BD20" s="107"/>
      <c r="BE20" s="107"/>
      <c r="BF20" s="107"/>
      <c r="BG20" s="107"/>
    </row>
    <row r="21" spans="1:59" ht="14.45" customHeight="1" x14ac:dyDescent="0.25">
      <c r="C21" s="191" t="s">
        <v>52</v>
      </c>
      <c r="D21" s="194">
        <f>COUNTIFS('P&amp;Ls'!$S:$S,2026,'P&amp;Ls'!$Q:$Q,"Arizona",'P&amp;Ls'!$T:$T,1)+COUNTIFS('P&amp;Ls'!$S:$S,2026,'P&amp;Ls'!$Q:$Q,"Arizona",'P&amp;Ls'!$T:$T,2)+COUNTIFS('P&amp;Ls'!$S:$S,2026,'P&amp;Ls'!$Q:$Q,"Arizona",'P&amp;Ls'!$T:$T,3)</f>
        <v>0</v>
      </c>
      <c r="E21" s="194">
        <f>COUNTIFS('P&amp;Ls'!$S:$S,2026,'P&amp;Ls'!$Q:$Q,"Arizona",'P&amp;Ls'!$T:$T,4)+COUNTIFS('P&amp;Ls'!$S:$S,2026,'P&amp;Ls'!$Q:$Q,"Arizona",'P&amp;Ls'!$T:$T,5)+COUNTIFS('P&amp;Ls'!$S:$S,2026,'P&amp;Ls'!$Q:$Q,"Arizona",'P&amp;Ls'!$T:$T,6)</f>
        <v>0</v>
      </c>
      <c r="F21" s="194">
        <f>COUNTIFS('P&amp;Ls'!$S:$S,2026,'P&amp;Ls'!$Q:$Q,"Arizona",'P&amp;Ls'!$T:$T,7)+COUNTIFS('P&amp;Ls'!$S:$S,2026,'P&amp;Ls'!$Q:$Q,"Arizona",'P&amp;Ls'!$T:$T,8)+COUNTIFS('P&amp;Ls'!$S:$S,2026,'P&amp;Ls'!$Q:$Q,"Arizona",'P&amp;Ls'!$T:$T,9)</f>
        <v>0</v>
      </c>
      <c r="G21" s="194">
        <f>COUNTIFS('P&amp;Ls'!$S:$S,2026,'P&amp;Ls'!$Q:$Q,"Arizona",'P&amp;Ls'!$T:$T,12)+COUNTIFS('P&amp;Ls'!$S:$S,2026,'P&amp;Ls'!$Q:$Q,"Arizona",'P&amp;Ls'!$T:$T,11)+COUNTIFS('P&amp;Ls'!$S:$S,2026,'P&amp;Ls'!$Q:$Q,"Arizona",'P&amp;Ls'!$T:$T,10)</f>
        <v>0</v>
      </c>
      <c r="H21" s="195">
        <f>SUM(D21:G21)</f>
        <v>0</v>
      </c>
      <c r="L21" s="191" t="s">
        <v>19</v>
      </c>
      <c r="M21" s="198" cm="1">
        <f t="array" ref="M21">_xlfn.LET(_xlpm.qtr,RIGHT(M17,1),_xlpm.state1,"Arizona",_xlpm.state2,"M&amp;A",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N21" s="198" cm="1">
        <f t="array" ref="N21">_xlfn.LET(_xlpm.qtr,RIGHT(N17,1),_xlpm.state1,"Arizona",_xlpm.state2,"M&amp;A",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O21" s="198" cm="1">
        <f t="array" ref="O21">_xlfn.LET(_xlpm.qtr,RIGHT(O17,1),_xlpm.state1,"Arizona",_xlpm.state2,"M&amp;A",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P21" s="198" cm="1">
        <f t="array" ref="P21">_xlfn.LET(_xlpm.qtr,RIGHT(P17,1),_xlpm.state1,"Arizona",_xlpm.state2,"M&amp;A",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Q21" s="199">
        <f>SUM(M21:P21)</f>
        <v>0</v>
      </c>
      <c r="R21" s="13"/>
      <c r="AD21" t="str">
        <f>$T$24</f>
        <v>Management Fee</v>
      </c>
      <c r="AE21" s="12">
        <f>-SUM(AM21,AU21)</f>
        <v>804960.39199386258</v>
      </c>
      <c r="AF21" s="12">
        <f>-SUM(AN21,AV21)</f>
        <v>1996353.7606837386</v>
      </c>
      <c r="AG21" s="12">
        <f>-SUM(AO21,AW21)</f>
        <v>2758695.3149247998</v>
      </c>
      <c r="AH21" s="12">
        <f>-SUM(AP21,AX21)</f>
        <v>3756949.4862733423</v>
      </c>
      <c r="AI21" s="74">
        <f>SUM(AE21:AH21)</f>
        <v>9316958.9538757429</v>
      </c>
      <c r="AL21" t="str">
        <f>$T$24</f>
        <v>Management Fee</v>
      </c>
      <c r="AM21" s="12">
        <f>AM19*-0.35</f>
        <v>-482053.9140394539</v>
      </c>
      <c r="AN21" s="12">
        <f>AN19*-0.35</f>
        <v>-1631508.8828658853</v>
      </c>
      <c r="AO21" s="12">
        <f>AO19*-0.35</f>
        <v>-2286285.494750916</v>
      </c>
      <c r="AP21" s="12">
        <f>AP19*-0.35</f>
        <v>-3143338.9641041434</v>
      </c>
      <c r="AQ21" s="74">
        <f>SUM(AM21:AP21)</f>
        <v>-7543187.2557603996</v>
      </c>
      <c r="AT21" t="str">
        <f>$T$24</f>
        <v>Management Fee</v>
      </c>
      <c r="AU21" s="12">
        <f>AU19*-0.35</f>
        <v>-322906.47795440862</v>
      </c>
      <c r="AV21" s="12">
        <f>AV19*-0.35</f>
        <v>-364844.8778178533</v>
      </c>
      <c r="AW21" s="12">
        <f>AW19*-0.35</f>
        <v>-472409.82017388358</v>
      </c>
      <c r="AX21" s="12">
        <f>AX19*-0.35</f>
        <v>-613610.52216919884</v>
      </c>
      <c r="AY21" s="74">
        <f>SUM(AU21:AX21)</f>
        <v>-1773771.6981153444</v>
      </c>
      <c r="BB21" s="1" t="s">
        <v>26</v>
      </c>
      <c r="BC21" s="13">
        <f>SUM(BC15:BC20)</f>
        <v>3607333.3333333335</v>
      </c>
      <c r="BD21" s="13">
        <f t="shared" ref="BD21:BG21" si="7">SUM(BD15:BD20)</f>
        <v>3347533.3333333335</v>
      </c>
      <c r="BE21" s="13">
        <f t="shared" si="7"/>
        <v>3070586.666666666</v>
      </c>
      <c r="BF21" s="13">
        <f t="shared" si="7"/>
        <v>2630926.666666667</v>
      </c>
      <c r="BG21" s="13">
        <f t="shared" si="7"/>
        <v>12656380</v>
      </c>
    </row>
    <row r="22" spans="1:59" ht="14.45" customHeight="1" x14ac:dyDescent="0.25">
      <c r="C22" s="191" t="s">
        <v>53</v>
      </c>
      <c r="D22" s="195">
        <f>SUM(D18:D21)</f>
        <v>2</v>
      </c>
      <c r="E22" s="195">
        <f>SUM(E18:E21)</f>
        <v>2</v>
      </c>
      <c r="F22" s="195">
        <f>SUM(F18:F21)</f>
        <v>3</v>
      </c>
      <c r="G22" s="195">
        <f>SUM(G18:G21)</f>
        <v>2</v>
      </c>
      <c r="H22" s="195">
        <f>SUM(H18:H21)</f>
        <v>9</v>
      </c>
      <c r="M22" s="13">
        <f>SUM(M18:M21)</f>
        <v>655372.92968654842</v>
      </c>
      <c r="N22" s="13">
        <f>SUM(N18:N21)</f>
        <v>931072.56486216187</v>
      </c>
      <c r="O22" s="13">
        <f>SUM(O18:O21)</f>
        <v>1259011.6000023091</v>
      </c>
      <c r="P22" s="13">
        <f>SUM(P18:P21)</f>
        <v>1636464.0076398591</v>
      </c>
      <c r="Q22" s="13">
        <f>SUM(Q18:Q21)</f>
        <v>4481921.1021908782</v>
      </c>
      <c r="R22" s="13"/>
      <c r="T22" s="182" t="s">
        <v>50</v>
      </c>
      <c r="U22" s="74">
        <f t="shared" ref="U22:Z22" si="8">SUM(U5:U6)-U20</f>
        <v>0</v>
      </c>
      <c r="V22" s="74">
        <f t="shared" si="8"/>
        <v>21551963.587886877</v>
      </c>
      <c r="W22" s="74">
        <f t="shared" si="8"/>
        <v>2712024.7505544275</v>
      </c>
      <c r="X22" s="74">
        <f t="shared" si="8"/>
        <v>1945177.120077543</v>
      </c>
      <c r="Y22" s="74">
        <f t="shared" si="8"/>
        <v>410717.26684044069</v>
      </c>
      <c r="Z22" s="74">
        <f t="shared" si="8"/>
        <v>1900668.6453820923</v>
      </c>
      <c r="AA22" s="74">
        <f>SUM(AA5:AA5)-AA20</f>
        <v>28520551.370741412</v>
      </c>
      <c r="AB22" s="74"/>
      <c r="BC22" s="12"/>
      <c r="BD22" s="12"/>
    </row>
    <row r="23" spans="1:59" x14ac:dyDescent="0.25">
      <c r="C23" t="s">
        <v>54</v>
      </c>
      <c r="D23" s="2">
        <f>6+D22</f>
        <v>8</v>
      </c>
      <c r="E23" s="2">
        <f>D23+E22</f>
        <v>10</v>
      </c>
      <c r="F23" s="2">
        <f>E23+F22</f>
        <v>13</v>
      </c>
      <c r="G23" s="2">
        <f>F23+G22</f>
        <v>15</v>
      </c>
      <c r="H23" s="2"/>
      <c r="M23" s="13"/>
      <c r="N23" s="13"/>
      <c r="O23" s="13"/>
      <c r="P23" s="13"/>
      <c r="Q23" s="13"/>
      <c r="R23" s="13"/>
      <c r="U23" s="107" t="str">
        <f>IFERROR(U22/U5,"")</f>
        <v/>
      </c>
      <c r="V23" s="107">
        <f t="shared" ref="V23:AA23" si="9">V22/V5</f>
        <v>0.32653748742859984</v>
      </c>
      <c r="W23" s="107">
        <f t="shared" si="9"/>
        <v>0.16979790486160504</v>
      </c>
      <c r="X23" s="107">
        <f t="shared" si="9"/>
        <v>0.18263568851953754</v>
      </c>
      <c r="Y23" s="107">
        <f t="shared" si="9"/>
        <v>0.15420625839021593</v>
      </c>
      <c r="Z23" s="107">
        <f t="shared" si="9"/>
        <v>0.42407454349274376</v>
      </c>
      <c r="AA23" s="107">
        <f t="shared" si="9"/>
        <v>0.28586440751357961</v>
      </c>
      <c r="AB23" s="107"/>
      <c r="AD23" s="182"/>
      <c r="AE23" s="74">
        <f>AE19+AE21</f>
        <v>804960.39199386258</v>
      </c>
      <c r="AF23" s="74">
        <f>AF19+AF21</f>
        <v>1996353.7606837386</v>
      </c>
      <c r="AG23" s="74">
        <f>AG19+AG21</f>
        <v>2758695.3149247998</v>
      </c>
      <c r="AH23" s="74">
        <f>AH19+AH21</f>
        <v>3756949.4862733423</v>
      </c>
      <c r="AI23" s="74">
        <f>AI19+AI21</f>
        <v>9316958.9538757429</v>
      </c>
      <c r="AL23" s="182"/>
      <c r="AM23" s="74">
        <f>AM19+AM21</f>
        <v>895242.98321612878</v>
      </c>
      <c r="AN23" s="74">
        <f>AN19+AN21</f>
        <v>3029945.0681795012</v>
      </c>
      <c r="AO23" s="74">
        <f>AO19+AO21</f>
        <v>4245958.7759659877</v>
      </c>
      <c r="AP23" s="74">
        <f>AP19+AP21</f>
        <v>5837629.5047648381</v>
      </c>
      <c r="AQ23" s="74">
        <f>AQ19+AQ21</f>
        <v>14008776.332126448</v>
      </c>
      <c r="AT23" s="182"/>
      <c r="AU23" s="74">
        <f>AU19+AU21</f>
        <v>599683.45905818744</v>
      </c>
      <c r="AV23" s="74">
        <f>AV19+AV21</f>
        <v>677569.05880458467</v>
      </c>
      <c r="AW23" s="74">
        <f>AW19+AW21</f>
        <v>877332.52318006963</v>
      </c>
      <c r="AX23" s="74">
        <f>AX19+AX21</f>
        <v>1139562.3983142264</v>
      </c>
      <c r="AY23" s="74">
        <f>AY19+AY21</f>
        <v>3294147.4393570656</v>
      </c>
      <c r="BB23" s="182"/>
      <c r="BC23" s="12"/>
      <c r="BD23" s="74"/>
      <c r="BE23" s="74"/>
      <c r="BF23" s="74"/>
      <c r="BG23" s="74"/>
    </row>
    <row r="24" spans="1:59" ht="14.45" customHeight="1" x14ac:dyDescent="0.25">
      <c r="A24" s="186"/>
      <c r="B24" s="225" t="s">
        <v>30</v>
      </c>
      <c r="C24" s="225"/>
      <c r="D24" s="225"/>
      <c r="E24" s="225"/>
      <c r="F24" s="225"/>
      <c r="G24" s="225"/>
      <c r="H24" s="97"/>
      <c r="K24" s="1" t="s">
        <v>26</v>
      </c>
      <c r="M24" s="74">
        <f>M8+M15+M22</f>
        <v>13957763.373498408</v>
      </c>
      <c r="N24" s="74">
        <f>N8+N15+N22</f>
        <v>22539156.139521569</v>
      </c>
      <c r="O24" s="74">
        <f>O8+O15+O22</f>
        <v>28535212.088896438</v>
      </c>
      <c r="P24" s="74">
        <f>P8+P15+P22</f>
        <v>34737376.672339708</v>
      </c>
      <c r="Q24" s="74">
        <f>Q8+Q15+Q22</f>
        <v>99769508.274256125</v>
      </c>
      <c r="R24" s="13"/>
      <c r="T24" t="s">
        <v>477</v>
      </c>
      <c r="U24" s="183">
        <f>-SUM(V24:Z24)</f>
        <v>9316958.9538757484</v>
      </c>
      <c r="V24" s="183">
        <f>V22*-0.35</f>
        <v>-7543187.2557604061</v>
      </c>
      <c r="W24" s="183">
        <f>W22*-0.35</f>
        <v>-949208.66269404953</v>
      </c>
      <c r="X24" s="183">
        <f>X22*-0.35</f>
        <v>-680811.99202713999</v>
      </c>
      <c r="Y24" s="183">
        <f>Y22*-0.35</f>
        <v>-143751.04339415423</v>
      </c>
      <c r="Z24" s="183"/>
      <c r="AA24" s="67"/>
      <c r="AB24" s="67"/>
      <c r="AE24" s="83">
        <f>IFERROR(AE23/AE4,"")</f>
        <v>0.3973148376448587</v>
      </c>
      <c r="AF24" s="83">
        <f>IFERROR(AF23/AF4,"")</f>
        <v>0.94558479284168673</v>
      </c>
      <c r="AG24" s="83">
        <f>IFERROR(AG23/AG4,"")</f>
        <v>1.2440975742437486</v>
      </c>
      <c r="AH24" s="83">
        <f>IFERROR(AH23/AH4,"")</f>
        <v>1.6024043088978011</v>
      </c>
      <c r="AI24" s="83">
        <f>IFERROR(AI23/AI4,"")</f>
        <v>1.0710089265519538</v>
      </c>
      <c r="AM24" s="83">
        <f>AM23/(AM4+AM21)</f>
        <v>0.13940766096741897</v>
      </c>
      <c r="AN24" s="83">
        <f>AN23/AN4</f>
        <v>0.20457507560350047</v>
      </c>
      <c r="AO24" s="83">
        <f>AO23/AO4</f>
        <v>0.21632916964978319</v>
      </c>
      <c r="AP24" s="83">
        <f>AP23/AP4</f>
        <v>0.23672985817209932</v>
      </c>
      <c r="AQ24" s="83">
        <f>AQ23/AQ4</f>
        <v>0.21224936682858964</v>
      </c>
      <c r="AU24" s="83">
        <f>AU23/(AU4+AU21)</f>
        <v>9.8702491595745206E-2</v>
      </c>
      <c r="AV24" s="83">
        <f>AV23/AV4</f>
        <v>9.9684088253563008E-2</v>
      </c>
      <c r="AW24" s="83">
        <f>AW23/AW4</f>
        <v>0.11470056316038731</v>
      </c>
      <c r="AX24" s="83">
        <f>AX23/AX4</f>
        <v>0.13499594134589235</v>
      </c>
      <c r="AY24" s="83">
        <f>AY23/AY4</f>
        <v>0.11248164652832336</v>
      </c>
      <c r="BC24" s="12"/>
      <c r="BD24" s="12"/>
      <c r="BE24" s="12"/>
      <c r="BF24" s="12"/>
      <c r="BG24" s="83"/>
    </row>
    <row r="25" spans="1:59" x14ac:dyDescent="0.25">
      <c r="B25" s="196" t="s">
        <v>55</v>
      </c>
      <c r="C25" s="196"/>
      <c r="D25" s="196" t="s">
        <v>8</v>
      </c>
      <c r="E25" s="196" t="s">
        <v>9</v>
      </c>
      <c r="F25" s="196" t="s">
        <v>10</v>
      </c>
      <c r="G25" s="196" t="s">
        <v>11</v>
      </c>
      <c r="H25" s="196" t="s">
        <v>12</v>
      </c>
      <c r="M25" s="74"/>
      <c r="N25" s="74"/>
      <c r="O25" s="74"/>
      <c r="P25" s="74"/>
      <c r="Q25" s="74"/>
      <c r="R25" s="74"/>
      <c r="BC25" s="12"/>
      <c r="BD25" s="12"/>
      <c r="BE25" s="12"/>
      <c r="BF25" s="12"/>
    </row>
    <row r="26" spans="1:59" ht="14.45" customHeight="1" x14ac:dyDescent="0.25">
      <c r="C26" t="s">
        <v>16</v>
      </c>
      <c r="D26" s="72" cm="1">
        <f t="array" ref="D26:G26">_xlfn.LET(_xlpm.data,_xlfn.ANCHORARRAY(QTR!$E$4),_xlpm.states,_xlfn.ANCHORARRAY(QTR!$D$4),_xlpm.rev,_xlfn._xlws.FILTER(_xlpm.data,(_xlpm.states="M&amp;A")+(_xlpm.states="New Jersey")),
_xlfn.BYCOL(_xlpm.rev,_xlfn.LAMBDA(_xlpm.a,SUM(_xlpm.a))))</f>
        <v>42209.493333333332</v>
      </c>
      <c r="E26" s="72">
        <v>91229.453333333324</v>
      </c>
      <c r="F26" s="72">
        <v>121315.62666666666</v>
      </c>
      <c r="G26" s="72">
        <v>152862.45333333328</v>
      </c>
      <c r="H26" s="75">
        <f>SUM(D26:G26)</f>
        <v>407617.02666666661</v>
      </c>
      <c r="R26" s="74"/>
      <c r="T26" s="182"/>
      <c r="U26" s="74">
        <f>U22+U24</f>
        <v>9316958.9538757484</v>
      </c>
      <c r="V26" s="74">
        <f t="shared" ref="V26:Z26" si="10">V22+V24</f>
        <v>14008776.332126472</v>
      </c>
      <c r="W26" s="74">
        <f t="shared" si="10"/>
        <v>1762816.087860378</v>
      </c>
      <c r="X26" s="74">
        <f t="shared" si="10"/>
        <v>1264365.128050403</v>
      </c>
      <c r="Y26" s="74">
        <f t="shared" si="10"/>
        <v>266966.22344628646</v>
      </c>
      <c r="Z26" s="74">
        <f t="shared" si="10"/>
        <v>1900668.6453820923</v>
      </c>
      <c r="AA26" s="74">
        <f>AA22+AA24</f>
        <v>28520551.370741412</v>
      </c>
      <c r="AB26" s="74"/>
      <c r="AD26" s="67"/>
      <c r="AL26" s="67"/>
      <c r="AT26" s="67"/>
      <c r="BB26" s="67"/>
      <c r="BC26" s="12"/>
      <c r="BD26" s="12"/>
      <c r="BE26" s="12"/>
      <c r="BF26" s="12"/>
    </row>
    <row r="27" spans="1:59" ht="14.45" customHeight="1" x14ac:dyDescent="0.25">
      <c r="C27" t="s">
        <v>17</v>
      </c>
      <c r="D27" s="72" cm="1">
        <f t="array" ref="D27:G27">_xlfn.LET(_xlpm.data,_xlfn.ANCHORARRAY(QTR!$E$4),_xlpm.states,_xlfn.ANCHORARRAY(QTR!$D$4),_xlpm.rev,_xlfn._xlws.FILTER(_xlpm.data,(_xlpm.states="Maryland")),
_xlfn.BYCOL(_xlpm.rev,_xlfn.LAMBDA(_xlpm.a,SUM(_xlpm.a))))</f>
        <v>39861.066666666673</v>
      </c>
      <c r="E27" s="72">
        <v>40945.226666666669</v>
      </c>
      <c r="F27" s="72">
        <v>44864.746666666673</v>
      </c>
      <c r="G27" s="72">
        <v>47524.106666666674</v>
      </c>
      <c r="H27" s="75">
        <f>SUM(D27:G27)</f>
        <v>173195.14666666667</v>
      </c>
      <c r="U27" s="107">
        <f>IFERROR(U26/SUM(U5:U6),"")</f>
        <v>1.0710089265519545</v>
      </c>
      <c r="V27" s="83">
        <f t="shared" ref="V27:AA27" si="11">V26/V5</f>
        <v>0.21224936682858991</v>
      </c>
      <c r="W27" s="83">
        <f t="shared" si="11"/>
        <v>0.11036863816004328</v>
      </c>
      <c r="X27" s="83">
        <f t="shared" si="11"/>
        <v>0.11871319753769941</v>
      </c>
      <c r="Y27" s="83">
        <f t="shared" si="11"/>
        <v>0.10023406795364036</v>
      </c>
      <c r="Z27" s="83">
        <f t="shared" si="11"/>
        <v>0.42407454349274376</v>
      </c>
      <c r="AA27" s="83">
        <f t="shared" si="11"/>
        <v>0.28586440751357961</v>
      </c>
      <c r="AB27" s="83"/>
      <c r="AD27" s="67"/>
      <c r="AL27" s="67"/>
      <c r="AT27" s="67"/>
      <c r="BB27" s="67"/>
      <c r="BC27" s="12"/>
      <c r="BD27" s="12"/>
      <c r="BE27" s="12"/>
      <c r="BF27" s="12"/>
    </row>
    <row r="28" spans="1:59" ht="14.45" customHeight="1" x14ac:dyDescent="0.25">
      <c r="C28" t="s">
        <v>18</v>
      </c>
      <c r="D28" s="72" cm="1">
        <f t="array" ref="D28:G28">_xlfn.LET(_xlpm.data,_xlfn.ANCHORARRAY(QTR!$E$4),_xlpm.states,_xlfn.ANCHORARRAY(QTR!$D$4),_xlpm.rev,_xlfn._xlws.FILTER(_xlpm.data,(_xlpm.states="North Carolina")),
_xlfn.BYCOL(_xlpm.rev,_xlfn.LAMBDA(_xlpm.a,SUM(_xlpm.a))))</f>
        <v>25617.386666666665</v>
      </c>
      <c r="E28" s="72">
        <v>28063.199999999997</v>
      </c>
      <c r="F28" s="72">
        <v>31822.559999999998</v>
      </c>
      <c r="G28" s="72">
        <v>37523.78666666666</v>
      </c>
      <c r="H28" s="75">
        <f>SUM(D28:G28)</f>
        <v>123026.93333333332</v>
      </c>
      <c r="AD28" s="67"/>
      <c r="AL28" s="67"/>
      <c r="AT28" s="67"/>
      <c r="BB28" s="67"/>
    </row>
    <row r="29" spans="1:59" ht="14.45" customHeight="1" x14ac:dyDescent="0.25">
      <c r="C29" s="191" t="s">
        <v>19</v>
      </c>
      <c r="D29" s="192" cm="1">
        <f t="array" ref="D29:G29">_xlfn.LET(_xlpm.data,_xlfn.ANCHORARRAY(QTR!$E$4),_xlpm.states,_xlfn.ANCHORARRAY(QTR!$D$4),_xlpm.rev,_xlfn._xlws.FILTER(_xlpm.data,(_xlpm.states="Arizona")),
_xlfn.BYCOL(_xlpm.rev,_xlfn.LAMBDA(_xlpm.a,SUM(_xlpm.a))))</f>
        <v>6040.32</v>
      </c>
      <c r="E29" s="192">
        <v>6866.3466666666664</v>
      </c>
      <c r="F29" s="192">
        <v>7744</v>
      </c>
      <c r="G29" s="192">
        <v>8518.4</v>
      </c>
      <c r="H29" s="193">
        <f>SUM(D29:G29)</f>
        <v>29169.066666666666</v>
      </c>
      <c r="I29" s="75"/>
      <c r="AD29" s="67"/>
      <c r="AI29" s="67"/>
      <c r="AL29" s="67"/>
      <c r="AQ29" s="67"/>
      <c r="AT29" s="67"/>
      <c r="AY29" s="67"/>
      <c r="BB29" s="67"/>
      <c r="BG29" s="67"/>
    </row>
    <row r="30" spans="1:59" ht="14.45" customHeight="1" x14ac:dyDescent="0.25">
      <c r="C30" s="1" t="s">
        <v>26</v>
      </c>
      <c r="D30" s="184">
        <f>SUM(D26:D29)</f>
        <v>113728.26666666666</v>
      </c>
      <c r="E30" s="184">
        <f>SUM(E26:E29)</f>
        <v>167104.22666666668</v>
      </c>
      <c r="F30" s="184">
        <f>SUM(F26:F29)</f>
        <v>205746.93333333335</v>
      </c>
      <c r="G30" s="184">
        <f>SUM(G26:G29)</f>
        <v>246428.74666666659</v>
      </c>
      <c r="H30" s="184">
        <f>SUM(H26:H29)</f>
        <v>733008.17333333334</v>
      </c>
      <c r="I30" s="184"/>
      <c r="V30" s="183"/>
      <c r="W30" s="183"/>
      <c r="X30" s="183"/>
      <c r="Y30" s="183"/>
      <c r="Z30" s="183"/>
      <c r="AA30" s="183"/>
      <c r="AB30" s="183"/>
      <c r="AC30" s="183"/>
      <c r="AD30" s="67"/>
      <c r="AE30" s="183"/>
      <c r="AF30" s="183"/>
      <c r="AG30" s="183"/>
      <c r="AK30" s="183"/>
      <c r="AL30" s="67"/>
      <c r="AM30" s="183"/>
      <c r="AN30" s="183"/>
      <c r="AO30" s="183"/>
      <c r="AS30" s="183"/>
      <c r="AT30" s="67"/>
      <c r="AU30" s="183"/>
      <c r="AV30" s="183"/>
      <c r="AW30" s="183"/>
      <c r="BB30" s="67"/>
      <c r="BC30" s="183"/>
      <c r="BD30" s="183"/>
      <c r="BE30" s="183"/>
    </row>
    <row r="31" spans="1:59" ht="14.45" customHeight="1" x14ac:dyDescent="0.25">
      <c r="D31" s="127"/>
      <c r="AD31" s="67"/>
      <c r="AL31" s="67"/>
      <c r="AT31" s="67"/>
      <c r="BA31" s="183"/>
      <c r="BB31" s="67"/>
    </row>
    <row r="32" spans="1:59" ht="14.45" customHeight="1" x14ac:dyDescent="0.25">
      <c r="AD32" s="67"/>
      <c r="AE32" s="183"/>
      <c r="AF32" s="183"/>
      <c r="AG32" s="183"/>
      <c r="AL32" s="67"/>
      <c r="AM32" s="183"/>
      <c r="AN32" s="183"/>
      <c r="AO32" s="183"/>
      <c r="AT32" s="67"/>
      <c r="AU32" s="183"/>
      <c r="AV32" s="183"/>
      <c r="AW32" s="183"/>
      <c r="BB32" s="67"/>
      <c r="BC32" s="183"/>
      <c r="BD32" s="183"/>
      <c r="BE32" s="183"/>
    </row>
    <row r="33" spans="3:12" x14ac:dyDescent="0.25">
      <c r="D33" s="127"/>
    </row>
    <row r="34" spans="3:12" x14ac:dyDescent="0.25">
      <c r="D34" s="98"/>
    </row>
    <row r="35" spans="3:12" x14ac:dyDescent="0.25">
      <c r="C35" s="98"/>
      <c r="J35" s="174"/>
      <c r="K35" s="174"/>
      <c r="L35" s="174"/>
    </row>
    <row r="36" spans="3:12" x14ac:dyDescent="0.25">
      <c r="J36" s="174"/>
      <c r="K36" s="174"/>
      <c r="L36" s="174"/>
    </row>
    <row r="37" spans="3:12" x14ac:dyDescent="0.25">
      <c r="J37" s="174"/>
      <c r="K37" s="174"/>
      <c r="L37" s="174"/>
    </row>
    <row r="38" spans="3:12" x14ac:dyDescent="0.25">
      <c r="J38" s="174"/>
      <c r="K38" s="174"/>
      <c r="L38" s="174"/>
    </row>
    <row r="42" spans="3:12" x14ac:dyDescent="0.25">
      <c r="J42" s="174"/>
      <c r="K42" s="174"/>
      <c r="L42" s="174"/>
    </row>
    <row r="43" spans="3:12" x14ac:dyDescent="0.25">
      <c r="J43" s="174"/>
      <c r="K43" s="174"/>
      <c r="L43" s="174"/>
    </row>
    <row r="44" spans="3:12" x14ac:dyDescent="0.25">
      <c r="J44" s="174"/>
      <c r="K44" s="174"/>
      <c r="L44" s="174"/>
    </row>
    <row r="45" spans="3:12" x14ac:dyDescent="0.25">
      <c r="J45" s="174"/>
      <c r="K45" s="174"/>
      <c r="L45" s="174"/>
    </row>
    <row r="49" spans="10:12" x14ac:dyDescent="0.25">
      <c r="J49" s="174"/>
      <c r="K49" s="174"/>
      <c r="L49" s="174"/>
    </row>
    <row r="50" spans="10:12" x14ac:dyDescent="0.25">
      <c r="J50" s="174"/>
      <c r="K50" s="174"/>
      <c r="L50" s="174"/>
    </row>
    <row r="51" spans="10:12" x14ac:dyDescent="0.25">
      <c r="J51" s="174"/>
      <c r="K51" s="174"/>
      <c r="L51" s="174"/>
    </row>
    <row r="52" spans="10:12" x14ac:dyDescent="0.25">
      <c r="J52" s="174"/>
      <c r="K52" s="174"/>
      <c r="L52" s="174"/>
    </row>
    <row r="64" spans="10:12" x14ac:dyDescent="0.25">
      <c r="L64" s="71"/>
    </row>
    <row r="65" spans="12:12" x14ac:dyDescent="0.25">
      <c r="L65" s="71"/>
    </row>
    <row r="66" spans="12:12" x14ac:dyDescent="0.25">
      <c r="L66" s="71"/>
    </row>
    <row r="67" spans="12:12" x14ac:dyDescent="0.25">
      <c r="L67" s="71"/>
    </row>
    <row r="68" spans="12:12" x14ac:dyDescent="0.25">
      <c r="L68" s="71"/>
    </row>
    <row r="69" spans="12:12" x14ac:dyDescent="0.25">
      <c r="L69" s="71"/>
    </row>
  </sheetData>
  <mergeCells count="4">
    <mergeCell ref="B16:G16"/>
    <mergeCell ref="B24:G24"/>
    <mergeCell ref="W3:Y3"/>
    <mergeCell ref="B9:G9"/>
  </mergeCells>
  <printOptions horizontalCentered="1" verticalCentered="1"/>
  <pageMargins left="0.7" right="0.7" top="0.75" bottom="0.75" header="0.3" footer="0.3"/>
  <pageSetup fitToWidth="0" orientation="landscape" r:id="rId1"/>
  <headerFooter>
    <oddFooter>&amp;L&amp;P&amp;R&amp;G</oddFooter>
  </headerFooter>
  <colBreaks count="5" manualBreakCount="5">
    <brk id="9" max="30" man="1"/>
    <brk id="18" max="30" man="1"/>
    <brk id="36" max="30" man="1"/>
    <brk id="44" max="30" man="1"/>
    <brk id="52" max="30" man="1"/>
  </colBreaks>
  <cellWatches>
    <cellWatch r="Q24"/>
    <cellWatch r="AA5"/>
    <cellWatch r="AA22"/>
  </cellWatche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D57C-EF19-4310-A2B8-FF616AA68FAC}">
  <sheetPr>
    <tabColor theme="7" tint="0.79998168889431442"/>
  </sheetPr>
  <dimension ref="A1:BP356"/>
  <sheetViews>
    <sheetView workbookViewId="0">
      <pane xSplit="3" ySplit="4" topLeftCell="AS5" activePane="bottomRight" state="frozen"/>
      <selection pane="topRight"/>
      <selection pane="bottomLeft"/>
      <selection pane="bottomRight" activeCell="B24" sqref="B24"/>
    </sheetView>
  </sheetViews>
  <sheetFormatPr defaultColWidth="9.140625" defaultRowHeight="15" customHeight="1" outlineLevelRow="1" x14ac:dyDescent="0.25"/>
  <cols>
    <col min="1" max="1" width="18.42578125" style="17" bestFit="1" customWidth="1"/>
    <col min="2" max="2" width="45.5703125" style="17" customWidth="1"/>
    <col min="3" max="3" width="29" style="17" customWidth="1"/>
    <col min="4" max="8" width="11.5703125" style="17" customWidth="1"/>
    <col min="9" max="10" width="12" style="17" customWidth="1"/>
    <col min="11" max="11" width="11.28515625" style="17" customWidth="1"/>
    <col min="12" max="12" width="12" style="17" customWidth="1"/>
    <col min="13" max="13" width="12.7109375" style="17" customWidth="1"/>
    <col min="14" max="50" width="11.5703125" style="17" customWidth="1"/>
    <col min="51" max="52" width="11.42578125" style="17" customWidth="1"/>
    <col min="53" max="53" width="11.5703125" style="17" customWidth="1"/>
    <col min="54" max="56" width="12.7109375" style="17" customWidth="1"/>
    <col min="57" max="58" width="9.140625" style="17"/>
    <col min="59" max="59" width="10.42578125" style="17" bestFit="1" customWidth="1"/>
    <col min="60" max="60" width="9.140625" style="17"/>
    <col min="61" max="61" width="48.140625" customWidth="1"/>
    <col min="62" max="62" width="14.28515625" bestFit="1" customWidth="1"/>
    <col min="63" max="63" width="12.5703125" bestFit="1" customWidth="1"/>
    <col min="64" max="64" width="12.85546875" bestFit="1" customWidth="1"/>
    <col min="65" max="66" width="11.5703125" bestFit="1" customWidth="1"/>
    <col min="67" max="16384" width="9.140625" style="17"/>
  </cols>
  <sheetData>
    <row r="1" spans="2:68" x14ac:dyDescent="0.25">
      <c r="B1" s="206"/>
      <c r="C1" s="35" t="s">
        <v>67</v>
      </c>
      <c r="D1" s="206" t="s">
        <v>13</v>
      </c>
      <c r="E1" s="207" t="s">
        <v>45</v>
      </c>
      <c r="F1" s="207" t="s">
        <v>45</v>
      </c>
      <c r="G1" s="207" t="s">
        <v>45</v>
      </c>
      <c r="H1" s="207" t="s">
        <v>45</v>
      </c>
      <c r="I1" s="206" t="s">
        <v>65</v>
      </c>
      <c r="J1" s="206" t="s">
        <v>408</v>
      </c>
      <c r="K1" s="206" t="s">
        <v>65</v>
      </c>
      <c r="L1" s="206" t="s">
        <v>408</v>
      </c>
      <c r="M1" s="206" t="s">
        <v>65</v>
      </c>
      <c r="N1" s="206" t="s">
        <v>65</v>
      </c>
      <c r="O1" s="206" t="s">
        <v>65</v>
      </c>
      <c r="P1" s="206" t="s">
        <v>408</v>
      </c>
      <c r="Q1" s="206" t="s">
        <v>65</v>
      </c>
      <c r="R1" s="206" t="s">
        <v>408</v>
      </c>
      <c r="S1" s="206" t="s">
        <v>65</v>
      </c>
      <c r="T1" s="206" t="s">
        <v>408</v>
      </c>
      <c r="U1" s="206" t="s">
        <v>65</v>
      </c>
      <c r="V1" s="206" t="s">
        <v>65</v>
      </c>
      <c r="W1" s="206" t="s">
        <v>408</v>
      </c>
      <c r="X1" s="207" t="s">
        <v>65</v>
      </c>
      <c r="Y1" s="207" t="s">
        <v>408</v>
      </c>
      <c r="Z1" s="207" t="s">
        <v>65</v>
      </c>
      <c r="AA1" s="207" t="s">
        <v>408</v>
      </c>
      <c r="AB1" s="207" t="s">
        <v>65</v>
      </c>
      <c r="AC1" s="207" t="s">
        <v>408</v>
      </c>
      <c r="AD1" s="207" t="s">
        <v>65</v>
      </c>
      <c r="AE1" s="207" t="s">
        <v>408</v>
      </c>
      <c r="AF1" s="207" t="s">
        <v>65</v>
      </c>
      <c r="AG1" s="207" t="s">
        <v>65</v>
      </c>
      <c r="AH1" s="207" t="s">
        <v>408</v>
      </c>
      <c r="AI1" s="207" t="s">
        <v>65</v>
      </c>
      <c r="AJ1" s="207" t="s">
        <v>65</v>
      </c>
      <c r="AK1" s="207" t="s">
        <v>408</v>
      </c>
      <c r="AL1" s="207" t="s">
        <v>65</v>
      </c>
      <c r="AM1" s="207" t="s">
        <v>408</v>
      </c>
      <c r="AN1" s="207" t="s">
        <v>65</v>
      </c>
      <c r="AO1" s="207" t="s">
        <v>65</v>
      </c>
      <c r="AP1" s="207" t="s">
        <v>65</v>
      </c>
      <c r="AQ1" s="207" t="s">
        <v>408</v>
      </c>
      <c r="AR1" s="207" t="s">
        <v>65</v>
      </c>
      <c r="AS1" s="207" t="s">
        <v>408</v>
      </c>
      <c r="AT1" s="207" t="s">
        <v>65</v>
      </c>
      <c r="AU1" s="207" t="s">
        <v>65</v>
      </c>
      <c r="AV1" s="207" t="s">
        <v>65</v>
      </c>
      <c r="AW1" s="207" t="s">
        <v>65</v>
      </c>
      <c r="AX1" s="207" t="s">
        <v>65</v>
      </c>
      <c r="AY1" s="206" t="s">
        <v>65</v>
      </c>
      <c r="AZ1" s="206" t="s">
        <v>408</v>
      </c>
      <c r="BA1" s="207" t="s">
        <v>65</v>
      </c>
      <c r="BB1" s="206" t="s">
        <v>408</v>
      </c>
      <c r="BC1" s="206" t="s">
        <v>408</v>
      </c>
      <c r="BD1" s="206" t="s">
        <v>408</v>
      </c>
      <c r="BE1" s="206"/>
      <c r="BF1" s="206"/>
      <c r="BG1" s="206"/>
      <c r="BH1" s="206"/>
      <c r="BO1" s="206"/>
      <c r="BP1" s="206"/>
    </row>
    <row r="2" spans="2:68" x14ac:dyDescent="0.25">
      <c r="B2" s="206"/>
      <c r="C2" s="35" t="s">
        <v>62</v>
      </c>
      <c r="D2" s="206" t="s">
        <v>13</v>
      </c>
      <c r="E2" s="207" t="s">
        <v>45</v>
      </c>
      <c r="F2" s="207" t="s">
        <v>45</v>
      </c>
      <c r="G2" s="207" t="s">
        <v>45</v>
      </c>
      <c r="H2" s="207" t="s">
        <v>45</v>
      </c>
      <c r="I2" s="206" t="s">
        <v>32</v>
      </c>
      <c r="J2" s="206" t="s">
        <v>32</v>
      </c>
      <c r="K2" s="206" t="s">
        <v>32</v>
      </c>
      <c r="L2" s="206" t="s">
        <v>32</v>
      </c>
      <c r="M2" s="206" t="s">
        <v>29</v>
      </c>
      <c r="N2" s="206" t="s">
        <v>29</v>
      </c>
      <c r="O2" s="206" t="s">
        <v>29</v>
      </c>
      <c r="P2" s="206" t="s">
        <v>29</v>
      </c>
      <c r="Q2" s="206" t="s">
        <v>29</v>
      </c>
      <c r="R2" s="206" t="s">
        <v>29</v>
      </c>
      <c r="S2" s="206" t="s">
        <v>29</v>
      </c>
      <c r="T2" s="206" t="s">
        <v>29</v>
      </c>
      <c r="U2" s="206" t="s">
        <v>29</v>
      </c>
      <c r="V2" s="206" t="s">
        <v>29</v>
      </c>
      <c r="W2" s="206" t="s">
        <v>29</v>
      </c>
      <c r="X2" s="207" t="s">
        <v>29</v>
      </c>
      <c r="Y2" s="207" t="s">
        <v>29</v>
      </c>
      <c r="Z2" s="207" t="s">
        <v>29</v>
      </c>
      <c r="AA2" s="207" t="s">
        <v>29</v>
      </c>
      <c r="AB2" s="207" t="s">
        <v>29</v>
      </c>
      <c r="AC2" s="207" t="s">
        <v>29</v>
      </c>
      <c r="AD2" s="207" t="s">
        <v>29</v>
      </c>
      <c r="AE2" s="207" t="s">
        <v>29</v>
      </c>
      <c r="AF2" s="207" t="s">
        <v>29</v>
      </c>
      <c r="AG2" s="207" t="s">
        <v>29</v>
      </c>
      <c r="AH2" s="207" t="s">
        <v>29</v>
      </c>
      <c r="AI2" s="207" t="s">
        <v>29</v>
      </c>
      <c r="AJ2" s="207" t="s">
        <v>29</v>
      </c>
      <c r="AK2" s="207" t="s">
        <v>29</v>
      </c>
      <c r="AL2" s="207" t="s">
        <v>29</v>
      </c>
      <c r="AM2" s="207" t="s">
        <v>29</v>
      </c>
      <c r="AN2" s="207" t="s">
        <v>29</v>
      </c>
      <c r="AO2" s="207" t="s">
        <v>29</v>
      </c>
      <c r="AP2" s="207" t="s">
        <v>29</v>
      </c>
      <c r="AQ2" s="207" t="s">
        <v>29</v>
      </c>
      <c r="AR2" s="207" t="s">
        <v>32</v>
      </c>
      <c r="AS2" s="207" t="s">
        <v>32</v>
      </c>
      <c r="AT2" s="207" t="s">
        <v>32</v>
      </c>
      <c r="AU2" s="207" t="s">
        <v>32</v>
      </c>
      <c r="AV2" s="207" t="s">
        <v>35</v>
      </c>
      <c r="AW2" s="207" t="s">
        <v>35</v>
      </c>
      <c r="AX2" s="207" t="s">
        <v>35</v>
      </c>
      <c r="AY2" s="206" t="s">
        <v>35</v>
      </c>
      <c r="AZ2" s="206" t="s">
        <v>35</v>
      </c>
      <c r="BA2" s="207" t="s">
        <v>35</v>
      </c>
      <c r="BB2" s="206" t="s">
        <v>38</v>
      </c>
      <c r="BC2" s="206" t="s">
        <v>38</v>
      </c>
      <c r="BD2" s="206" t="s">
        <v>38</v>
      </c>
      <c r="BE2" s="206"/>
      <c r="BF2" s="206"/>
      <c r="BG2" s="206"/>
      <c r="BH2" s="206"/>
      <c r="BO2" s="206"/>
      <c r="BP2" s="206"/>
    </row>
    <row r="3" spans="2:68" x14ac:dyDescent="0.25">
      <c r="B3" s="206"/>
      <c r="C3" s="35" t="s">
        <v>68</v>
      </c>
      <c r="D3" s="58" t="s">
        <v>478</v>
      </c>
      <c r="E3" s="58" t="s">
        <v>479</v>
      </c>
      <c r="F3" s="58" t="s">
        <v>480</v>
      </c>
      <c r="G3" s="58" t="s">
        <v>481</v>
      </c>
      <c r="H3" s="58" t="s">
        <v>482</v>
      </c>
      <c r="I3" s="58" t="s">
        <v>488</v>
      </c>
      <c r="J3" s="58" t="s">
        <v>491</v>
      </c>
      <c r="K3" s="58" t="s">
        <v>489</v>
      </c>
      <c r="L3" s="58" t="s">
        <v>506</v>
      </c>
      <c r="M3" s="58" t="s">
        <v>490</v>
      </c>
      <c r="N3" s="58" t="s">
        <v>492</v>
      </c>
      <c r="O3" s="58" t="s">
        <v>493</v>
      </c>
      <c r="P3" s="58" t="s">
        <v>494</v>
      </c>
      <c r="Q3" s="58" t="s">
        <v>495</v>
      </c>
      <c r="R3" s="58" t="s">
        <v>496</v>
      </c>
      <c r="S3" s="58" t="s">
        <v>497</v>
      </c>
      <c r="T3" s="58" t="s">
        <v>500</v>
      </c>
      <c r="U3" s="58" t="s">
        <v>498</v>
      </c>
      <c r="V3" s="58" t="s">
        <v>499</v>
      </c>
      <c r="W3" s="58" t="s">
        <v>507</v>
      </c>
      <c r="X3" s="58" t="s">
        <v>70</v>
      </c>
      <c r="Y3" s="58" t="s">
        <v>70</v>
      </c>
      <c r="Z3" s="58" t="s">
        <v>71</v>
      </c>
      <c r="AA3" s="58" t="s">
        <v>71</v>
      </c>
      <c r="AB3" s="58" t="s">
        <v>72</v>
      </c>
      <c r="AC3" s="58" t="s">
        <v>72</v>
      </c>
      <c r="AD3" s="58" t="s">
        <v>73</v>
      </c>
      <c r="AE3" s="58" t="s">
        <v>73</v>
      </c>
      <c r="AF3" s="58" t="s">
        <v>74</v>
      </c>
      <c r="AG3" s="58" t="s">
        <v>75</v>
      </c>
      <c r="AH3" s="58" t="s">
        <v>75</v>
      </c>
      <c r="AI3" s="58" t="s">
        <v>76</v>
      </c>
      <c r="AJ3" s="58" t="s">
        <v>77</v>
      </c>
      <c r="AK3" s="58" t="s">
        <v>77</v>
      </c>
      <c r="AL3" s="58" t="s">
        <v>78</v>
      </c>
      <c r="AM3" s="58" t="s">
        <v>78</v>
      </c>
      <c r="AN3" s="58" t="s">
        <v>79</v>
      </c>
      <c r="AO3" s="58" t="s">
        <v>80</v>
      </c>
      <c r="AP3" s="58" t="s">
        <v>81</v>
      </c>
      <c r="AQ3" s="58" t="s">
        <v>82</v>
      </c>
      <c r="AR3" s="58" t="s">
        <v>83</v>
      </c>
      <c r="AS3" s="58" t="s">
        <v>83</v>
      </c>
      <c r="AT3" s="58" t="s">
        <v>84</v>
      </c>
      <c r="AU3" s="58" t="s">
        <v>85</v>
      </c>
      <c r="AV3" s="58" t="s">
        <v>86</v>
      </c>
      <c r="AW3" s="58" t="s">
        <v>87</v>
      </c>
      <c r="AX3" s="58" t="s">
        <v>527</v>
      </c>
      <c r="AY3" s="58" t="s">
        <v>501</v>
      </c>
      <c r="AZ3" s="58" t="s">
        <v>502</v>
      </c>
      <c r="BA3" s="58" t="s">
        <v>88</v>
      </c>
      <c r="BB3" s="58" t="s">
        <v>503</v>
      </c>
      <c r="BC3" s="58" t="s">
        <v>505</v>
      </c>
      <c r="BD3" s="58" t="s">
        <v>504</v>
      </c>
      <c r="BE3" s="206"/>
      <c r="BF3" s="206"/>
      <c r="BG3" s="206"/>
      <c r="BH3" s="206"/>
      <c r="BO3" s="206"/>
      <c r="BP3" s="206"/>
    </row>
    <row r="4" spans="2:68" x14ac:dyDescent="0.25">
      <c r="B4" s="19" t="s">
        <v>89</v>
      </c>
      <c r="C4" s="19"/>
      <c r="D4" s="20" t="str">
        <f t="shared" ref="D4:I4" si="0">D3&amp;"-"&amp;D1</f>
        <v>New York City-MSO</v>
      </c>
      <c r="E4" s="20" t="str">
        <f t="shared" si="0"/>
        <v>Microsoft-M&amp;A</v>
      </c>
      <c r="F4" s="20" t="str">
        <f t="shared" si="0"/>
        <v>Apple-M&amp;A</v>
      </c>
      <c r="G4" s="20" t="str">
        <f t="shared" si="0"/>
        <v>Netflix-M&amp;A</v>
      </c>
      <c r="H4" s="20" t="str">
        <f t="shared" si="0"/>
        <v>Meta-M&amp;A</v>
      </c>
      <c r="I4" s="20" t="str">
        <f t="shared" si="0"/>
        <v>MDA1-Center</v>
      </c>
      <c r="J4" s="20" t="str">
        <f t="shared" ref="J4:BD4" si="1">J3&amp;"-"&amp;J1</f>
        <v>MDB1-Remote</v>
      </c>
      <c r="K4" s="20" t="str">
        <f t="shared" si="1"/>
        <v>MDA3-Center</v>
      </c>
      <c r="L4" s="20" t="str">
        <f t="shared" ref="L4" si="2">L3&amp;"-"&amp;L1</f>
        <v>MDB2-Remote</v>
      </c>
      <c r="M4" s="20" t="str">
        <f t="shared" si="1"/>
        <v>NJA1-Center</v>
      </c>
      <c r="N4" s="20" t="str">
        <f t="shared" si="1"/>
        <v>NJA2-Center</v>
      </c>
      <c r="O4" s="20" t="str">
        <f t="shared" ref="O4" si="3">O3&amp;"-"&amp;O1</f>
        <v>NJA3-Center</v>
      </c>
      <c r="P4" s="20" t="str">
        <f t="shared" ref="P4" si="4">P3&amp;"-"&amp;P1</f>
        <v>NJB1-Remote</v>
      </c>
      <c r="Q4" s="20" t="str">
        <f t="shared" si="1"/>
        <v>NJA4-Center</v>
      </c>
      <c r="R4" s="20" t="str">
        <f t="shared" si="1"/>
        <v>NJB2-Remote</v>
      </c>
      <c r="S4" s="20" t="str">
        <f t="shared" si="1"/>
        <v>NJA5-Center</v>
      </c>
      <c r="T4" s="20" t="str">
        <f t="shared" si="1"/>
        <v>NJB3-Remote</v>
      </c>
      <c r="U4" s="20" t="str">
        <f t="shared" ref="U4" si="5">U3&amp;"-"&amp;U1</f>
        <v>NJA6-Center</v>
      </c>
      <c r="V4" s="20" t="str">
        <f t="shared" ref="V4:AH4" si="6">V3&amp;"-"&amp;V1</f>
        <v>NJA7-Center</v>
      </c>
      <c r="W4" s="20" t="str">
        <f t="shared" si="6"/>
        <v>NJB4-Remote</v>
      </c>
      <c r="X4" s="20" t="str">
        <f t="shared" ref="X4:Y4" si="7">X3&amp;"-"&amp;X1</f>
        <v>NJ-2026-01-Center</v>
      </c>
      <c r="Y4" s="20" t="str">
        <f t="shared" si="7"/>
        <v>NJ-2026-01-Remote</v>
      </c>
      <c r="Z4" s="20" t="str">
        <f t="shared" ref="Z4:AA4" si="8">Z3&amp;"-"&amp;Z1</f>
        <v>NJ-2026-02-Center</v>
      </c>
      <c r="AA4" s="20" t="str">
        <f t="shared" si="8"/>
        <v>NJ-2026-02-Remote</v>
      </c>
      <c r="AB4" s="20" t="str">
        <f t="shared" si="6"/>
        <v>NJ-2027-01-Center</v>
      </c>
      <c r="AC4" s="20" t="str">
        <f t="shared" si="6"/>
        <v>NJ-2027-01-Remote</v>
      </c>
      <c r="AD4" s="20" t="str">
        <f t="shared" ref="AD4:AE4" si="9">AD3&amp;"-"&amp;AD1</f>
        <v>NJ-2027-02-Center</v>
      </c>
      <c r="AE4" s="20" t="str">
        <f t="shared" si="9"/>
        <v>NJ-2027-02-Remote</v>
      </c>
      <c r="AF4" s="20" t="str">
        <f t="shared" si="6"/>
        <v>NJ-2027-03-Center</v>
      </c>
      <c r="AG4" s="20" t="str">
        <f t="shared" si="6"/>
        <v>NJ-2027-04-Center</v>
      </c>
      <c r="AH4" s="20" t="str">
        <f t="shared" si="6"/>
        <v>NJ-2027-04-Remote</v>
      </c>
      <c r="AI4" s="20" t="str">
        <f t="shared" ref="AI4" si="10">AI3&amp;"-"&amp;AI1</f>
        <v>NJ-2027-05-Center</v>
      </c>
      <c r="AJ4" s="20" t="str">
        <f t="shared" ref="AJ4:AP4" si="11">AJ3&amp;"-"&amp;AJ1</f>
        <v>NJ-2028-01-Center</v>
      </c>
      <c r="AK4" s="20" t="str">
        <f t="shared" si="11"/>
        <v>NJ-2028-01-Remote</v>
      </c>
      <c r="AL4" s="20" t="str">
        <f t="shared" si="11"/>
        <v>NJ-2028-02-Center</v>
      </c>
      <c r="AM4" s="20" t="str">
        <f t="shared" si="11"/>
        <v>NJ-2028-02-Remote</v>
      </c>
      <c r="AN4" s="20" t="str">
        <f t="shared" si="11"/>
        <v>NJ-2028-03-Center</v>
      </c>
      <c r="AO4" s="20" t="str">
        <f t="shared" si="11"/>
        <v>NJ-2028-04-Center</v>
      </c>
      <c r="AP4" s="20" t="str">
        <f t="shared" si="11"/>
        <v>NJ-2028-05-Center</v>
      </c>
      <c r="AQ4" s="20" t="str">
        <f t="shared" ref="AQ4:AR4" si="12">AQ3&amp;"-"&amp;AQ1</f>
        <v>NJ-2028-06-Remote</v>
      </c>
      <c r="AR4" s="20" t="str">
        <f t="shared" si="12"/>
        <v>MD-2026-01-Center</v>
      </c>
      <c r="AS4" s="20" t="str">
        <f>AS3&amp;"-"&amp;AS1</f>
        <v>MD-2026-01-Remote</v>
      </c>
      <c r="AT4" s="20" t="str">
        <f t="shared" ref="AT4" si="13">AT3&amp;"-"&amp;AT1</f>
        <v>MD-2027-01-Center</v>
      </c>
      <c r="AU4" s="20" t="str">
        <f t="shared" ref="AU4" si="14">AU3&amp;"-"&amp;AU1</f>
        <v>MD-2028-01-Center</v>
      </c>
      <c r="AV4" s="20" t="str">
        <f t="shared" ref="AV4:AW4" si="15">AV3&amp;"-"&amp;AV1</f>
        <v>NC-2026-01-Center</v>
      </c>
      <c r="AW4" s="20" t="str">
        <f t="shared" si="15"/>
        <v>NC-2027-01-Center</v>
      </c>
      <c r="AX4" s="20" t="str">
        <f t="shared" ref="AX4" si="16">AX3&amp;"-"&amp;AX1</f>
        <v>NCA9-Center</v>
      </c>
      <c r="AY4" s="20" t="str">
        <f t="shared" si="1"/>
        <v>GBA1-Center</v>
      </c>
      <c r="AZ4" s="20" t="str">
        <f t="shared" si="1"/>
        <v>GBB1-Remote</v>
      </c>
      <c r="BA4" s="20" t="str">
        <f t="shared" si="1"/>
        <v>NC-2026-02-Center</v>
      </c>
      <c r="BB4" s="20" t="str">
        <f t="shared" ref="BB4:BC4" si="17">BB3&amp;"-"&amp;BB1</f>
        <v>AZB2-Remote</v>
      </c>
      <c r="BC4" s="20" t="str">
        <f t="shared" si="17"/>
        <v>AZB3-Remote</v>
      </c>
      <c r="BD4" s="20" t="str">
        <f t="shared" si="1"/>
        <v>AZB1-Remote</v>
      </c>
      <c r="BE4" s="206"/>
      <c r="BF4" s="206"/>
      <c r="BG4" s="206"/>
      <c r="BH4" s="206"/>
      <c r="BI4" s="8" t="s">
        <v>258</v>
      </c>
      <c r="BJ4" s="11">
        <v>2026</v>
      </c>
      <c r="BK4" s="9" cm="1">
        <f t="array" ref="BK4:BL4">_xlfn.SEQUENCE(1,2,BJ4+1)</f>
        <v>2027</v>
      </c>
      <c r="BL4" s="9">
        <v>2028</v>
      </c>
      <c r="BM4" s="9"/>
      <c r="BN4" s="9"/>
      <c r="BO4" s="206"/>
      <c r="BP4" s="206"/>
    </row>
    <row r="5" spans="2:68" outlineLevel="1" x14ac:dyDescent="0.25">
      <c r="B5" s="206" t="s">
        <v>90</v>
      </c>
      <c r="C5" s="206"/>
      <c r="D5" s="21">
        <v>44197</v>
      </c>
      <c r="E5" s="21">
        <v>46023</v>
      </c>
      <c r="F5" s="21">
        <v>46296</v>
      </c>
      <c r="G5" s="21">
        <v>46388</v>
      </c>
      <c r="H5" s="21">
        <v>46753</v>
      </c>
      <c r="I5" s="21">
        <v>44197</v>
      </c>
      <c r="J5" s="21">
        <v>44197</v>
      </c>
      <c r="K5" s="21">
        <v>45505</v>
      </c>
      <c r="L5" s="21">
        <v>45505</v>
      </c>
      <c r="M5" s="21">
        <v>45992</v>
      </c>
      <c r="N5" s="21">
        <v>45992</v>
      </c>
      <c r="O5" s="21">
        <v>46082</v>
      </c>
      <c r="P5" s="21">
        <v>46113</v>
      </c>
      <c r="Q5" s="21">
        <v>45778</v>
      </c>
      <c r="R5" s="21">
        <v>45778</v>
      </c>
      <c r="S5" s="21">
        <v>46113</v>
      </c>
      <c r="T5" s="21">
        <v>46143</v>
      </c>
      <c r="U5" s="21">
        <v>46082</v>
      </c>
      <c r="V5" s="21">
        <v>46327</v>
      </c>
      <c r="W5" s="21">
        <v>46327</v>
      </c>
      <c r="X5" s="21">
        <v>46266</v>
      </c>
      <c r="Y5" s="21">
        <v>46296</v>
      </c>
      <c r="Z5" s="21">
        <v>46204</v>
      </c>
      <c r="AA5" s="21">
        <v>46419</v>
      </c>
      <c r="AB5" s="21">
        <v>46447</v>
      </c>
      <c r="AC5" s="21">
        <v>46539</v>
      </c>
      <c r="AD5" s="21">
        <v>46600</v>
      </c>
      <c r="AE5" s="21">
        <v>46661</v>
      </c>
      <c r="AF5" s="21">
        <v>46692</v>
      </c>
      <c r="AG5" s="21">
        <v>46722</v>
      </c>
      <c r="AH5" s="21">
        <v>46813</v>
      </c>
      <c r="AI5" s="21">
        <v>46569</v>
      </c>
      <c r="AJ5" s="21">
        <v>46935</v>
      </c>
      <c r="AK5" s="21">
        <v>46905</v>
      </c>
      <c r="AL5" s="21">
        <v>46966</v>
      </c>
      <c r="AM5" s="21">
        <v>46997</v>
      </c>
      <c r="AN5" s="21">
        <v>46997</v>
      </c>
      <c r="AO5" s="21">
        <v>47027</v>
      </c>
      <c r="AP5" s="21">
        <v>47058</v>
      </c>
      <c r="AQ5" s="21">
        <v>47088</v>
      </c>
      <c r="AR5" s="21">
        <v>46204</v>
      </c>
      <c r="AS5" s="21">
        <v>46023</v>
      </c>
      <c r="AT5" s="21">
        <v>46600</v>
      </c>
      <c r="AU5" s="21">
        <v>46905</v>
      </c>
      <c r="AV5" s="21">
        <v>46174</v>
      </c>
      <c r="AW5" s="21">
        <v>46569</v>
      </c>
      <c r="AX5" s="21">
        <v>46905</v>
      </c>
      <c r="AY5" s="21">
        <v>45689</v>
      </c>
      <c r="AZ5" s="136">
        <v>44958</v>
      </c>
      <c r="BA5" s="21">
        <v>46296</v>
      </c>
      <c r="BB5" s="21">
        <v>46023</v>
      </c>
      <c r="BC5" s="21">
        <v>46388</v>
      </c>
      <c r="BD5" s="21">
        <v>44927</v>
      </c>
      <c r="BE5" s="206"/>
      <c r="BF5" s="206"/>
      <c r="BG5" s="206"/>
      <c r="BH5" s="206"/>
      <c r="BI5" s="7"/>
      <c r="BJ5" s="4" t="s">
        <v>259</v>
      </c>
      <c r="BO5" s="206"/>
      <c r="BP5" s="206"/>
    </row>
    <row r="6" spans="2:68" outlineLevel="1" x14ac:dyDescent="0.25">
      <c r="B6" s="206" t="s">
        <v>91</v>
      </c>
      <c r="C6" s="80" t="s">
        <v>92</v>
      </c>
      <c r="D6" s="22">
        <v>0</v>
      </c>
      <c r="E6" s="22">
        <v>500</v>
      </c>
      <c r="F6" s="22">
        <v>240</v>
      </c>
      <c r="G6" s="22">
        <v>240</v>
      </c>
      <c r="H6" s="22">
        <v>240</v>
      </c>
      <c r="I6" s="22">
        <v>52</v>
      </c>
      <c r="J6" s="22">
        <v>36</v>
      </c>
      <c r="K6" s="22">
        <v>37</v>
      </c>
      <c r="L6" s="22">
        <v>36</v>
      </c>
      <c r="M6" s="22">
        <v>42</v>
      </c>
      <c r="N6" s="22">
        <v>42</v>
      </c>
      <c r="O6" s="22">
        <v>42</v>
      </c>
      <c r="P6" s="22">
        <v>24</v>
      </c>
      <c r="Q6" s="22">
        <v>42</v>
      </c>
      <c r="R6" s="22">
        <v>24</v>
      </c>
      <c r="S6" s="22">
        <v>42</v>
      </c>
      <c r="T6" s="22">
        <v>24</v>
      </c>
      <c r="U6" s="22">
        <v>42</v>
      </c>
      <c r="V6" s="22">
        <v>42</v>
      </c>
      <c r="W6" s="22">
        <v>24</v>
      </c>
      <c r="X6" s="22">
        <v>42</v>
      </c>
      <c r="Y6" s="22">
        <v>24</v>
      </c>
      <c r="Z6" s="22">
        <v>42</v>
      </c>
      <c r="AA6" s="22">
        <v>24</v>
      </c>
      <c r="AB6" s="22">
        <v>42</v>
      </c>
      <c r="AC6" s="22">
        <v>24</v>
      </c>
      <c r="AD6" s="22">
        <v>42</v>
      </c>
      <c r="AE6" s="22">
        <v>24</v>
      </c>
      <c r="AF6" s="22">
        <v>42</v>
      </c>
      <c r="AG6" s="22">
        <v>42</v>
      </c>
      <c r="AH6" s="22">
        <v>24</v>
      </c>
      <c r="AI6" s="22">
        <v>42</v>
      </c>
      <c r="AJ6" s="22">
        <v>42</v>
      </c>
      <c r="AK6" s="22">
        <v>24</v>
      </c>
      <c r="AL6" s="22">
        <v>42</v>
      </c>
      <c r="AM6" s="22">
        <v>24</v>
      </c>
      <c r="AN6" s="22">
        <v>42</v>
      </c>
      <c r="AO6" s="22">
        <v>42</v>
      </c>
      <c r="AP6" s="22">
        <v>42</v>
      </c>
      <c r="AQ6" s="22">
        <v>24</v>
      </c>
      <c r="AR6" s="22">
        <v>40</v>
      </c>
      <c r="AS6" s="22">
        <v>28</v>
      </c>
      <c r="AT6" s="22">
        <v>40</v>
      </c>
      <c r="AU6" s="22">
        <v>40</v>
      </c>
      <c r="AV6" s="22">
        <v>42</v>
      </c>
      <c r="AW6" s="22">
        <v>42</v>
      </c>
      <c r="AX6" s="22">
        <v>42</v>
      </c>
      <c r="AY6" s="22">
        <v>34</v>
      </c>
      <c r="AZ6" s="137">
        <v>240</v>
      </c>
      <c r="BA6" s="22">
        <v>40</v>
      </c>
      <c r="BB6" s="22">
        <v>25</v>
      </c>
      <c r="BC6" s="22">
        <v>24</v>
      </c>
      <c r="BD6" s="22">
        <v>36</v>
      </c>
      <c r="BE6" s="206"/>
      <c r="BF6" s="206"/>
      <c r="BG6" s="80"/>
      <c r="BH6" s="206"/>
      <c r="BP6" s="206"/>
    </row>
    <row r="7" spans="2:68" outlineLevel="1" x14ac:dyDescent="0.25">
      <c r="B7" s="206" t="s">
        <v>93</v>
      </c>
      <c r="C7" s="80" t="s">
        <v>94</v>
      </c>
      <c r="D7" s="22">
        <v>0</v>
      </c>
      <c r="E7" s="22">
        <v>400</v>
      </c>
      <c r="F7" s="22">
        <v>100</v>
      </c>
      <c r="G7" s="22">
        <v>100</v>
      </c>
      <c r="H7" s="22">
        <v>100</v>
      </c>
      <c r="I7" s="22">
        <v>12</v>
      </c>
      <c r="J7" s="22">
        <v>12</v>
      </c>
      <c r="K7" s="22">
        <v>12</v>
      </c>
      <c r="L7" s="22">
        <v>12</v>
      </c>
      <c r="M7" s="22">
        <v>14</v>
      </c>
      <c r="N7" s="22">
        <v>14</v>
      </c>
      <c r="O7" s="22">
        <v>14</v>
      </c>
      <c r="P7" s="22">
        <v>14</v>
      </c>
      <c r="Q7" s="22">
        <v>12</v>
      </c>
      <c r="R7" s="22">
        <v>12</v>
      </c>
      <c r="S7" s="22">
        <v>14</v>
      </c>
      <c r="T7" s="22">
        <v>14</v>
      </c>
      <c r="U7" s="22">
        <v>14</v>
      </c>
      <c r="V7" s="22">
        <v>14</v>
      </c>
      <c r="W7" s="22">
        <v>14</v>
      </c>
      <c r="X7" s="22">
        <v>14</v>
      </c>
      <c r="Y7" s="22">
        <v>14</v>
      </c>
      <c r="Z7" s="22">
        <v>14</v>
      </c>
      <c r="AA7" s="22">
        <v>14</v>
      </c>
      <c r="AB7" s="22">
        <v>14</v>
      </c>
      <c r="AC7" s="22">
        <v>14</v>
      </c>
      <c r="AD7" s="22">
        <v>14</v>
      </c>
      <c r="AE7" s="22">
        <v>14</v>
      </c>
      <c r="AF7" s="22">
        <v>14</v>
      </c>
      <c r="AG7" s="22">
        <v>14</v>
      </c>
      <c r="AH7" s="22">
        <v>14</v>
      </c>
      <c r="AI7" s="22">
        <v>14</v>
      </c>
      <c r="AJ7" s="22">
        <v>14</v>
      </c>
      <c r="AK7" s="22">
        <v>14</v>
      </c>
      <c r="AL7" s="22">
        <v>14</v>
      </c>
      <c r="AM7" s="22">
        <v>14</v>
      </c>
      <c r="AN7" s="22">
        <v>14</v>
      </c>
      <c r="AO7" s="22">
        <v>14</v>
      </c>
      <c r="AP7" s="22">
        <v>14</v>
      </c>
      <c r="AQ7" s="22">
        <v>14</v>
      </c>
      <c r="AR7" s="22">
        <v>14</v>
      </c>
      <c r="AS7" s="22">
        <v>12</v>
      </c>
      <c r="AT7" s="22">
        <v>14</v>
      </c>
      <c r="AU7" s="22">
        <v>14</v>
      </c>
      <c r="AV7" s="22">
        <v>14</v>
      </c>
      <c r="AW7" s="22">
        <v>14</v>
      </c>
      <c r="AX7" s="22">
        <v>14</v>
      </c>
      <c r="AY7" s="22">
        <v>14</v>
      </c>
      <c r="AZ7" s="137">
        <v>87</v>
      </c>
      <c r="BA7" s="22">
        <v>14</v>
      </c>
      <c r="BB7" s="22">
        <v>14</v>
      </c>
      <c r="BC7" s="22">
        <v>14</v>
      </c>
      <c r="BD7" s="22">
        <v>14</v>
      </c>
      <c r="BE7" s="206"/>
      <c r="BF7" s="206"/>
      <c r="BG7" s="80"/>
      <c r="BH7" s="206"/>
      <c r="BP7" s="206"/>
    </row>
    <row r="8" spans="2:68" outlineLevel="1" x14ac:dyDescent="0.25">
      <c r="B8" s="206" t="s">
        <v>95</v>
      </c>
      <c r="C8" s="206"/>
      <c r="D8" s="22">
        <v>0</v>
      </c>
      <c r="E8" s="22"/>
      <c r="F8" s="22"/>
      <c r="G8" s="22"/>
      <c r="H8" s="22"/>
      <c r="I8" s="22">
        <v>4</v>
      </c>
      <c r="J8" s="22">
        <v>2</v>
      </c>
      <c r="K8" s="22">
        <v>4</v>
      </c>
      <c r="L8" s="22">
        <v>2</v>
      </c>
      <c r="M8" s="22">
        <v>4</v>
      </c>
      <c r="N8" s="22">
        <v>4</v>
      </c>
      <c r="O8" s="22">
        <v>4</v>
      </c>
      <c r="P8" s="22">
        <v>2</v>
      </c>
      <c r="Q8" s="22">
        <v>4</v>
      </c>
      <c r="R8" s="22">
        <v>2</v>
      </c>
      <c r="S8" s="22">
        <v>4</v>
      </c>
      <c r="T8" s="22">
        <v>2</v>
      </c>
      <c r="U8" s="22">
        <v>4</v>
      </c>
      <c r="V8" s="22">
        <v>4</v>
      </c>
      <c r="W8" s="22">
        <v>2</v>
      </c>
      <c r="X8" s="22">
        <v>4</v>
      </c>
      <c r="Y8" s="22">
        <v>2</v>
      </c>
      <c r="Z8" s="22">
        <v>4</v>
      </c>
      <c r="AA8" s="22">
        <v>2</v>
      </c>
      <c r="AB8" s="22">
        <v>4</v>
      </c>
      <c r="AC8" s="22">
        <v>2</v>
      </c>
      <c r="AD8" s="22">
        <v>4</v>
      </c>
      <c r="AE8" s="22">
        <v>2</v>
      </c>
      <c r="AF8" s="22">
        <v>4</v>
      </c>
      <c r="AG8" s="22">
        <v>4</v>
      </c>
      <c r="AH8" s="22">
        <v>2</v>
      </c>
      <c r="AI8" s="22">
        <v>4</v>
      </c>
      <c r="AJ8" s="22">
        <v>4</v>
      </c>
      <c r="AK8" s="22">
        <v>2</v>
      </c>
      <c r="AL8" s="22">
        <v>4</v>
      </c>
      <c r="AM8" s="22">
        <v>2</v>
      </c>
      <c r="AN8" s="22">
        <v>4</v>
      </c>
      <c r="AO8" s="22">
        <v>4</v>
      </c>
      <c r="AP8" s="22">
        <v>4</v>
      </c>
      <c r="AQ8" s="22">
        <v>2</v>
      </c>
      <c r="AR8" s="22">
        <v>4</v>
      </c>
      <c r="AS8" s="22">
        <v>4</v>
      </c>
      <c r="AT8" s="22">
        <v>4</v>
      </c>
      <c r="AU8" s="22">
        <v>4</v>
      </c>
      <c r="AV8" s="22">
        <v>4</v>
      </c>
      <c r="AW8" s="22">
        <v>4</v>
      </c>
      <c r="AX8" s="22">
        <v>4</v>
      </c>
      <c r="AY8" s="22">
        <v>4</v>
      </c>
      <c r="AZ8" s="22">
        <v>4</v>
      </c>
      <c r="BA8" s="22">
        <v>4</v>
      </c>
      <c r="BB8" s="22">
        <v>2</v>
      </c>
      <c r="BC8" s="22">
        <v>2</v>
      </c>
      <c r="BD8" s="22">
        <v>2</v>
      </c>
      <c r="BE8" s="206"/>
      <c r="BF8" s="206"/>
      <c r="BG8" s="101"/>
      <c r="BH8" s="206"/>
      <c r="BP8" s="206"/>
    </row>
    <row r="9" spans="2:68" outlineLevel="1" x14ac:dyDescent="0.25">
      <c r="B9" s="206" t="s">
        <v>96</v>
      </c>
      <c r="C9" s="206"/>
      <c r="D9" s="110">
        <v>0.4</v>
      </c>
      <c r="E9" s="110">
        <v>0.4</v>
      </c>
      <c r="F9" s="110">
        <v>0.4</v>
      </c>
      <c r="G9" s="110">
        <v>0.4</v>
      </c>
      <c r="H9" s="110">
        <v>0.4</v>
      </c>
      <c r="I9" s="110">
        <v>0.4</v>
      </c>
      <c r="J9" s="110">
        <v>0.4</v>
      </c>
      <c r="K9" s="110">
        <v>0.4</v>
      </c>
      <c r="L9" s="110">
        <v>0.4</v>
      </c>
      <c r="M9" s="110">
        <v>0.4</v>
      </c>
      <c r="N9" s="110">
        <v>0.4</v>
      </c>
      <c r="O9" s="110">
        <v>0.4</v>
      </c>
      <c r="P9" s="110">
        <v>0.4</v>
      </c>
      <c r="Q9" s="110">
        <v>0.4</v>
      </c>
      <c r="R9" s="110">
        <v>0.4</v>
      </c>
      <c r="S9" s="110">
        <v>0.4</v>
      </c>
      <c r="T9" s="110">
        <v>0.4</v>
      </c>
      <c r="U9" s="110">
        <v>0.4</v>
      </c>
      <c r="V9" s="110">
        <v>0.4</v>
      </c>
      <c r="W9" s="110">
        <v>0.4</v>
      </c>
      <c r="X9" s="110">
        <v>0.4</v>
      </c>
      <c r="Y9" s="110">
        <v>0.4</v>
      </c>
      <c r="Z9" s="110">
        <v>0.4</v>
      </c>
      <c r="AA9" s="110">
        <v>0.4</v>
      </c>
      <c r="AB9" s="110">
        <v>0.4</v>
      </c>
      <c r="AC9" s="110">
        <v>0.4</v>
      </c>
      <c r="AD9" s="110">
        <v>0.4</v>
      </c>
      <c r="AE9" s="110">
        <v>0.4</v>
      </c>
      <c r="AF9" s="110">
        <v>0.4</v>
      </c>
      <c r="AG9" s="110">
        <v>0.4</v>
      </c>
      <c r="AH9" s="110">
        <v>0.4</v>
      </c>
      <c r="AI9" s="110">
        <v>0.4</v>
      </c>
      <c r="AJ9" s="110">
        <v>0.4</v>
      </c>
      <c r="AK9" s="110">
        <v>0.4</v>
      </c>
      <c r="AL9" s="110">
        <v>0.4</v>
      </c>
      <c r="AM9" s="110">
        <v>0.4</v>
      </c>
      <c r="AN9" s="110">
        <v>0.4</v>
      </c>
      <c r="AO9" s="110">
        <v>0.4</v>
      </c>
      <c r="AP9" s="110">
        <v>0.4</v>
      </c>
      <c r="AQ9" s="110">
        <v>0.4</v>
      </c>
      <c r="AR9" s="110">
        <v>0.4</v>
      </c>
      <c r="AS9" s="110">
        <v>0.4</v>
      </c>
      <c r="AT9" s="110">
        <v>0.4</v>
      </c>
      <c r="AU9" s="110">
        <v>0.4</v>
      </c>
      <c r="AV9" s="110">
        <v>0.5</v>
      </c>
      <c r="AW9" s="110">
        <v>0.5</v>
      </c>
      <c r="AX9" s="110">
        <v>0.8</v>
      </c>
      <c r="AY9" s="110">
        <v>0.8</v>
      </c>
      <c r="AZ9" s="110">
        <v>0.5</v>
      </c>
      <c r="BA9" s="110">
        <v>0.8</v>
      </c>
      <c r="BB9" s="110">
        <v>0.4</v>
      </c>
      <c r="BC9" s="110">
        <v>0.4</v>
      </c>
      <c r="BD9" s="110">
        <v>0.4</v>
      </c>
      <c r="BE9" s="206"/>
      <c r="BF9" s="206"/>
      <c r="BG9" s="206"/>
      <c r="BH9" s="206"/>
      <c r="BP9" s="206"/>
    </row>
    <row r="10" spans="2:68" outlineLevel="1" x14ac:dyDescent="0.25">
      <c r="B10" s="206" t="s">
        <v>97</v>
      </c>
      <c r="C10" s="206"/>
      <c r="D10" s="110">
        <v>0.2</v>
      </c>
      <c r="E10" s="110">
        <v>0.2</v>
      </c>
      <c r="F10" s="110">
        <v>0.2</v>
      </c>
      <c r="G10" s="110">
        <v>0.2</v>
      </c>
      <c r="H10" s="110">
        <v>0.2</v>
      </c>
      <c r="I10" s="110">
        <v>0.2</v>
      </c>
      <c r="J10" s="110">
        <v>0.2</v>
      </c>
      <c r="K10" s="110">
        <v>0.2</v>
      </c>
      <c r="L10" s="110">
        <v>0.2</v>
      </c>
      <c r="M10" s="110">
        <v>0.2</v>
      </c>
      <c r="N10" s="110">
        <v>0.2</v>
      </c>
      <c r="O10" s="110">
        <v>0.2</v>
      </c>
      <c r="P10" s="110">
        <v>0.2</v>
      </c>
      <c r="Q10" s="110">
        <v>0.2</v>
      </c>
      <c r="R10" s="110">
        <v>0.2</v>
      </c>
      <c r="S10" s="110">
        <v>0.2</v>
      </c>
      <c r="T10" s="110">
        <v>0.2</v>
      </c>
      <c r="U10" s="110">
        <v>0.2</v>
      </c>
      <c r="V10" s="110">
        <v>0.2</v>
      </c>
      <c r="W10" s="110">
        <v>0.2</v>
      </c>
      <c r="X10" s="110">
        <v>0.2</v>
      </c>
      <c r="Y10" s="110">
        <v>0.2</v>
      </c>
      <c r="Z10" s="110">
        <v>0.2</v>
      </c>
      <c r="AA10" s="110">
        <v>0.2</v>
      </c>
      <c r="AB10" s="110">
        <v>0.2</v>
      </c>
      <c r="AC10" s="110">
        <v>0.2</v>
      </c>
      <c r="AD10" s="110">
        <v>0.2</v>
      </c>
      <c r="AE10" s="110">
        <v>0.2</v>
      </c>
      <c r="AF10" s="110">
        <v>0.2</v>
      </c>
      <c r="AG10" s="110">
        <v>0.2</v>
      </c>
      <c r="AH10" s="110">
        <v>0.2</v>
      </c>
      <c r="AI10" s="110">
        <v>0.2</v>
      </c>
      <c r="AJ10" s="110">
        <v>0.2</v>
      </c>
      <c r="AK10" s="110">
        <v>0.2</v>
      </c>
      <c r="AL10" s="110">
        <v>0.2</v>
      </c>
      <c r="AM10" s="110">
        <v>0.2</v>
      </c>
      <c r="AN10" s="110">
        <v>0.2</v>
      </c>
      <c r="AO10" s="110">
        <v>0.2</v>
      </c>
      <c r="AP10" s="110">
        <v>0.2</v>
      </c>
      <c r="AQ10" s="110">
        <v>0.2</v>
      </c>
      <c r="AR10" s="110">
        <v>0.2</v>
      </c>
      <c r="AS10" s="110">
        <v>0.2</v>
      </c>
      <c r="AT10" s="110">
        <v>0.2</v>
      </c>
      <c r="AU10" s="110">
        <v>0.2</v>
      </c>
      <c r="AV10" s="110">
        <v>0.2</v>
      </c>
      <c r="AW10" s="110">
        <v>0.2</v>
      </c>
      <c r="AX10" s="110">
        <v>0.2</v>
      </c>
      <c r="AY10" s="110">
        <v>0.2</v>
      </c>
      <c r="AZ10" s="110">
        <v>0.2</v>
      </c>
      <c r="BA10" s="110">
        <v>0.2</v>
      </c>
      <c r="BB10" s="110">
        <v>0.2</v>
      </c>
      <c r="BC10" s="110">
        <v>0.2</v>
      </c>
      <c r="BD10" s="110">
        <v>0.2</v>
      </c>
      <c r="BE10" s="206"/>
      <c r="BF10" s="206"/>
      <c r="BG10" s="206"/>
      <c r="BH10" s="206"/>
      <c r="BP10" s="206"/>
    </row>
    <row r="11" spans="2:68" x14ac:dyDescent="0.25">
      <c r="B11" s="23"/>
      <c r="C11" s="206"/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P11" s="206"/>
    </row>
    <row r="12" spans="2:68" x14ac:dyDescent="0.25">
      <c r="B12" s="218" t="s">
        <v>446</v>
      </c>
      <c r="C12" s="29" t="s">
        <v>447</v>
      </c>
      <c r="D12" s="145">
        <v>0</v>
      </c>
      <c r="E12" s="145">
        <v>90</v>
      </c>
      <c r="F12" s="145">
        <v>90</v>
      </c>
      <c r="G12" s="145">
        <v>90</v>
      </c>
      <c r="H12" s="145">
        <v>90</v>
      </c>
      <c r="I12" s="145">
        <v>0</v>
      </c>
      <c r="J12" s="145">
        <v>0</v>
      </c>
      <c r="K12" s="145">
        <v>0</v>
      </c>
      <c r="L12" s="145">
        <v>0</v>
      </c>
      <c r="M12" s="145">
        <v>0</v>
      </c>
      <c r="N12" s="145">
        <v>0</v>
      </c>
      <c r="O12" s="145">
        <v>0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0</v>
      </c>
      <c r="AB12" s="145">
        <v>0</v>
      </c>
      <c r="AC12" s="145">
        <v>0</v>
      </c>
      <c r="AD12" s="145">
        <v>0</v>
      </c>
      <c r="AE12" s="145">
        <v>0</v>
      </c>
      <c r="AF12" s="145">
        <v>0</v>
      </c>
      <c r="AG12" s="145">
        <v>0</v>
      </c>
      <c r="AH12" s="145">
        <v>0</v>
      </c>
      <c r="AI12" s="145">
        <v>0</v>
      </c>
      <c r="AJ12" s="145">
        <v>0</v>
      </c>
      <c r="AK12" s="145">
        <v>0</v>
      </c>
      <c r="AL12" s="145">
        <v>0</v>
      </c>
      <c r="AM12" s="145">
        <v>0</v>
      </c>
      <c r="AN12" s="145">
        <v>0</v>
      </c>
      <c r="AO12" s="145">
        <v>0</v>
      </c>
      <c r="AP12" s="145">
        <v>0</v>
      </c>
      <c r="AQ12" s="145">
        <v>0</v>
      </c>
      <c r="AR12" s="145">
        <v>0</v>
      </c>
      <c r="AS12" s="145">
        <v>0</v>
      </c>
      <c r="AT12" s="145">
        <v>0</v>
      </c>
      <c r="AU12" s="145">
        <v>0</v>
      </c>
      <c r="AV12" s="145">
        <v>0</v>
      </c>
      <c r="AW12" s="145">
        <v>0</v>
      </c>
      <c r="AX12" s="145">
        <v>0</v>
      </c>
      <c r="AY12" s="145">
        <v>0</v>
      </c>
      <c r="AZ12" s="145">
        <v>0</v>
      </c>
      <c r="BA12" s="145">
        <v>0</v>
      </c>
      <c r="BB12" s="145">
        <v>0</v>
      </c>
      <c r="BC12" s="145">
        <v>0</v>
      </c>
      <c r="BD12" s="145">
        <v>0</v>
      </c>
      <c r="BE12" s="206"/>
      <c r="BF12" s="206"/>
      <c r="BG12" s="206"/>
      <c r="BH12" s="206"/>
      <c r="BI12" s="218" t="s">
        <v>446</v>
      </c>
      <c r="BJ12" s="37">
        <v>1</v>
      </c>
      <c r="BK12" s="37">
        <f>BJ12*1.04</f>
        <v>1.04</v>
      </c>
      <c r="BL12" s="37">
        <f>BK12*1.04</f>
        <v>1.0816000000000001</v>
      </c>
      <c r="BP12" s="206"/>
    </row>
    <row r="13" spans="2:68" x14ac:dyDescent="0.25">
      <c r="B13" s="208" t="s">
        <v>98</v>
      </c>
      <c r="C13" s="220" t="s">
        <v>448</v>
      </c>
      <c r="D13" s="110">
        <v>0</v>
      </c>
      <c r="E13" s="110">
        <v>-0.73</v>
      </c>
      <c r="F13" s="110">
        <v>-0.73</v>
      </c>
      <c r="G13" s="110">
        <v>-0.73</v>
      </c>
      <c r="H13" s="110">
        <v>-0.73</v>
      </c>
      <c r="I13" s="110">
        <v>-0.73</v>
      </c>
      <c r="J13" s="110">
        <v>-0.73</v>
      </c>
      <c r="K13" s="110">
        <v>-0.73</v>
      </c>
      <c r="L13" s="110">
        <v>-0.73</v>
      </c>
      <c r="M13" s="110">
        <v>-0.73</v>
      </c>
      <c r="N13" s="110">
        <v>-0.73</v>
      </c>
      <c r="O13" s="110">
        <v>-0.73</v>
      </c>
      <c r="P13" s="110">
        <v>-0.73</v>
      </c>
      <c r="Q13" s="110">
        <v>-0.73</v>
      </c>
      <c r="R13" s="110">
        <v>-0.73</v>
      </c>
      <c r="S13" s="110">
        <v>-0.73</v>
      </c>
      <c r="T13" s="110">
        <v>-0.73</v>
      </c>
      <c r="U13" s="110">
        <v>-0.73</v>
      </c>
      <c r="V13" s="110">
        <v>-0.73</v>
      </c>
      <c r="W13" s="110">
        <v>-0.73</v>
      </c>
      <c r="X13" s="110">
        <v>-0.73</v>
      </c>
      <c r="Y13" s="110">
        <v>-0.73</v>
      </c>
      <c r="Z13" s="110">
        <v>-0.73</v>
      </c>
      <c r="AA13" s="110">
        <v>-0.73</v>
      </c>
      <c r="AB13" s="110">
        <v>-0.73</v>
      </c>
      <c r="AC13" s="110">
        <v>-0.73</v>
      </c>
      <c r="AD13" s="110">
        <v>-0.73</v>
      </c>
      <c r="AE13" s="110">
        <v>-0.73</v>
      </c>
      <c r="AF13" s="110">
        <v>-0.73</v>
      </c>
      <c r="AG13" s="110">
        <v>-0.73</v>
      </c>
      <c r="AH13" s="110">
        <v>-0.73</v>
      </c>
      <c r="AI13" s="110">
        <v>-0.73</v>
      </c>
      <c r="AJ13" s="110">
        <v>-0.73</v>
      </c>
      <c r="AK13" s="110">
        <v>-0.73</v>
      </c>
      <c r="AL13" s="110">
        <v>-0.73</v>
      </c>
      <c r="AM13" s="110">
        <v>-0.73</v>
      </c>
      <c r="AN13" s="110">
        <v>-0.73</v>
      </c>
      <c r="AO13" s="110">
        <v>-0.73</v>
      </c>
      <c r="AP13" s="110">
        <v>-0.73</v>
      </c>
      <c r="AQ13" s="110">
        <v>-0.73</v>
      </c>
      <c r="AR13" s="110">
        <v>-0.73</v>
      </c>
      <c r="AS13" s="110">
        <v>-0.73</v>
      </c>
      <c r="AT13" s="110">
        <v>-0.73</v>
      </c>
      <c r="AU13" s="110">
        <v>-0.73</v>
      </c>
      <c r="AV13" s="110">
        <v>-0.73</v>
      </c>
      <c r="AW13" s="110">
        <v>-0.73</v>
      </c>
      <c r="AX13" s="110">
        <v>-0.73</v>
      </c>
      <c r="AY13" s="110">
        <v>-0.73</v>
      </c>
      <c r="AZ13" s="110">
        <v>-0.73</v>
      </c>
      <c r="BA13" s="110">
        <v>-0.73</v>
      </c>
      <c r="BB13" s="110">
        <v>-0.73</v>
      </c>
      <c r="BC13" s="110">
        <v>-0.73</v>
      </c>
      <c r="BD13" s="110">
        <v>-0.73</v>
      </c>
      <c r="BE13" s="206"/>
      <c r="BF13" s="206"/>
      <c r="BG13" s="206"/>
      <c r="BH13" s="206"/>
      <c r="BP13" s="206"/>
    </row>
    <row r="14" spans="2:68" x14ac:dyDescent="0.25">
      <c r="B14" s="208" t="s">
        <v>99</v>
      </c>
      <c r="C14" s="209"/>
      <c r="D14" s="110">
        <v>0</v>
      </c>
      <c r="E14" s="110">
        <v>0.59</v>
      </c>
      <c r="F14" s="110">
        <v>0.59</v>
      </c>
      <c r="G14" s="110">
        <v>0.59</v>
      </c>
      <c r="H14" s="110">
        <v>0.59</v>
      </c>
      <c r="I14" s="110">
        <v>0.59</v>
      </c>
      <c r="J14" s="110">
        <v>0.59</v>
      </c>
      <c r="K14" s="110">
        <v>0.59</v>
      </c>
      <c r="L14" s="110">
        <v>0.59</v>
      </c>
      <c r="M14" s="110">
        <v>0.59</v>
      </c>
      <c r="N14" s="110">
        <v>0.59</v>
      </c>
      <c r="O14" s="110">
        <v>0.59</v>
      </c>
      <c r="P14" s="110">
        <v>0.59</v>
      </c>
      <c r="Q14" s="110">
        <v>0.59</v>
      </c>
      <c r="R14" s="110">
        <v>0.59</v>
      </c>
      <c r="S14" s="110">
        <v>0.59</v>
      </c>
      <c r="T14" s="110">
        <v>0.59</v>
      </c>
      <c r="U14" s="110">
        <v>0.59</v>
      </c>
      <c r="V14" s="110">
        <v>0.59</v>
      </c>
      <c r="W14" s="110">
        <v>0.59</v>
      </c>
      <c r="X14" s="110">
        <v>0.59</v>
      </c>
      <c r="Y14" s="110">
        <v>0.59</v>
      </c>
      <c r="Z14" s="110">
        <v>0.59</v>
      </c>
      <c r="AA14" s="110">
        <v>0.59</v>
      </c>
      <c r="AB14" s="110">
        <v>0.59</v>
      </c>
      <c r="AC14" s="110">
        <v>0.59</v>
      </c>
      <c r="AD14" s="110">
        <v>0.59</v>
      </c>
      <c r="AE14" s="110">
        <v>0.59</v>
      </c>
      <c r="AF14" s="110">
        <v>0.59</v>
      </c>
      <c r="AG14" s="110">
        <v>0.59</v>
      </c>
      <c r="AH14" s="110">
        <v>0.59</v>
      </c>
      <c r="AI14" s="110">
        <v>0.59</v>
      </c>
      <c r="AJ14" s="110">
        <v>0.59</v>
      </c>
      <c r="AK14" s="110">
        <v>0.59</v>
      </c>
      <c r="AL14" s="110">
        <v>0.59</v>
      </c>
      <c r="AM14" s="110">
        <v>0.59</v>
      </c>
      <c r="AN14" s="110">
        <v>0.59</v>
      </c>
      <c r="AO14" s="110">
        <v>0.59</v>
      </c>
      <c r="AP14" s="110">
        <v>0.59</v>
      </c>
      <c r="AQ14" s="110">
        <v>0.59</v>
      </c>
      <c r="AR14" s="110">
        <v>0.59</v>
      </c>
      <c r="AS14" s="110">
        <v>0.59</v>
      </c>
      <c r="AT14" s="110">
        <v>0.59</v>
      </c>
      <c r="AU14" s="110">
        <v>0.59</v>
      </c>
      <c r="AV14" s="110">
        <v>0.59</v>
      </c>
      <c r="AW14" s="110">
        <v>0.59</v>
      </c>
      <c r="AX14" s="110">
        <v>0.59</v>
      </c>
      <c r="AY14" s="110">
        <v>0.59</v>
      </c>
      <c r="AZ14" s="110">
        <v>0.59</v>
      </c>
      <c r="BA14" s="110">
        <v>0.59</v>
      </c>
      <c r="BB14" s="110">
        <v>0.59</v>
      </c>
      <c r="BC14" s="110">
        <v>0.59</v>
      </c>
      <c r="BD14" s="110">
        <v>0.59</v>
      </c>
      <c r="BE14" s="206"/>
      <c r="BF14" s="206"/>
      <c r="BG14" s="206"/>
      <c r="BH14" s="206"/>
      <c r="BP14" s="206"/>
    </row>
    <row r="15" spans="2:68" x14ac:dyDescent="0.25">
      <c r="B15" s="208" t="s">
        <v>100</v>
      </c>
      <c r="C15" s="209"/>
      <c r="D15" s="110">
        <v>0</v>
      </c>
      <c r="E15" s="110">
        <v>7.0000000000000007E-2</v>
      </c>
      <c r="F15" s="110">
        <v>7.0000000000000007E-2</v>
      </c>
      <c r="G15" s="110">
        <v>7.0000000000000007E-2</v>
      </c>
      <c r="H15" s="110">
        <v>7.0000000000000007E-2</v>
      </c>
      <c r="I15" s="110">
        <v>7.0000000000000007E-2</v>
      </c>
      <c r="J15" s="110">
        <v>7.0000000000000007E-2</v>
      </c>
      <c r="K15" s="110">
        <v>7.0000000000000007E-2</v>
      </c>
      <c r="L15" s="110">
        <v>7.0000000000000007E-2</v>
      </c>
      <c r="M15" s="110">
        <v>7.0000000000000007E-2</v>
      </c>
      <c r="N15" s="110">
        <v>7.0000000000000007E-2</v>
      </c>
      <c r="O15" s="110">
        <v>7.0000000000000007E-2</v>
      </c>
      <c r="P15" s="110">
        <v>7.0000000000000007E-2</v>
      </c>
      <c r="Q15" s="110">
        <v>7.0000000000000007E-2</v>
      </c>
      <c r="R15" s="110">
        <v>7.0000000000000007E-2</v>
      </c>
      <c r="S15" s="110">
        <v>7.0000000000000007E-2</v>
      </c>
      <c r="T15" s="110">
        <v>7.0000000000000007E-2</v>
      </c>
      <c r="U15" s="110">
        <v>7.0000000000000007E-2</v>
      </c>
      <c r="V15" s="110">
        <v>7.0000000000000007E-2</v>
      </c>
      <c r="W15" s="110">
        <v>7.0000000000000007E-2</v>
      </c>
      <c r="X15" s="110">
        <v>7.0000000000000007E-2</v>
      </c>
      <c r="Y15" s="110">
        <v>7.0000000000000007E-2</v>
      </c>
      <c r="Z15" s="110">
        <v>7.0000000000000007E-2</v>
      </c>
      <c r="AA15" s="110">
        <v>7.0000000000000007E-2</v>
      </c>
      <c r="AB15" s="110">
        <v>7.0000000000000007E-2</v>
      </c>
      <c r="AC15" s="110">
        <v>7.0000000000000007E-2</v>
      </c>
      <c r="AD15" s="110">
        <v>7.0000000000000007E-2</v>
      </c>
      <c r="AE15" s="110">
        <v>7.0000000000000007E-2</v>
      </c>
      <c r="AF15" s="110">
        <v>7.0000000000000007E-2</v>
      </c>
      <c r="AG15" s="110">
        <v>7.0000000000000007E-2</v>
      </c>
      <c r="AH15" s="110">
        <v>7.0000000000000007E-2</v>
      </c>
      <c r="AI15" s="110">
        <v>7.0000000000000007E-2</v>
      </c>
      <c r="AJ15" s="110">
        <v>7.0000000000000007E-2</v>
      </c>
      <c r="AK15" s="110">
        <v>7.0000000000000007E-2</v>
      </c>
      <c r="AL15" s="110">
        <v>7.0000000000000007E-2</v>
      </c>
      <c r="AM15" s="110">
        <v>7.0000000000000007E-2</v>
      </c>
      <c r="AN15" s="110">
        <v>7.0000000000000007E-2</v>
      </c>
      <c r="AO15" s="110">
        <v>7.0000000000000007E-2</v>
      </c>
      <c r="AP15" s="110">
        <v>7.0000000000000007E-2</v>
      </c>
      <c r="AQ15" s="110">
        <v>7.0000000000000007E-2</v>
      </c>
      <c r="AR15" s="110">
        <v>7.0000000000000007E-2</v>
      </c>
      <c r="AS15" s="110">
        <v>7.0000000000000007E-2</v>
      </c>
      <c r="AT15" s="110">
        <v>7.0000000000000007E-2</v>
      </c>
      <c r="AU15" s="110">
        <v>7.0000000000000007E-2</v>
      </c>
      <c r="AV15" s="110">
        <v>7.0000000000000007E-2</v>
      </c>
      <c r="AW15" s="110">
        <v>7.0000000000000007E-2</v>
      </c>
      <c r="AX15" s="110">
        <v>7.0000000000000007E-2</v>
      </c>
      <c r="AY15" s="110">
        <v>7.0000000000000007E-2</v>
      </c>
      <c r="AZ15" s="110">
        <v>7.0000000000000007E-2</v>
      </c>
      <c r="BA15" s="110">
        <v>7.0000000000000007E-2</v>
      </c>
      <c r="BB15" s="110">
        <v>7.0000000000000007E-2</v>
      </c>
      <c r="BC15" s="110">
        <v>7.0000000000000007E-2</v>
      </c>
      <c r="BD15" s="110">
        <v>7.0000000000000007E-2</v>
      </c>
      <c r="BE15" s="206"/>
      <c r="BF15" s="206"/>
      <c r="BG15" s="206"/>
      <c r="BH15" s="206"/>
      <c r="BP15" s="206"/>
    </row>
    <row r="16" spans="2:68" x14ac:dyDescent="0.25">
      <c r="B16" s="208" t="s">
        <v>101</v>
      </c>
      <c r="C16" s="209"/>
      <c r="D16" s="110">
        <v>0</v>
      </c>
      <c r="E16" s="110">
        <v>0.03</v>
      </c>
      <c r="F16" s="110">
        <v>0.03</v>
      </c>
      <c r="G16" s="110">
        <v>0.03</v>
      </c>
      <c r="H16" s="110">
        <v>0.03</v>
      </c>
      <c r="I16" s="110">
        <v>0.03</v>
      </c>
      <c r="J16" s="110">
        <v>0.03</v>
      </c>
      <c r="K16" s="110">
        <v>0.03</v>
      </c>
      <c r="L16" s="110">
        <v>0.03</v>
      </c>
      <c r="M16" s="110">
        <v>0.03</v>
      </c>
      <c r="N16" s="110">
        <v>0.03</v>
      </c>
      <c r="O16" s="110">
        <v>0.03</v>
      </c>
      <c r="P16" s="110">
        <v>0.03</v>
      </c>
      <c r="Q16" s="110">
        <v>0.03</v>
      </c>
      <c r="R16" s="110">
        <v>0.03</v>
      </c>
      <c r="S16" s="110">
        <v>0.03</v>
      </c>
      <c r="T16" s="110">
        <v>0.03</v>
      </c>
      <c r="U16" s="110">
        <v>0.03</v>
      </c>
      <c r="V16" s="110">
        <v>0.03</v>
      </c>
      <c r="W16" s="110">
        <v>0.03</v>
      </c>
      <c r="X16" s="110">
        <v>0.03</v>
      </c>
      <c r="Y16" s="110">
        <v>0.03</v>
      </c>
      <c r="Z16" s="110">
        <v>0.03</v>
      </c>
      <c r="AA16" s="110">
        <v>0.03</v>
      </c>
      <c r="AB16" s="110">
        <v>0.03</v>
      </c>
      <c r="AC16" s="110">
        <v>0.03</v>
      </c>
      <c r="AD16" s="110">
        <v>0.03</v>
      </c>
      <c r="AE16" s="110">
        <v>0.03</v>
      </c>
      <c r="AF16" s="110">
        <v>0.03</v>
      </c>
      <c r="AG16" s="110">
        <v>0.03</v>
      </c>
      <c r="AH16" s="110">
        <v>0.03</v>
      </c>
      <c r="AI16" s="110">
        <v>0.03</v>
      </c>
      <c r="AJ16" s="110">
        <v>0.03</v>
      </c>
      <c r="AK16" s="110">
        <v>0.03</v>
      </c>
      <c r="AL16" s="110">
        <v>0.03</v>
      </c>
      <c r="AM16" s="110">
        <v>0.03</v>
      </c>
      <c r="AN16" s="110">
        <v>0.03</v>
      </c>
      <c r="AO16" s="110">
        <v>0.03</v>
      </c>
      <c r="AP16" s="110">
        <v>0.03</v>
      </c>
      <c r="AQ16" s="110">
        <v>0.03</v>
      </c>
      <c r="AR16" s="110">
        <v>0.03</v>
      </c>
      <c r="AS16" s="110">
        <v>0.03</v>
      </c>
      <c r="AT16" s="110">
        <v>0.03</v>
      </c>
      <c r="AU16" s="110">
        <v>0.03</v>
      </c>
      <c r="AV16" s="110">
        <v>0.03</v>
      </c>
      <c r="AW16" s="110">
        <v>0.03</v>
      </c>
      <c r="AX16" s="110">
        <v>0.03</v>
      </c>
      <c r="AY16" s="110">
        <v>0.03</v>
      </c>
      <c r="AZ16" s="110">
        <v>0.03</v>
      </c>
      <c r="BA16" s="110">
        <v>0.03</v>
      </c>
      <c r="BB16" s="110">
        <v>0.03</v>
      </c>
      <c r="BC16" s="110">
        <v>0.03</v>
      </c>
      <c r="BD16" s="110">
        <v>0.03</v>
      </c>
      <c r="BE16" s="206"/>
      <c r="BF16" s="206"/>
      <c r="BG16" s="206"/>
      <c r="BH16" s="206"/>
      <c r="BP16" s="206"/>
    </row>
    <row r="17" spans="1:68" x14ac:dyDescent="0.25">
      <c r="A17" s="206"/>
      <c r="B17" s="208" t="s">
        <v>102</v>
      </c>
      <c r="C17" s="209"/>
      <c r="D17" s="110">
        <v>0</v>
      </c>
      <c r="E17" s="110">
        <v>0.02</v>
      </c>
      <c r="F17" s="110">
        <v>0.02</v>
      </c>
      <c r="G17" s="110">
        <v>0.02</v>
      </c>
      <c r="H17" s="110">
        <v>0.02</v>
      </c>
      <c r="I17" s="110">
        <v>0.02</v>
      </c>
      <c r="J17" s="110">
        <v>0.02</v>
      </c>
      <c r="K17" s="110">
        <v>0.02</v>
      </c>
      <c r="L17" s="110">
        <v>0.02</v>
      </c>
      <c r="M17" s="110">
        <v>0.02</v>
      </c>
      <c r="N17" s="110">
        <v>0.02</v>
      </c>
      <c r="O17" s="110">
        <v>0.02</v>
      </c>
      <c r="P17" s="110">
        <v>0.02</v>
      </c>
      <c r="Q17" s="110">
        <v>0.02</v>
      </c>
      <c r="R17" s="110">
        <v>0.02</v>
      </c>
      <c r="S17" s="110">
        <v>0.02</v>
      </c>
      <c r="T17" s="110">
        <v>0.02</v>
      </c>
      <c r="U17" s="110">
        <v>0.02</v>
      </c>
      <c r="V17" s="110">
        <v>0.02</v>
      </c>
      <c r="W17" s="110">
        <v>0.02</v>
      </c>
      <c r="X17" s="110">
        <v>0.02</v>
      </c>
      <c r="Y17" s="110">
        <v>0.02</v>
      </c>
      <c r="Z17" s="110">
        <v>0.02</v>
      </c>
      <c r="AA17" s="110">
        <v>0.02</v>
      </c>
      <c r="AB17" s="110">
        <v>0.02</v>
      </c>
      <c r="AC17" s="110">
        <v>0.02</v>
      </c>
      <c r="AD17" s="110">
        <v>0.02</v>
      </c>
      <c r="AE17" s="110">
        <v>0.02</v>
      </c>
      <c r="AF17" s="110">
        <v>0.02</v>
      </c>
      <c r="AG17" s="110">
        <v>0.02</v>
      </c>
      <c r="AH17" s="110">
        <v>0.02</v>
      </c>
      <c r="AI17" s="110">
        <v>0.02</v>
      </c>
      <c r="AJ17" s="110">
        <v>0.02</v>
      </c>
      <c r="AK17" s="110">
        <v>0.02</v>
      </c>
      <c r="AL17" s="110">
        <v>0.02</v>
      </c>
      <c r="AM17" s="110">
        <v>0.02</v>
      </c>
      <c r="AN17" s="110">
        <v>0.02</v>
      </c>
      <c r="AO17" s="110">
        <v>0.02</v>
      </c>
      <c r="AP17" s="110">
        <v>0.02</v>
      </c>
      <c r="AQ17" s="110">
        <v>0.02</v>
      </c>
      <c r="AR17" s="110">
        <v>0.02</v>
      </c>
      <c r="AS17" s="110">
        <v>0.02</v>
      </c>
      <c r="AT17" s="110">
        <v>0.02</v>
      </c>
      <c r="AU17" s="110">
        <v>0.02</v>
      </c>
      <c r="AV17" s="110">
        <v>0.02</v>
      </c>
      <c r="AW17" s="110">
        <v>0.02</v>
      </c>
      <c r="AX17" s="110">
        <v>0.02</v>
      </c>
      <c r="AY17" s="110">
        <v>0.02</v>
      </c>
      <c r="AZ17" s="110">
        <v>0.02</v>
      </c>
      <c r="BA17" s="110">
        <v>0.02</v>
      </c>
      <c r="BB17" s="110">
        <v>0.02</v>
      </c>
      <c r="BC17" s="110">
        <v>0.02</v>
      </c>
      <c r="BD17" s="110">
        <v>0.02</v>
      </c>
      <c r="BE17" s="206"/>
      <c r="BF17" s="206"/>
      <c r="BG17" s="206"/>
      <c r="BH17" s="206"/>
      <c r="BP17" s="206"/>
    </row>
    <row r="18" spans="1:68" x14ac:dyDescent="0.25">
      <c r="A18" s="206"/>
      <c r="B18" s="208" t="s">
        <v>103</v>
      </c>
      <c r="C18" s="209"/>
      <c r="D18" s="110">
        <v>0</v>
      </c>
      <c r="E18" s="110">
        <v>0.02</v>
      </c>
      <c r="F18" s="110">
        <v>0.02</v>
      </c>
      <c r="G18" s="110">
        <v>0.02</v>
      </c>
      <c r="H18" s="110">
        <v>0.02</v>
      </c>
      <c r="I18" s="110">
        <v>0.02</v>
      </c>
      <c r="J18" s="110">
        <v>0.02</v>
      </c>
      <c r="K18" s="110">
        <v>0.02</v>
      </c>
      <c r="L18" s="110">
        <v>0.02</v>
      </c>
      <c r="M18" s="110">
        <v>0.02</v>
      </c>
      <c r="N18" s="110">
        <v>0.02</v>
      </c>
      <c r="O18" s="110">
        <v>0.02</v>
      </c>
      <c r="P18" s="110">
        <v>0.02</v>
      </c>
      <c r="Q18" s="110">
        <v>0.02</v>
      </c>
      <c r="R18" s="110">
        <v>0.02</v>
      </c>
      <c r="S18" s="110">
        <v>0.02</v>
      </c>
      <c r="T18" s="110">
        <v>0.02</v>
      </c>
      <c r="U18" s="110">
        <v>0.02</v>
      </c>
      <c r="V18" s="110">
        <v>0.02</v>
      </c>
      <c r="W18" s="110">
        <v>0.02</v>
      </c>
      <c r="X18" s="110">
        <v>0.02</v>
      </c>
      <c r="Y18" s="110">
        <v>0.02</v>
      </c>
      <c r="Z18" s="110">
        <v>0.02</v>
      </c>
      <c r="AA18" s="110">
        <v>0.02</v>
      </c>
      <c r="AB18" s="110">
        <v>0.02</v>
      </c>
      <c r="AC18" s="110">
        <v>0.02</v>
      </c>
      <c r="AD18" s="110">
        <v>0.02</v>
      </c>
      <c r="AE18" s="110">
        <v>0.02</v>
      </c>
      <c r="AF18" s="110">
        <v>0.02</v>
      </c>
      <c r="AG18" s="110">
        <v>0.02</v>
      </c>
      <c r="AH18" s="110">
        <v>0.02</v>
      </c>
      <c r="AI18" s="110">
        <v>0.02</v>
      </c>
      <c r="AJ18" s="110">
        <v>0.02</v>
      </c>
      <c r="AK18" s="110">
        <v>0.02</v>
      </c>
      <c r="AL18" s="110">
        <v>0.02</v>
      </c>
      <c r="AM18" s="110">
        <v>0.02</v>
      </c>
      <c r="AN18" s="110">
        <v>0.02</v>
      </c>
      <c r="AO18" s="110">
        <v>0.02</v>
      </c>
      <c r="AP18" s="110">
        <v>0.02</v>
      </c>
      <c r="AQ18" s="110">
        <v>0.02</v>
      </c>
      <c r="AR18" s="110">
        <v>0.02</v>
      </c>
      <c r="AS18" s="110">
        <v>0.02</v>
      </c>
      <c r="AT18" s="110">
        <v>0.02</v>
      </c>
      <c r="AU18" s="110">
        <v>0.02</v>
      </c>
      <c r="AV18" s="110">
        <v>0.02</v>
      </c>
      <c r="AW18" s="110">
        <v>0.02</v>
      </c>
      <c r="AX18" s="110">
        <v>0.02</v>
      </c>
      <c r="AY18" s="110">
        <v>0.02</v>
      </c>
      <c r="AZ18" s="110">
        <v>0.02</v>
      </c>
      <c r="BA18" s="110">
        <v>0.02</v>
      </c>
      <c r="BB18" s="110">
        <v>0.02</v>
      </c>
      <c r="BC18" s="110">
        <v>0.02</v>
      </c>
      <c r="BD18" s="110">
        <v>0.02</v>
      </c>
      <c r="BE18" s="206"/>
      <c r="BF18" s="206"/>
      <c r="BG18" s="206"/>
      <c r="BH18" s="206"/>
      <c r="BP18" s="206"/>
    </row>
    <row r="19" spans="1:68" x14ac:dyDescent="0.25">
      <c r="A19" s="206"/>
      <c r="B19" s="23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P19" s="206"/>
    </row>
    <row r="20" spans="1:68" x14ac:dyDescent="0.25">
      <c r="A20" s="206"/>
      <c r="B20" s="23" t="s">
        <v>104</v>
      </c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P20" s="206"/>
    </row>
    <row r="21" spans="1:68" outlineLevel="1" x14ac:dyDescent="0.25">
      <c r="A21" s="206"/>
      <c r="B21" s="206" t="s">
        <v>454</v>
      </c>
      <c r="C21" s="206"/>
      <c r="D21" s="32">
        <v>0</v>
      </c>
      <c r="E21" s="32">
        <v>0.7</v>
      </c>
      <c r="F21" s="32">
        <v>0.7</v>
      </c>
      <c r="G21" s="32">
        <v>0.7</v>
      </c>
      <c r="H21" s="32">
        <v>0.7</v>
      </c>
      <c r="I21" s="32">
        <v>0.7</v>
      </c>
      <c r="J21" s="32">
        <v>0.7</v>
      </c>
      <c r="K21" s="32">
        <v>0.7</v>
      </c>
      <c r="L21" s="32">
        <v>0.7</v>
      </c>
      <c r="M21" s="32">
        <v>0.7</v>
      </c>
      <c r="N21" s="32">
        <v>0.7</v>
      </c>
      <c r="O21" s="32">
        <v>0.7</v>
      </c>
      <c r="P21" s="32">
        <v>0.7</v>
      </c>
      <c r="Q21" s="32">
        <v>0.7</v>
      </c>
      <c r="R21" s="32">
        <v>0.7</v>
      </c>
      <c r="S21" s="32">
        <v>0.7</v>
      </c>
      <c r="T21" s="32">
        <v>0.7</v>
      </c>
      <c r="U21" s="32">
        <v>0.7</v>
      </c>
      <c r="V21" s="32">
        <v>0.7</v>
      </c>
      <c r="W21" s="32">
        <v>0.7</v>
      </c>
      <c r="X21" s="32">
        <v>0.7</v>
      </c>
      <c r="Y21" s="32">
        <v>0.7</v>
      </c>
      <c r="Z21" s="32">
        <v>0.7</v>
      </c>
      <c r="AA21" s="32">
        <v>0.7</v>
      </c>
      <c r="AB21" s="32">
        <v>0.7</v>
      </c>
      <c r="AC21" s="32">
        <v>0.7</v>
      </c>
      <c r="AD21" s="32">
        <v>0.7</v>
      </c>
      <c r="AE21" s="32">
        <v>0.7</v>
      </c>
      <c r="AF21" s="32">
        <v>0.7</v>
      </c>
      <c r="AG21" s="32">
        <v>0.7</v>
      </c>
      <c r="AH21" s="32">
        <v>0.7</v>
      </c>
      <c r="AI21" s="32">
        <v>0.7</v>
      </c>
      <c r="AJ21" s="32">
        <v>0.7</v>
      </c>
      <c r="AK21" s="32">
        <v>0.7</v>
      </c>
      <c r="AL21" s="32">
        <v>0.7</v>
      </c>
      <c r="AM21" s="32">
        <v>0.7</v>
      </c>
      <c r="AN21" s="32">
        <v>0.7</v>
      </c>
      <c r="AO21" s="32">
        <v>0.7</v>
      </c>
      <c r="AP21" s="32">
        <v>0.7</v>
      </c>
      <c r="AQ21" s="32">
        <v>0.7</v>
      </c>
      <c r="AR21" s="32">
        <v>0.7</v>
      </c>
      <c r="AS21" s="32">
        <v>0.7</v>
      </c>
      <c r="AT21" s="32">
        <v>0.7</v>
      </c>
      <c r="AU21" s="32">
        <v>0.7</v>
      </c>
      <c r="AV21" s="32">
        <v>0.8</v>
      </c>
      <c r="AW21" s="32">
        <v>0.8</v>
      </c>
      <c r="AX21" s="32">
        <v>0.8</v>
      </c>
      <c r="AY21" s="32">
        <v>0.8</v>
      </c>
      <c r="AZ21" s="32">
        <v>0.8</v>
      </c>
      <c r="BA21" s="32">
        <v>0.8</v>
      </c>
      <c r="BB21" s="32">
        <v>0.7</v>
      </c>
      <c r="BC21" s="32">
        <v>0.7</v>
      </c>
      <c r="BD21" s="32">
        <v>0.7</v>
      </c>
      <c r="BE21" s="206"/>
      <c r="BF21" s="206"/>
      <c r="BG21" s="206"/>
      <c r="BH21" s="206"/>
      <c r="BP21" s="206"/>
    </row>
    <row r="22" spans="1:68" outlineLevel="1" x14ac:dyDescent="0.25">
      <c r="A22" s="206"/>
      <c r="B22" s="206" t="s">
        <v>456</v>
      </c>
      <c r="C22" s="206"/>
      <c r="D22" s="32">
        <v>0</v>
      </c>
      <c r="E22" s="32">
        <v>0.3</v>
      </c>
      <c r="F22" s="32">
        <v>0.3</v>
      </c>
      <c r="G22" s="32">
        <v>0.3</v>
      </c>
      <c r="H22" s="32">
        <v>0.3</v>
      </c>
      <c r="I22" s="32">
        <v>0.3</v>
      </c>
      <c r="J22" s="32">
        <v>0.3</v>
      </c>
      <c r="K22" s="32">
        <v>0.3</v>
      </c>
      <c r="L22" s="32">
        <v>0.3</v>
      </c>
      <c r="M22" s="32">
        <v>0.3</v>
      </c>
      <c r="N22" s="32">
        <v>0.3</v>
      </c>
      <c r="O22" s="32">
        <v>0.3</v>
      </c>
      <c r="P22" s="32">
        <v>0.3</v>
      </c>
      <c r="Q22" s="32">
        <v>0.3</v>
      </c>
      <c r="R22" s="32">
        <v>0.3</v>
      </c>
      <c r="S22" s="32">
        <v>0.3</v>
      </c>
      <c r="T22" s="32">
        <v>0.3</v>
      </c>
      <c r="U22" s="32">
        <v>0.3</v>
      </c>
      <c r="V22" s="32">
        <v>0.3</v>
      </c>
      <c r="W22" s="32">
        <v>0.3</v>
      </c>
      <c r="X22" s="32">
        <v>0.3</v>
      </c>
      <c r="Y22" s="32">
        <v>0.3</v>
      </c>
      <c r="Z22" s="32">
        <v>0.3</v>
      </c>
      <c r="AA22" s="32">
        <v>0.3</v>
      </c>
      <c r="AB22" s="32">
        <v>0.3</v>
      </c>
      <c r="AC22" s="32">
        <v>0.3</v>
      </c>
      <c r="AD22" s="32">
        <v>0.3</v>
      </c>
      <c r="AE22" s="32">
        <v>0.3</v>
      </c>
      <c r="AF22" s="32">
        <v>0.3</v>
      </c>
      <c r="AG22" s="32">
        <v>0.3</v>
      </c>
      <c r="AH22" s="32">
        <v>0.3</v>
      </c>
      <c r="AI22" s="32">
        <v>0.3</v>
      </c>
      <c r="AJ22" s="32">
        <v>0.3</v>
      </c>
      <c r="AK22" s="32">
        <v>0.3</v>
      </c>
      <c r="AL22" s="32">
        <v>0.3</v>
      </c>
      <c r="AM22" s="32">
        <v>0.3</v>
      </c>
      <c r="AN22" s="32">
        <v>0.3</v>
      </c>
      <c r="AO22" s="32">
        <v>0.3</v>
      </c>
      <c r="AP22" s="32">
        <v>0.3</v>
      </c>
      <c r="AQ22" s="32">
        <v>0.3</v>
      </c>
      <c r="AR22" s="32">
        <v>0.3</v>
      </c>
      <c r="AS22" s="32">
        <v>0.3</v>
      </c>
      <c r="AT22" s="32">
        <v>0.3</v>
      </c>
      <c r="AU22" s="32">
        <v>0.3</v>
      </c>
      <c r="AV22" s="32">
        <v>0.2</v>
      </c>
      <c r="AW22" s="32">
        <v>0.2</v>
      </c>
      <c r="AX22" s="32">
        <v>0.2</v>
      </c>
      <c r="AY22" s="32">
        <v>0.2</v>
      </c>
      <c r="AZ22" s="32">
        <v>0.2</v>
      </c>
      <c r="BA22" s="32">
        <v>0.2</v>
      </c>
      <c r="BB22" s="32">
        <v>0.3</v>
      </c>
      <c r="BC22" s="32">
        <v>0.3</v>
      </c>
      <c r="BD22" s="32">
        <v>0.3</v>
      </c>
      <c r="BE22" s="206"/>
      <c r="BF22" s="206"/>
      <c r="BG22" s="206"/>
      <c r="BH22" s="206"/>
      <c r="BP22" s="206"/>
    </row>
    <row r="23" spans="1:68" outlineLevel="1" x14ac:dyDescent="0.25">
      <c r="A23" s="206"/>
      <c r="B23" s="206" t="s">
        <v>455</v>
      </c>
      <c r="C23" s="206"/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206"/>
      <c r="BF23" s="206"/>
      <c r="BG23" s="206"/>
      <c r="BH23" s="206"/>
      <c r="BP23" s="206"/>
    </row>
    <row r="24" spans="1:68" x14ac:dyDescent="0.25">
      <c r="A24" s="206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P24" s="206"/>
    </row>
    <row r="25" spans="1:68" x14ac:dyDescent="0.25">
      <c r="A25" s="206"/>
      <c r="B25" s="23" t="s">
        <v>105</v>
      </c>
      <c r="C25" s="24" t="s">
        <v>106</v>
      </c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0"/>
      <c r="X25" s="210"/>
      <c r="Y25" s="210"/>
      <c r="Z25" s="210"/>
      <c r="AA25" s="210"/>
      <c r="AB25" s="210"/>
      <c r="AC25" s="210"/>
      <c r="AD25" s="210"/>
      <c r="AE25" s="210"/>
      <c r="AF25" s="210"/>
      <c r="AG25" s="210"/>
      <c r="AH25" s="210"/>
      <c r="AI25" s="210"/>
      <c r="AJ25" s="210"/>
      <c r="AK25" s="210"/>
      <c r="AL25" s="210"/>
      <c r="AM25" s="210"/>
      <c r="AN25" s="210"/>
      <c r="AO25" s="21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  <c r="BC25" s="210"/>
      <c r="BD25" s="210"/>
      <c r="BE25" s="206"/>
      <c r="BF25" s="206"/>
      <c r="BG25" s="206"/>
      <c r="BH25" s="206"/>
      <c r="BP25" s="206"/>
    </row>
    <row r="26" spans="1:68" x14ac:dyDescent="0.25">
      <c r="A26" s="206"/>
      <c r="B26" s="206" t="s">
        <v>107</v>
      </c>
      <c r="C26" s="27" t="s">
        <v>457</v>
      </c>
      <c r="D26" s="26">
        <v>0.12</v>
      </c>
      <c r="E26" s="26">
        <v>0.12</v>
      </c>
      <c r="F26" s="26">
        <v>0.12</v>
      </c>
      <c r="G26" s="26">
        <v>0.12</v>
      </c>
      <c r="H26" s="26">
        <v>0.12</v>
      </c>
      <c r="I26" s="26">
        <v>0.12</v>
      </c>
      <c r="J26" s="26">
        <v>0.12</v>
      </c>
      <c r="K26" s="26">
        <v>0.12</v>
      </c>
      <c r="L26" s="26">
        <v>0.12</v>
      </c>
      <c r="M26" s="26">
        <v>0.12</v>
      </c>
      <c r="N26" s="26">
        <v>0.12</v>
      </c>
      <c r="O26" s="26">
        <v>0.12</v>
      </c>
      <c r="P26" s="26">
        <v>0.12</v>
      </c>
      <c r="Q26" s="26">
        <v>0.12</v>
      </c>
      <c r="R26" s="26">
        <v>0.12</v>
      </c>
      <c r="S26" s="26">
        <v>0.12</v>
      </c>
      <c r="T26" s="26">
        <v>0.12</v>
      </c>
      <c r="U26" s="26">
        <v>0.12</v>
      </c>
      <c r="V26" s="26">
        <v>0.12</v>
      </c>
      <c r="W26" s="26">
        <v>0.12</v>
      </c>
      <c r="X26" s="26">
        <v>0.12</v>
      </c>
      <c r="Y26" s="26">
        <v>0.12</v>
      </c>
      <c r="Z26" s="26">
        <v>0.12</v>
      </c>
      <c r="AA26" s="26">
        <v>0.12</v>
      </c>
      <c r="AB26" s="26">
        <v>0.12</v>
      </c>
      <c r="AC26" s="26">
        <v>0.12</v>
      </c>
      <c r="AD26" s="26">
        <v>0.12</v>
      </c>
      <c r="AE26" s="26">
        <v>0.12</v>
      </c>
      <c r="AF26" s="26">
        <v>0.12</v>
      </c>
      <c r="AG26" s="26">
        <v>0.12</v>
      </c>
      <c r="AH26" s="26">
        <v>0.12</v>
      </c>
      <c r="AI26" s="26">
        <v>0.12</v>
      </c>
      <c r="AJ26" s="26">
        <v>0.12</v>
      </c>
      <c r="AK26" s="26">
        <v>0.12</v>
      </c>
      <c r="AL26" s="26">
        <v>0.12</v>
      </c>
      <c r="AM26" s="26">
        <v>0.12</v>
      </c>
      <c r="AN26" s="26">
        <v>0.12</v>
      </c>
      <c r="AO26" s="26">
        <v>0.12</v>
      </c>
      <c r="AP26" s="26">
        <v>0.12</v>
      </c>
      <c r="AQ26" s="26">
        <v>0.12</v>
      </c>
      <c r="AR26" s="26">
        <v>0.12</v>
      </c>
      <c r="AS26" s="26">
        <v>0.12</v>
      </c>
      <c r="AT26" s="26">
        <v>0.12</v>
      </c>
      <c r="AU26" s="26">
        <v>0.12</v>
      </c>
      <c r="AV26" s="26">
        <v>0.12</v>
      </c>
      <c r="AW26" s="26">
        <v>0.12</v>
      </c>
      <c r="AX26" s="26">
        <v>0.12</v>
      </c>
      <c r="AY26" s="26">
        <v>0.12</v>
      </c>
      <c r="AZ26" s="26">
        <v>0.12</v>
      </c>
      <c r="BA26" s="26">
        <v>0.12</v>
      </c>
      <c r="BB26" s="26">
        <v>0.12</v>
      </c>
      <c r="BC26" s="26">
        <v>0.12</v>
      </c>
      <c r="BD26" s="26">
        <v>0.12</v>
      </c>
      <c r="BE26" s="206"/>
      <c r="BF26" s="206"/>
      <c r="BG26" s="206"/>
      <c r="BH26" s="206"/>
      <c r="BP26" s="206"/>
    </row>
    <row r="27" spans="1:68" x14ac:dyDescent="0.25">
      <c r="A27" s="206"/>
      <c r="B27" s="54"/>
      <c r="C27" s="206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206"/>
      <c r="BF27" s="206"/>
      <c r="BG27" s="206"/>
      <c r="BH27" s="206"/>
      <c r="BP27" s="206"/>
    </row>
    <row r="28" spans="1:68" x14ac:dyDescent="0.25">
      <c r="A28" s="206"/>
      <c r="B28" s="54" t="s">
        <v>108</v>
      </c>
      <c r="C28" s="104" t="s">
        <v>109</v>
      </c>
      <c r="D28" s="26">
        <v>0.94</v>
      </c>
      <c r="E28" s="26">
        <v>0.94</v>
      </c>
      <c r="F28" s="26">
        <v>0.94</v>
      </c>
      <c r="G28" s="26">
        <v>0.94</v>
      </c>
      <c r="H28" s="26">
        <v>0.94</v>
      </c>
      <c r="I28" s="26">
        <v>0.94</v>
      </c>
      <c r="J28" s="26">
        <v>0.94</v>
      </c>
      <c r="K28" s="26">
        <v>0.94</v>
      </c>
      <c r="L28" s="26">
        <v>0.94</v>
      </c>
      <c r="M28" s="26">
        <v>0.94</v>
      </c>
      <c r="N28" s="26">
        <v>0.94</v>
      </c>
      <c r="O28" s="26">
        <v>0.94</v>
      </c>
      <c r="P28" s="26">
        <v>0.94</v>
      </c>
      <c r="Q28" s="26">
        <v>0.94</v>
      </c>
      <c r="R28" s="26">
        <v>0.94</v>
      </c>
      <c r="S28" s="26">
        <v>0.94</v>
      </c>
      <c r="T28" s="26">
        <v>0.94</v>
      </c>
      <c r="U28" s="26">
        <v>0.94</v>
      </c>
      <c r="V28" s="26">
        <v>0.94</v>
      </c>
      <c r="W28" s="26">
        <v>0.94</v>
      </c>
      <c r="X28" s="26">
        <v>0.94</v>
      </c>
      <c r="Y28" s="26">
        <v>0.94</v>
      </c>
      <c r="Z28" s="26">
        <v>0.94</v>
      </c>
      <c r="AA28" s="26">
        <v>0.94</v>
      </c>
      <c r="AB28" s="26">
        <v>0.94</v>
      </c>
      <c r="AC28" s="26">
        <v>0.94</v>
      </c>
      <c r="AD28" s="26">
        <v>0.94</v>
      </c>
      <c r="AE28" s="26">
        <v>0.94</v>
      </c>
      <c r="AF28" s="26">
        <v>0.94</v>
      </c>
      <c r="AG28" s="26">
        <v>0.94</v>
      </c>
      <c r="AH28" s="26">
        <v>0.94</v>
      </c>
      <c r="AI28" s="26">
        <v>0.94</v>
      </c>
      <c r="AJ28" s="26">
        <v>0.94</v>
      </c>
      <c r="AK28" s="26">
        <v>0.94</v>
      </c>
      <c r="AL28" s="26">
        <v>0.94</v>
      </c>
      <c r="AM28" s="26">
        <v>0.94</v>
      </c>
      <c r="AN28" s="26">
        <v>0.94</v>
      </c>
      <c r="AO28" s="26">
        <v>0.94</v>
      </c>
      <c r="AP28" s="26">
        <v>0.94</v>
      </c>
      <c r="AQ28" s="26">
        <v>0.94</v>
      </c>
      <c r="AR28" s="26">
        <v>0.94</v>
      </c>
      <c r="AS28" s="26">
        <v>0.94</v>
      </c>
      <c r="AT28" s="26">
        <v>0.94</v>
      </c>
      <c r="AU28" s="26">
        <v>0.94</v>
      </c>
      <c r="AV28" s="26">
        <v>0.94</v>
      </c>
      <c r="AW28" s="26">
        <v>0.94</v>
      </c>
      <c r="AX28" s="26">
        <v>0.94</v>
      </c>
      <c r="AY28" s="26">
        <v>0.94</v>
      </c>
      <c r="AZ28" s="26">
        <v>0.94</v>
      </c>
      <c r="BA28" s="26">
        <v>0.94</v>
      </c>
      <c r="BB28" s="26">
        <v>0.94</v>
      </c>
      <c r="BC28" s="26">
        <v>0.94</v>
      </c>
      <c r="BD28" s="26">
        <v>0.94</v>
      </c>
      <c r="BE28" s="206"/>
      <c r="BF28" s="206"/>
      <c r="BG28" s="206"/>
      <c r="BH28" s="206"/>
      <c r="BP28" s="206"/>
    </row>
    <row r="29" spans="1:68" x14ac:dyDescent="0.25">
      <c r="A29" s="206"/>
      <c r="B29" s="54"/>
      <c r="C29" s="206"/>
      <c r="D29" s="80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10"/>
      <c r="U29" s="206"/>
      <c r="V29" s="206"/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P29" s="206"/>
    </row>
    <row r="30" spans="1:68" x14ac:dyDescent="0.25">
      <c r="A30" s="206"/>
      <c r="B30" s="23" t="s">
        <v>110</v>
      </c>
      <c r="C30" s="206"/>
      <c r="D30" s="210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06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/>
      <c r="AN30" s="210"/>
      <c r="AO30" s="21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06"/>
      <c r="BF30" s="206"/>
      <c r="BG30" s="206"/>
      <c r="BH30" s="206"/>
      <c r="BP30" s="206"/>
    </row>
    <row r="31" spans="1:68" outlineLevel="1" x14ac:dyDescent="0.25">
      <c r="A31" s="221">
        <v>97153</v>
      </c>
      <c r="B31" s="206" t="s">
        <v>449</v>
      </c>
      <c r="C31" s="206"/>
      <c r="D31" s="36" cm="1">
        <f t="array" ref="D31:BD39">(D21:BD21*D43:BD51)+(D22:BD22*D53:BD61)+(D23:BD23*D63:BD71)</f>
        <v>0</v>
      </c>
      <c r="E31" s="36">
        <v>169</v>
      </c>
      <c r="F31" s="36">
        <v>169</v>
      </c>
      <c r="G31" s="36">
        <v>169</v>
      </c>
      <c r="H31" s="36">
        <v>169</v>
      </c>
      <c r="I31" s="36">
        <v>84.731400000000008</v>
      </c>
      <c r="J31" s="36">
        <v>84.731400000000008</v>
      </c>
      <c r="K31" s="36">
        <v>84.731400000000008</v>
      </c>
      <c r="L31" s="36">
        <v>84.731400000000008</v>
      </c>
      <c r="M31" s="36">
        <v>169</v>
      </c>
      <c r="N31" s="36">
        <v>169</v>
      </c>
      <c r="O31" s="36">
        <v>169</v>
      </c>
      <c r="P31" s="36">
        <v>169</v>
      </c>
      <c r="Q31" s="36">
        <v>169</v>
      </c>
      <c r="R31" s="36">
        <v>169</v>
      </c>
      <c r="S31" s="36">
        <v>169</v>
      </c>
      <c r="T31" s="36">
        <v>169</v>
      </c>
      <c r="U31" s="36">
        <v>169</v>
      </c>
      <c r="V31" s="36">
        <v>169</v>
      </c>
      <c r="W31" s="36">
        <v>169</v>
      </c>
      <c r="X31" s="36">
        <v>169</v>
      </c>
      <c r="Y31" s="36">
        <v>169</v>
      </c>
      <c r="Z31" s="36">
        <v>169</v>
      </c>
      <c r="AA31" s="36">
        <v>169</v>
      </c>
      <c r="AB31" s="36">
        <v>169</v>
      </c>
      <c r="AC31" s="36">
        <v>169</v>
      </c>
      <c r="AD31" s="36">
        <v>169</v>
      </c>
      <c r="AE31" s="36">
        <v>169</v>
      </c>
      <c r="AF31" s="36">
        <v>169</v>
      </c>
      <c r="AG31" s="36">
        <v>169</v>
      </c>
      <c r="AH31" s="36">
        <v>169</v>
      </c>
      <c r="AI31" s="36">
        <v>169</v>
      </c>
      <c r="AJ31" s="36">
        <v>169</v>
      </c>
      <c r="AK31" s="36">
        <v>169</v>
      </c>
      <c r="AL31" s="36">
        <v>169</v>
      </c>
      <c r="AM31" s="36">
        <v>169</v>
      </c>
      <c r="AN31" s="36">
        <v>169</v>
      </c>
      <c r="AO31" s="36">
        <v>169</v>
      </c>
      <c r="AP31" s="36">
        <v>169</v>
      </c>
      <c r="AQ31" s="36">
        <v>169</v>
      </c>
      <c r="AR31" s="36">
        <v>84.731400000000008</v>
      </c>
      <c r="AS31" s="177">
        <v>84.731400000000008</v>
      </c>
      <c r="AT31" s="36">
        <v>84.731400000000008</v>
      </c>
      <c r="AU31" s="36">
        <v>84.731400000000008</v>
      </c>
      <c r="AV31" s="36">
        <v>80.160120000000006</v>
      </c>
      <c r="AW31" s="36">
        <v>80.160120000000006</v>
      </c>
      <c r="AX31" s="36">
        <v>80.160120000000006</v>
      </c>
      <c r="AY31" s="36">
        <v>80.160120000000006</v>
      </c>
      <c r="AZ31" s="36">
        <v>80.160120000000006</v>
      </c>
      <c r="BA31" s="36">
        <v>80.160120000000006</v>
      </c>
      <c r="BB31" s="36">
        <v>89.504999999999995</v>
      </c>
      <c r="BC31" s="36">
        <v>89.504999999999995</v>
      </c>
      <c r="BD31" s="36">
        <v>89.504999999999995</v>
      </c>
      <c r="BE31" s="206"/>
      <c r="BF31" s="206"/>
      <c r="BG31" s="206"/>
      <c r="BH31" s="206"/>
      <c r="BP31" s="206"/>
    </row>
    <row r="32" spans="1:68" outlineLevel="1" x14ac:dyDescent="0.25">
      <c r="A32" s="221">
        <v>97154</v>
      </c>
      <c r="B32" s="206" t="s">
        <v>450</v>
      </c>
      <c r="C32" s="206"/>
      <c r="D32" s="36">
        <v>0</v>
      </c>
      <c r="E32" s="36">
        <v>109</v>
      </c>
      <c r="F32" s="36">
        <v>109</v>
      </c>
      <c r="G32" s="36">
        <v>109</v>
      </c>
      <c r="H32" s="36">
        <v>109</v>
      </c>
      <c r="I32" s="36">
        <v>61.526399999999995</v>
      </c>
      <c r="J32" s="36">
        <v>61.526399999999995</v>
      </c>
      <c r="K32" s="36">
        <v>61.526399999999995</v>
      </c>
      <c r="L32" s="36">
        <v>61.526399999999995</v>
      </c>
      <c r="M32" s="36">
        <v>109</v>
      </c>
      <c r="N32" s="36">
        <v>109</v>
      </c>
      <c r="O32" s="36">
        <v>109</v>
      </c>
      <c r="P32" s="36">
        <v>109</v>
      </c>
      <c r="Q32" s="36">
        <v>109</v>
      </c>
      <c r="R32" s="36">
        <v>109</v>
      </c>
      <c r="S32" s="36">
        <v>109</v>
      </c>
      <c r="T32" s="36">
        <v>109</v>
      </c>
      <c r="U32" s="36">
        <v>109</v>
      </c>
      <c r="V32" s="36">
        <v>109</v>
      </c>
      <c r="W32" s="36">
        <v>109</v>
      </c>
      <c r="X32" s="36">
        <v>109</v>
      </c>
      <c r="Y32" s="36">
        <v>109</v>
      </c>
      <c r="Z32" s="36">
        <v>109</v>
      </c>
      <c r="AA32" s="36">
        <v>109</v>
      </c>
      <c r="AB32" s="36">
        <v>109</v>
      </c>
      <c r="AC32" s="36">
        <v>109</v>
      </c>
      <c r="AD32" s="36">
        <v>109</v>
      </c>
      <c r="AE32" s="36">
        <v>109</v>
      </c>
      <c r="AF32" s="36">
        <v>109</v>
      </c>
      <c r="AG32" s="36">
        <v>109</v>
      </c>
      <c r="AH32" s="36">
        <v>109</v>
      </c>
      <c r="AI32" s="36">
        <v>109</v>
      </c>
      <c r="AJ32" s="36">
        <v>109</v>
      </c>
      <c r="AK32" s="36">
        <v>109</v>
      </c>
      <c r="AL32" s="36">
        <v>109</v>
      </c>
      <c r="AM32" s="36">
        <v>109</v>
      </c>
      <c r="AN32" s="36">
        <v>109</v>
      </c>
      <c r="AO32" s="36">
        <v>109</v>
      </c>
      <c r="AP32" s="36">
        <v>109</v>
      </c>
      <c r="AQ32" s="36">
        <v>109</v>
      </c>
      <c r="AR32" s="36">
        <v>61.526399999999995</v>
      </c>
      <c r="AS32" s="177">
        <v>61.526399999999995</v>
      </c>
      <c r="AT32" s="36">
        <v>61.526399999999995</v>
      </c>
      <c r="AU32" s="36">
        <v>61.526399999999995</v>
      </c>
      <c r="AV32" s="36">
        <v>169.06</v>
      </c>
      <c r="AW32" s="36">
        <v>169.06</v>
      </c>
      <c r="AX32" s="36">
        <v>169.06</v>
      </c>
      <c r="AY32" s="36">
        <v>169.06</v>
      </c>
      <c r="AZ32" s="36">
        <v>169.06</v>
      </c>
      <c r="BA32" s="36">
        <v>169.06</v>
      </c>
      <c r="BB32" s="36">
        <v>39.603200000000001</v>
      </c>
      <c r="BC32" s="36">
        <v>39.603200000000001</v>
      </c>
      <c r="BD32" s="36">
        <v>39.603200000000001</v>
      </c>
      <c r="BE32" s="206"/>
      <c r="BF32" s="206"/>
      <c r="BG32" s="206"/>
      <c r="BH32" s="206"/>
      <c r="BP32" s="206"/>
    </row>
    <row r="33" spans="1:68" outlineLevel="1" x14ac:dyDescent="0.25">
      <c r="A33" s="221">
        <v>97155</v>
      </c>
      <c r="B33" s="206" t="s">
        <v>451</v>
      </c>
      <c r="C33" s="206"/>
      <c r="D33" s="36">
        <v>0</v>
      </c>
      <c r="E33" s="36">
        <v>172.7</v>
      </c>
      <c r="F33" s="36">
        <v>172.7</v>
      </c>
      <c r="G33" s="36">
        <v>172.7</v>
      </c>
      <c r="H33" s="36">
        <v>172.7</v>
      </c>
      <c r="I33" s="36">
        <v>169.46280000000002</v>
      </c>
      <c r="J33" s="36">
        <v>169.46280000000002</v>
      </c>
      <c r="K33" s="36">
        <v>169.46280000000002</v>
      </c>
      <c r="L33" s="36">
        <v>169.46280000000002</v>
      </c>
      <c r="M33" s="36">
        <v>172.7</v>
      </c>
      <c r="N33" s="36">
        <v>172.7</v>
      </c>
      <c r="O33" s="36">
        <v>172.7</v>
      </c>
      <c r="P33" s="36">
        <v>172.7</v>
      </c>
      <c r="Q33" s="36">
        <v>172.7</v>
      </c>
      <c r="R33" s="36">
        <v>172.7</v>
      </c>
      <c r="S33" s="36">
        <v>172.7</v>
      </c>
      <c r="T33" s="36">
        <v>172.7</v>
      </c>
      <c r="U33" s="36">
        <v>172.7</v>
      </c>
      <c r="V33" s="36">
        <v>172.7</v>
      </c>
      <c r="W33" s="36">
        <v>172.7</v>
      </c>
      <c r="X33" s="36">
        <v>172.7</v>
      </c>
      <c r="Y33" s="36">
        <v>172.7</v>
      </c>
      <c r="Z33" s="36">
        <v>172.7</v>
      </c>
      <c r="AA33" s="36">
        <v>172.7</v>
      </c>
      <c r="AB33" s="36">
        <v>172.7</v>
      </c>
      <c r="AC33" s="36">
        <v>172.7</v>
      </c>
      <c r="AD33" s="36">
        <v>172.7</v>
      </c>
      <c r="AE33" s="36">
        <v>172.7</v>
      </c>
      <c r="AF33" s="36">
        <v>172.7</v>
      </c>
      <c r="AG33" s="36">
        <v>172.7</v>
      </c>
      <c r="AH33" s="36">
        <v>172.7</v>
      </c>
      <c r="AI33" s="36">
        <v>172.7</v>
      </c>
      <c r="AJ33" s="36">
        <v>172.7</v>
      </c>
      <c r="AK33" s="36">
        <v>172.7</v>
      </c>
      <c r="AL33" s="36">
        <v>172.7</v>
      </c>
      <c r="AM33" s="36">
        <v>172.7</v>
      </c>
      <c r="AN33" s="36">
        <v>172.7</v>
      </c>
      <c r="AO33" s="36">
        <v>172.7</v>
      </c>
      <c r="AP33" s="36">
        <v>172.7</v>
      </c>
      <c r="AQ33" s="36">
        <v>172.7</v>
      </c>
      <c r="AR33" s="36">
        <v>169.46280000000002</v>
      </c>
      <c r="AS33" s="177">
        <v>169.46280000000002</v>
      </c>
      <c r="AT33" s="36">
        <v>169.46280000000002</v>
      </c>
      <c r="AU33" s="36">
        <v>169.46280000000002</v>
      </c>
      <c r="AV33" s="36">
        <v>124.11144000000002</v>
      </c>
      <c r="AW33" s="36">
        <v>124.11144000000002</v>
      </c>
      <c r="AX33" s="36">
        <v>124.11144000000002</v>
      </c>
      <c r="AY33" s="36">
        <v>124.11144000000002</v>
      </c>
      <c r="AZ33" s="36">
        <v>124.11144000000002</v>
      </c>
      <c r="BA33" s="36">
        <v>124.11144000000002</v>
      </c>
      <c r="BB33" s="36">
        <v>138.56700000000001</v>
      </c>
      <c r="BC33" s="36">
        <v>138.56700000000001</v>
      </c>
      <c r="BD33" s="36">
        <v>138.56700000000001</v>
      </c>
      <c r="BE33" s="206"/>
      <c r="BF33" s="206"/>
      <c r="BG33" s="206"/>
      <c r="BH33" s="206"/>
      <c r="BP33" s="206"/>
    </row>
    <row r="34" spans="1:68" outlineLevel="1" x14ac:dyDescent="0.25">
      <c r="A34" s="221">
        <v>97156</v>
      </c>
      <c r="B34" s="206" t="s">
        <v>453</v>
      </c>
      <c r="C34" s="206"/>
      <c r="D34" s="36">
        <v>0</v>
      </c>
      <c r="E34" s="36">
        <v>172.7</v>
      </c>
      <c r="F34" s="36">
        <v>172.7</v>
      </c>
      <c r="G34" s="36">
        <v>172.7</v>
      </c>
      <c r="H34" s="36">
        <v>172.7</v>
      </c>
      <c r="I34" s="36">
        <v>92.422200000000004</v>
      </c>
      <c r="J34" s="36">
        <v>92.422200000000004</v>
      </c>
      <c r="K34" s="36">
        <v>92.422200000000004</v>
      </c>
      <c r="L34" s="36">
        <v>92.422200000000004</v>
      </c>
      <c r="M34" s="36">
        <v>172.7</v>
      </c>
      <c r="N34" s="36">
        <v>172.7</v>
      </c>
      <c r="O34" s="36">
        <v>172.7</v>
      </c>
      <c r="P34" s="36">
        <v>172.7</v>
      </c>
      <c r="Q34" s="36">
        <v>172.7</v>
      </c>
      <c r="R34" s="36">
        <v>172.7</v>
      </c>
      <c r="S34" s="36">
        <v>172.7</v>
      </c>
      <c r="T34" s="36">
        <v>172.7</v>
      </c>
      <c r="U34" s="36">
        <v>172.7</v>
      </c>
      <c r="V34" s="36">
        <v>172.7</v>
      </c>
      <c r="W34" s="36">
        <v>172.7</v>
      </c>
      <c r="X34" s="36">
        <v>172.7</v>
      </c>
      <c r="Y34" s="36">
        <v>172.7</v>
      </c>
      <c r="Z34" s="36">
        <v>172.7</v>
      </c>
      <c r="AA34" s="36">
        <v>172.7</v>
      </c>
      <c r="AB34" s="36">
        <v>172.7</v>
      </c>
      <c r="AC34" s="36">
        <v>172.7</v>
      </c>
      <c r="AD34" s="36">
        <v>172.7</v>
      </c>
      <c r="AE34" s="36">
        <v>172.7</v>
      </c>
      <c r="AF34" s="36">
        <v>172.7</v>
      </c>
      <c r="AG34" s="36">
        <v>172.7</v>
      </c>
      <c r="AH34" s="36">
        <v>172.7</v>
      </c>
      <c r="AI34" s="36">
        <v>172.7</v>
      </c>
      <c r="AJ34" s="36">
        <v>172.7</v>
      </c>
      <c r="AK34" s="36">
        <v>172.7</v>
      </c>
      <c r="AL34" s="36">
        <v>172.7</v>
      </c>
      <c r="AM34" s="36">
        <v>172.7</v>
      </c>
      <c r="AN34" s="36">
        <v>172.7</v>
      </c>
      <c r="AO34" s="36">
        <v>172.7</v>
      </c>
      <c r="AP34" s="36">
        <v>172.7</v>
      </c>
      <c r="AQ34" s="36">
        <v>172.7</v>
      </c>
      <c r="AR34" s="36">
        <v>92.422200000000004</v>
      </c>
      <c r="AS34" s="177">
        <v>92.422200000000004</v>
      </c>
      <c r="AT34" s="36">
        <v>92.422200000000004</v>
      </c>
      <c r="AU34" s="36">
        <v>92.422200000000004</v>
      </c>
      <c r="AV34" s="36">
        <v>91.292400000000001</v>
      </c>
      <c r="AW34" s="36">
        <v>91.292400000000001</v>
      </c>
      <c r="AX34" s="36">
        <v>91.292400000000001</v>
      </c>
      <c r="AY34" s="36">
        <v>91.292400000000001</v>
      </c>
      <c r="AZ34" s="36">
        <v>91.292400000000001</v>
      </c>
      <c r="BA34" s="36">
        <v>91.292400000000001</v>
      </c>
      <c r="BB34" s="36">
        <v>138.56700000000001</v>
      </c>
      <c r="BC34" s="36">
        <v>138.56700000000001</v>
      </c>
      <c r="BD34" s="36">
        <v>138.56700000000001</v>
      </c>
      <c r="BE34" s="206"/>
      <c r="BF34" s="206"/>
      <c r="BG34" s="206"/>
      <c r="BH34" s="206"/>
      <c r="BP34" s="206"/>
    </row>
    <row r="35" spans="1:68" outlineLevel="1" x14ac:dyDescent="0.25">
      <c r="A35" s="221">
        <v>97151</v>
      </c>
      <c r="B35" s="206" t="s">
        <v>452</v>
      </c>
      <c r="C35" s="206"/>
      <c r="D35" s="36">
        <v>0</v>
      </c>
      <c r="E35" s="36">
        <v>169</v>
      </c>
      <c r="F35" s="36">
        <v>169</v>
      </c>
      <c r="G35" s="36">
        <v>169</v>
      </c>
      <c r="H35" s="36">
        <v>169</v>
      </c>
      <c r="I35" s="36">
        <v>160.2612</v>
      </c>
      <c r="J35" s="36">
        <v>160.2612</v>
      </c>
      <c r="K35" s="36">
        <v>160.2612</v>
      </c>
      <c r="L35" s="36">
        <v>160.2612</v>
      </c>
      <c r="M35" s="36">
        <v>169</v>
      </c>
      <c r="N35" s="36">
        <v>169</v>
      </c>
      <c r="O35" s="36">
        <v>169</v>
      </c>
      <c r="P35" s="36">
        <v>169</v>
      </c>
      <c r="Q35" s="36">
        <v>169</v>
      </c>
      <c r="R35" s="36">
        <v>169</v>
      </c>
      <c r="S35" s="36">
        <v>169</v>
      </c>
      <c r="T35" s="36">
        <v>169</v>
      </c>
      <c r="U35" s="36">
        <v>169</v>
      </c>
      <c r="V35" s="36">
        <v>169</v>
      </c>
      <c r="W35" s="36">
        <v>169</v>
      </c>
      <c r="X35" s="36">
        <v>169</v>
      </c>
      <c r="Y35" s="36">
        <v>169</v>
      </c>
      <c r="Z35" s="36">
        <v>169</v>
      </c>
      <c r="AA35" s="36">
        <v>169</v>
      </c>
      <c r="AB35" s="36">
        <v>169</v>
      </c>
      <c r="AC35" s="36">
        <v>169</v>
      </c>
      <c r="AD35" s="36">
        <v>169</v>
      </c>
      <c r="AE35" s="36">
        <v>169</v>
      </c>
      <c r="AF35" s="36">
        <v>169</v>
      </c>
      <c r="AG35" s="36">
        <v>169</v>
      </c>
      <c r="AH35" s="36">
        <v>169</v>
      </c>
      <c r="AI35" s="36">
        <v>169</v>
      </c>
      <c r="AJ35" s="36">
        <v>169</v>
      </c>
      <c r="AK35" s="36">
        <v>169</v>
      </c>
      <c r="AL35" s="36">
        <v>169</v>
      </c>
      <c r="AM35" s="36">
        <v>169</v>
      </c>
      <c r="AN35" s="36">
        <v>169</v>
      </c>
      <c r="AO35" s="36">
        <v>169</v>
      </c>
      <c r="AP35" s="36">
        <v>169</v>
      </c>
      <c r="AQ35" s="36">
        <v>169</v>
      </c>
      <c r="AR35" s="36">
        <v>169.46280000000002</v>
      </c>
      <c r="AS35" s="177">
        <v>160.2612</v>
      </c>
      <c r="AT35" s="36">
        <v>160.2612</v>
      </c>
      <c r="AU35" s="36">
        <v>160.2612</v>
      </c>
      <c r="AV35" s="36">
        <v>123.2856</v>
      </c>
      <c r="AW35" s="36">
        <v>123.2856</v>
      </c>
      <c r="AX35" s="36">
        <v>123.2856</v>
      </c>
      <c r="AY35" s="36">
        <v>123.2856</v>
      </c>
      <c r="AZ35" s="36">
        <v>123.2856</v>
      </c>
      <c r="BA35" s="36">
        <v>123.2856</v>
      </c>
      <c r="BB35" s="36">
        <v>149.3972</v>
      </c>
      <c r="BC35" s="36">
        <v>149.3972</v>
      </c>
      <c r="BD35" s="36">
        <v>149.3972</v>
      </c>
      <c r="BE35" s="206"/>
      <c r="BF35" s="206"/>
      <c r="BG35" s="206"/>
      <c r="BH35" s="206"/>
      <c r="BP35" s="206"/>
    </row>
    <row r="36" spans="1:68" outlineLevel="1" x14ac:dyDescent="0.25">
      <c r="A36" s="221">
        <v>92507</v>
      </c>
      <c r="B36" s="218" t="s">
        <v>473</v>
      </c>
      <c r="C36" s="206"/>
      <c r="D36" s="36">
        <v>0</v>
      </c>
      <c r="E36" s="36">
        <v>245.92039999999997</v>
      </c>
      <c r="F36" s="36">
        <v>245.92039999999997</v>
      </c>
      <c r="G36" s="36">
        <v>245.92039999999997</v>
      </c>
      <c r="H36" s="36">
        <v>245.92039999999997</v>
      </c>
      <c r="I36" s="36">
        <v>155.14619999999996</v>
      </c>
      <c r="J36" s="36">
        <v>155.14619999999996</v>
      </c>
      <c r="K36" s="36">
        <v>155.14619999999996</v>
      </c>
      <c r="L36" s="36">
        <v>155.14619999999996</v>
      </c>
      <c r="M36" s="36">
        <v>335.68134599999996</v>
      </c>
      <c r="N36" s="36">
        <v>335.68134599999996</v>
      </c>
      <c r="O36" s="36">
        <v>335.68134599999996</v>
      </c>
      <c r="P36" s="36">
        <v>335.68134599999996</v>
      </c>
      <c r="Q36" s="36">
        <v>335.68134599999996</v>
      </c>
      <c r="R36" s="36">
        <v>335.68134599999996</v>
      </c>
      <c r="S36" s="36">
        <v>335.68134599999996</v>
      </c>
      <c r="T36" s="36">
        <v>335.68134599999996</v>
      </c>
      <c r="U36" s="36">
        <v>335.68134599999996</v>
      </c>
      <c r="V36" s="36">
        <v>335.68134599999996</v>
      </c>
      <c r="W36" s="36">
        <v>335.68134599999996</v>
      </c>
      <c r="X36" s="36">
        <v>245.92039999999997</v>
      </c>
      <c r="Y36" s="36">
        <v>245.92039999999997</v>
      </c>
      <c r="Z36" s="36">
        <v>245.92039999999997</v>
      </c>
      <c r="AA36" s="36">
        <v>245.92039999999997</v>
      </c>
      <c r="AB36" s="36">
        <v>245.92039999999997</v>
      </c>
      <c r="AC36" s="36">
        <v>245.92039999999997</v>
      </c>
      <c r="AD36" s="36">
        <v>245.92039999999997</v>
      </c>
      <c r="AE36" s="36">
        <v>245.92039999999997</v>
      </c>
      <c r="AF36" s="36">
        <v>245.92039999999997</v>
      </c>
      <c r="AG36" s="36">
        <v>245.92039999999997</v>
      </c>
      <c r="AH36" s="36">
        <v>245.92039999999997</v>
      </c>
      <c r="AI36" s="36">
        <v>245.92039999999997</v>
      </c>
      <c r="AJ36" s="36">
        <v>245.92039999999997</v>
      </c>
      <c r="AK36" s="36">
        <v>245.92039999999997</v>
      </c>
      <c r="AL36" s="36">
        <v>245.92039999999997</v>
      </c>
      <c r="AM36" s="36">
        <v>245.92039999999997</v>
      </c>
      <c r="AN36" s="36">
        <v>245.92039999999997</v>
      </c>
      <c r="AO36" s="36">
        <v>245.92039999999997</v>
      </c>
      <c r="AP36" s="36">
        <v>245.92039999999997</v>
      </c>
      <c r="AQ36" s="36">
        <v>245.92039999999997</v>
      </c>
      <c r="AR36" s="36">
        <v>154.88</v>
      </c>
      <c r="AS36" s="177">
        <v>155.14619999999996</v>
      </c>
      <c r="AT36" s="36">
        <v>155.14619999999996</v>
      </c>
      <c r="AU36" s="36">
        <v>155.14619999999996</v>
      </c>
      <c r="AV36" s="36">
        <v>152.00760000000002</v>
      </c>
      <c r="AW36" s="36">
        <v>152.00760000000002</v>
      </c>
      <c r="AX36" s="36">
        <v>152.00760000000002</v>
      </c>
      <c r="AY36" s="36">
        <v>152.00760000000002</v>
      </c>
      <c r="AZ36" s="36">
        <v>152.00760000000002</v>
      </c>
      <c r="BA36" s="36">
        <v>152.00760000000002</v>
      </c>
      <c r="BB36" s="36">
        <v>175.08699999999999</v>
      </c>
      <c r="BC36" s="36">
        <v>175.08699999999999</v>
      </c>
      <c r="BD36" s="36">
        <v>175.08699999999999</v>
      </c>
      <c r="BE36" s="206"/>
      <c r="BF36" s="206"/>
      <c r="BG36" s="206"/>
      <c r="BH36" s="206"/>
      <c r="BP36" s="206"/>
    </row>
    <row r="37" spans="1:68" outlineLevel="1" x14ac:dyDescent="0.25">
      <c r="A37" s="221">
        <v>92523</v>
      </c>
      <c r="B37" s="218" t="s">
        <v>474</v>
      </c>
      <c r="C37" s="206"/>
      <c r="D37" s="36">
        <v>0</v>
      </c>
      <c r="E37" s="36">
        <v>284.78560000000004</v>
      </c>
      <c r="F37" s="36">
        <v>284.78560000000004</v>
      </c>
      <c r="G37" s="36">
        <v>284.78560000000004</v>
      </c>
      <c r="H37" s="36">
        <v>284.78560000000004</v>
      </c>
      <c r="I37" s="36">
        <v>376.16480000000001</v>
      </c>
      <c r="J37" s="36">
        <v>376.16480000000001</v>
      </c>
      <c r="K37" s="36">
        <v>376.16480000000001</v>
      </c>
      <c r="L37" s="36">
        <v>376.16480000000001</v>
      </c>
      <c r="M37" s="36">
        <v>388.73234400000001</v>
      </c>
      <c r="N37" s="36">
        <v>388.73234400000001</v>
      </c>
      <c r="O37" s="36">
        <v>388.73234400000001</v>
      </c>
      <c r="P37" s="36">
        <v>388.73234400000001</v>
      </c>
      <c r="Q37" s="36">
        <v>388.73234400000001</v>
      </c>
      <c r="R37" s="36">
        <v>388.73234400000001</v>
      </c>
      <c r="S37" s="36">
        <v>388.73234400000001</v>
      </c>
      <c r="T37" s="36">
        <v>388.73234400000001</v>
      </c>
      <c r="U37" s="36">
        <v>388.73234400000001</v>
      </c>
      <c r="V37" s="36">
        <v>388.73234400000001</v>
      </c>
      <c r="W37" s="36">
        <v>388.73234400000001</v>
      </c>
      <c r="X37" s="36">
        <v>284.78560000000004</v>
      </c>
      <c r="Y37" s="36">
        <v>284.78560000000004</v>
      </c>
      <c r="Z37" s="36">
        <v>284.78560000000004</v>
      </c>
      <c r="AA37" s="36">
        <v>284.78560000000004</v>
      </c>
      <c r="AB37" s="36">
        <v>284.78560000000004</v>
      </c>
      <c r="AC37" s="36">
        <v>284.78560000000004</v>
      </c>
      <c r="AD37" s="36">
        <v>284.78560000000004</v>
      </c>
      <c r="AE37" s="36">
        <v>284.78560000000004</v>
      </c>
      <c r="AF37" s="36">
        <v>284.78560000000004</v>
      </c>
      <c r="AG37" s="36">
        <v>284.78560000000004</v>
      </c>
      <c r="AH37" s="36">
        <v>284.78560000000004</v>
      </c>
      <c r="AI37" s="36">
        <v>284.78560000000004</v>
      </c>
      <c r="AJ37" s="36">
        <v>284.78560000000004</v>
      </c>
      <c r="AK37" s="36">
        <v>284.78560000000004</v>
      </c>
      <c r="AL37" s="36">
        <v>284.78560000000004</v>
      </c>
      <c r="AM37" s="36">
        <v>284.78560000000004</v>
      </c>
      <c r="AN37" s="36">
        <v>284.78560000000004</v>
      </c>
      <c r="AO37" s="36">
        <v>284.78560000000004</v>
      </c>
      <c r="AP37" s="36">
        <v>284.78560000000004</v>
      </c>
      <c r="AQ37" s="36">
        <v>284.78560000000004</v>
      </c>
      <c r="AR37" s="36">
        <v>186.34</v>
      </c>
      <c r="AS37" s="177">
        <v>376.16480000000001</v>
      </c>
      <c r="AT37" s="36">
        <v>376.16480000000001</v>
      </c>
      <c r="AU37" s="36">
        <v>376.16480000000001</v>
      </c>
      <c r="AV37" s="36">
        <v>356.21580000000006</v>
      </c>
      <c r="AW37" s="36">
        <v>356.21580000000006</v>
      </c>
      <c r="AX37" s="36">
        <v>356.21580000000006</v>
      </c>
      <c r="AY37" s="36">
        <v>356.21580000000006</v>
      </c>
      <c r="AZ37" s="36">
        <v>356.21580000000006</v>
      </c>
      <c r="BA37" s="36">
        <v>356.21580000000006</v>
      </c>
      <c r="BB37" s="36">
        <v>284.6404</v>
      </c>
      <c r="BC37" s="36">
        <v>284.6404</v>
      </c>
      <c r="BD37" s="36">
        <v>284.6404</v>
      </c>
      <c r="BE37" s="206"/>
      <c r="BF37" s="206"/>
      <c r="BG37" s="206"/>
      <c r="BH37" s="206"/>
      <c r="BP37" s="206"/>
    </row>
    <row r="38" spans="1:68" outlineLevel="1" x14ac:dyDescent="0.25">
      <c r="A38" s="221" t="s">
        <v>119</v>
      </c>
      <c r="B38" s="218" t="s">
        <v>475</v>
      </c>
      <c r="C38" s="206"/>
      <c r="D38" s="36">
        <v>0</v>
      </c>
      <c r="E38" s="36">
        <v>181.75</v>
      </c>
      <c r="F38" s="36">
        <v>181.75</v>
      </c>
      <c r="G38" s="36">
        <v>181.75</v>
      </c>
      <c r="H38" s="36">
        <v>181.75</v>
      </c>
      <c r="I38" s="36">
        <v>175.95399999999998</v>
      </c>
      <c r="J38" s="36">
        <v>175.95399999999998</v>
      </c>
      <c r="K38" s="36">
        <v>175.95399999999998</v>
      </c>
      <c r="L38" s="36">
        <v>175.95399999999998</v>
      </c>
      <c r="M38" s="36">
        <v>181.75</v>
      </c>
      <c r="N38" s="36">
        <v>181.75</v>
      </c>
      <c r="O38" s="36">
        <v>181.75</v>
      </c>
      <c r="P38" s="36">
        <v>181.75</v>
      </c>
      <c r="Q38" s="36">
        <v>181.75</v>
      </c>
      <c r="R38" s="36">
        <v>181.75</v>
      </c>
      <c r="S38" s="36">
        <v>181.75</v>
      </c>
      <c r="T38" s="36">
        <v>181.75</v>
      </c>
      <c r="U38" s="36">
        <v>181.75</v>
      </c>
      <c r="V38" s="36">
        <v>181.75</v>
      </c>
      <c r="W38" s="36">
        <v>181.75</v>
      </c>
      <c r="X38" s="36">
        <v>181.75</v>
      </c>
      <c r="Y38" s="36">
        <v>181.75</v>
      </c>
      <c r="Z38" s="36">
        <v>181.75</v>
      </c>
      <c r="AA38" s="36">
        <v>181.75</v>
      </c>
      <c r="AB38" s="36">
        <v>181.75</v>
      </c>
      <c r="AC38" s="36">
        <v>181.75</v>
      </c>
      <c r="AD38" s="36">
        <v>181.75</v>
      </c>
      <c r="AE38" s="36">
        <v>181.75</v>
      </c>
      <c r="AF38" s="36">
        <v>181.75</v>
      </c>
      <c r="AG38" s="36">
        <v>181.75</v>
      </c>
      <c r="AH38" s="36">
        <v>181.75</v>
      </c>
      <c r="AI38" s="36">
        <v>181.75</v>
      </c>
      <c r="AJ38" s="36">
        <v>181.75</v>
      </c>
      <c r="AK38" s="36">
        <v>181.75</v>
      </c>
      <c r="AL38" s="36">
        <v>181.75</v>
      </c>
      <c r="AM38" s="36">
        <v>181.75</v>
      </c>
      <c r="AN38" s="36">
        <v>181.75</v>
      </c>
      <c r="AO38" s="36">
        <v>181.75</v>
      </c>
      <c r="AP38" s="36">
        <v>181.75</v>
      </c>
      <c r="AQ38" s="36">
        <v>181.75</v>
      </c>
      <c r="AR38" s="36">
        <v>172.78299999999999</v>
      </c>
      <c r="AS38" s="177">
        <v>175.95399999999998</v>
      </c>
      <c r="AT38" s="36">
        <v>175.95399999999998</v>
      </c>
      <c r="AU38" s="36">
        <v>175.95399999999998</v>
      </c>
      <c r="AV38" s="36">
        <v>166.67000000000002</v>
      </c>
      <c r="AW38" s="36">
        <v>166.67000000000002</v>
      </c>
      <c r="AX38" s="36">
        <v>166.67000000000002</v>
      </c>
      <c r="AY38" s="36">
        <v>166.67000000000002</v>
      </c>
      <c r="AZ38" s="36">
        <v>166.67000000000002</v>
      </c>
      <c r="BA38" s="36">
        <v>166.67000000000002</v>
      </c>
      <c r="BB38" s="36">
        <v>170.33999999999997</v>
      </c>
      <c r="BC38" s="36">
        <v>170.33999999999997</v>
      </c>
      <c r="BD38" s="36">
        <v>170.33999999999997</v>
      </c>
      <c r="BE38" s="206"/>
      <c r="BF38" s="206"/>
      <c r="BG38" s="206"/>
      <c r="BH38" s="206"/>
      <c r="BP38" s="206"/>
    </row>
    <row r="39" spans="1:68" outlineLevel="1" x14ac:dyDescent="0.25">
      <c r="A39" s="221">
        <v>97530</v>
      </c>
      <c r="B39" s="218" t="s">
        <v>476</v>
      </c>
      <c r="C39" s="206"/>
      <c r="D39" s="36">
        <v>0</v>
      </c>
      <c r="E39" s="36">
        <v>199.84359999999998</v>
      </c>
      <c r="F39" s="36">
        <v>199.84359999999998</v>
      </c>
      <c r="G39" s="36">
        <v>199.84359999999998</v>
      </c>
      <c r="H39" s="36">
        <v>199.84359999999998</v>
      </c>
      <c r="I39" s="36">
        <v>148.24919999999997</v>
      </c>
      <c r="J39" s="36">
        <v>148.24919999999997</v>
      </c>
      <c r="K39" s="36">
        <v>148.24919999999997</v>
      </c>
      <c r="L39" s="36">
        <v>148.24919999999997</v>
      </c>
      <c r="M39" s="36">
        <v>272.78651400000001</v>
      </c>
      <c r="N39" s="36">
        <v>272.78651400000001</v>
      </c>
      <c r="O39" s="36">
        <v>272.78651400000001</v>
      </c>
      <c r="P39" s="36">
        <v>272.78651400000001</v>
      </c>
      <c r="Q39" s="36">
        <v>272.78651400000001</v>
      </c>
      <c r="R39" s="36">
        <v>272.78651400000001</v>
      </c>
      <c r="S39" s="36">
        <v>272.78651400000001</v>
      </c>
      <c r="T39" s="36">
        <v>272.78651400000001</v>
      </c>
      <c r="U39" s="36">
        <v>272.78651400000001</v>
      </c>
      <c r="V39" s="36">
        <v>272.78651400000001</v>
      </c>
      <c r="W39" s="36">
        <v>272.78651400000001</v>
      </c>
      <c r="X39" s="36">
        <v>199.84359999999998</v>
      </c>
      <c r="Y39" s="36">
        <v>199.84359999999998</v>
      </c>
      <c r="Z39" s="36">
        <v>199.84359999999998</v>
      </c>
      <c r="AA39" s="36">
        <v>199.84359999999998</v>
      </c>
      <c r="AB39" s="36">
        <v>199.84359999999998</v>
      </c>
      <c r="AC39" s="36">
        <v>199.84359999999998</v>
      </c>
      <c r="AD39" s="36">
        <v>199.84359999999998</v>
      </c>
      <c r="AE39" s="36">
        <v>199.84359999999998</v>
      </c>
      <c r="AF39" s="36">
        <v>199.84359999999998</v>
      </c>
      <c r="AG39" s="36">
        <v>199.84359999999998</v>
      </c>
      <c r="AH39" s="36">
        <v>199.84359999999998</v>
      </c>
      <c r="AI39" s="36">
        <v>199.84359999999998</v>
      </c>
      <c r="AJ39" s="36">
        <v>199.84359999999998</v>
      </c>
      <c r="AK39" s="36">
        <v>199.84359999999998</v>
      </c>
      <c r="AL39" s="36">
        <v>199.84359999999998</v>
      </c>
      <c r="AM39" s="36">
        <v>199.84359999999998</v>
      </c>
      <c r="AN39" s="36">
        <v>199.84359999999998</v>
      </c>
      <c r="AO39" s="36">
        <v>199.84359999999998</v>
      </c>
      <c r="AP39" s="36">
        <v>199.84359999999998</v>
      </c>
      <c r="AQ39" s="36">
        <v>199.84359999999998</v>
      </c>
      <c r="AR39" s="36">
        <v>147.91039999999998</v>
      </c>
      <c r="AS39" s="177">
        <v>148.24919999999997</v>
      </c>
      <c r="AT39" s="36">
        <v>148.24919999999997</v>
      </c>
      <c r="AU39" s="36">
        <v>148.24919999999997</v>
      </c>
      <c r="AV39" s="36">
        <v>113.29320000000001</v>
      </c>
      <c r="AW39" s="36">
        <v>113.29320000000001</v>
      </c>
      <c r="AX39" s="36">
        <v>113.29320000000001</v>
      </c>
      <c r="AY39" s="36">
        <v>113.29320000000001</v>
      </c>
      <c r="AZ39" s="36">
        <v>113.29320000000001</v>
      </c>
      <c r="BA39" s="36">
        <v>113.29320000000001</v>
      </c>
      <c r="BB39" s="36">
        <v>188.46959999999996</v>
      </c>
      <c r="BC39" s="36">
        <v>188.46959999999996</v>
      </c>
      <c r="BD39" s="36">
        <v>188.46959999999996</v>
      </c>
      <c r="BE39" s="206"/>
      <c r="BF39" s="206"/>
      <c r="BG39" s="206"/>
      <c r="BH39" s="206"/>
      <c r="BP39" s="206"/>
    </row>
    <row r="40" spans="1:68" x14ac:dyDescent="0.25">
      <c r="A40" s="206"/>
      <c r="B40" s="206"/>
      <c r="C40" s="35" t="s">
        <v>120</v>
      </c>
      <c r="D40" s="99">
        <f>IFERROR(SUMPRODUCT(D74:D78,D$31:D$35)/SUM(D74:D78),0)</f>
        <v>0</v>
      </c>
      <c r="E40" s="99">
        <f t="shared" ref="E40:BD40" si="18">IFERROR(SUMPRODUCT(E74:E78,E$31:E$35)/SUM(E74:E78),0)</f>
        <v>169.47301136363637</v>
      </c>
      <c r="F40" s="99">
        <f t="shared" si="18"/>
        <v>169.47301136363637</v>
      </c>
      <c r="G40" s="99">
        <f t="shared" si="18"/>
        <v>169.47301136363637</v>
      </c>
      <c r="H40" s="99">
        <f t="shared" si="18"/>
        <v>169.47301136363637</v>
      </c>
      <c r="I40" s="99">
        <f t="shared" si="18"/>
        <v>93.184992737430179</v>
      </c>
      <c r="J40" s="99">
        <f t="shared" si="18"/>
        <v>95.966933522727288</v>
      </c>
      <c r="K40" s="99">
        <f t="shared" si="18"/>
        <v>93.184992737430179</v>
      </c>
      <c r="L40" s="99">
        <f t="shared" ref="L40" si="19">IFERROR(SUMPRODUCT(L74:L78,L$31:L$35)/SUM(L74:L78),0)</f>
        <v>95.966933522727288</v>
      </c>
      <c r="M40" s="99">
        <f t="shared" si="18"/>
        <v>165.07653631284919</v>
      </c>
      <c r="N40" s="99">
        <f t="shared" si="18"/>
        <v>165.07653631284919</v>
      </c>
      <c r="O40" s="99">
        <f t="shared" si="18"/>
        <v>165.07653631284919</v>
      </c>
      <c r="P40" s="99">
        <f t="shared" si="18"/>
        <v>169.49115044247787</v>
      </c>
      <c r="Q40" s="99">
        <f t="shared" si="18"/>
        <v>165.07653631284919</v>
      </c>
      <c r="R40" s="99">
        <f t="shared" si="18"/>
        <v>169.47301136363637</v>
      </c>
      <c r="S40" s="99">
        <f t="shared" si="18"/>
        <v>165.07653631284919</v>
      </c>
      <c r="T40" s="99">
        <f t="shared" si="18"/>
        <v>169.47301136363637</v>
      </c>
      <c r="U40" s="99">
        <f t="shared" si="18"/>
        <v>165.07653631284919</v>
      </c>
      <c r="V40" s="99">
        <f t="shared" si="18"/>
        <v>165.07653631284919</v>
      </c>
      <c r="W40" s="99">
        <f t="shared" si="18"/>
        <v>169.47301136363637</v>
      </c>
      <c r="X40" s="99">
        <f t="shared" si="18"/>
        <v>165.07653631284919</v>
      </c>
      <c r="Y40" s="99">
        <f t="shared" si="18"/>
        <v>169.47301136363637</v>
      </c>
      <c r="Z40" s="99">
        <f t="shared" si="18"/>
        <v>165.07653631284919</v>
      </c>
      <c r="AA40" s="99">
        <f t="shared" si="18"/>
        <v>169.47301136363637</v>
      </c>
      <c r="AB40" s="99">
        <f t="shared" si="18"/>
        <v>165.07653631284919</v>
      </c>
      <c r="AC40" s="99">
        <f t="shared" si="18"/>
        <v>169.47301136363637</v>
      </c>
      <c r="AD40" s="99">
        <f t="shared" si="18"/>
        <v>165.07653631284919</v>
      </c>
      <c r="AE40" s="99">
        <f t="shared" si="18"/>
        <v>169.47301136363637</v>
      </c>
      <c r="AF40" s="99">
        <f t="shared" si="18"/>
        <v>165.07653631284919</v>
      </c>
      <c r="AG40" s="99">
        <f t="shared" si="18"/>
        <v>165.07653631284919</v>
      </c>
      <c r="AH40" s="99">
        <f t="shared" si="18"/>
        <v>169.47301136363637</v>
      </c>
      <c r="AI40" s="99">
        <f t="shared" si="18"/>
        <v>165.07653631284919</v>
      </c>
      <c r="AJ40" s="99">
        <f t="shared" si="18"/>
        <v>165.07653631284919</v>
      </c>
      <c r="AK40" s="99">
        <f t="shared" si="18"/>
        <v>169.47301136363637</v>
      </c>
      <c r="AL40" s="99">
        <f t="shared" si="18"/>
        <v>165.07653631284919</v>
      </c>
      <c r="AM40" s="99">
        <f t="shared" si="18"/>
        <v>169.47301136363637</v>
      </c>
      <c r="AN40" s="99">
        <f t="shared" si="18"/>
        <v>165.07653631284919</v>
      </c>
      <c r="AO40" s="99">
        <f t="shared" si="18"/>
        <v>165.07653631284919</v>
      </c>
      <c r="AP40" s="99">
        <f t="shared" si="18"/>
        <v>165.07653631284919</v>
      </c>
      <c r="AQ40" s="99">
        <f t="shared" si="18"/>
        <v>169.47301136363637</v>
      </c>
      <c r="AR40" s="99">
        <f t="shared" si="18"/>
        <v>93.287803910614542</v>
      </c>
      <c r="AS40" s="99">
        <f>IFERROR(SUMPRODUCT(AS74:AS78,AS$31:AS$35)/SUM(AS74:AS78),0)</f>
        <v>95.966933522727288</v>
      </c>
      <c r="AT40" s="99">
        <f t="shared" si="18"/>
        <v>93.184992737430179</v>
      </c>
      <c r="AU40" s="99">
        <f t="shared" si="18"/>
        <v>93.184992737430179</v>
      </c>
      <c r="AV40" s="99">
        <f t="shared" si="18"/>
        <v>91.979665027932967</v>
      </c>
      <c r="AW40" s="99">
        <f t="shared" si="18"/>
        <v>91.979665027932967</v>
      </c>
      <c r="AX40" s="99">
        <f t="shared" si="18"/>
        <v>91.979665027932967</v>
      </c>
      <c r="AY40" s="99">
        <f t="shared" si="18"/>
        <v>91.979665027932967</v>
      </c>
      <c r="AZ40" s="99">
        <f t="shared" si="18"/>
        <v>86.199605795454559</v>
      </c>
      <c r="BA40" s="99">
        <f t="shared" si="18"/>
        <v>91.979665027932967</v>
      </c>
      <c r="BB40" s="99">
        <f t="shared" ref="BB40:BC40" si="20">IFERROR(SUMPRODUCT(BB74:BB78,BB$31:BB$35)/SUM(BB74:BB78),0)</f>
        <v>97.138317045454542</v>
      </c>
      <c r="BC40" s="99">
        <f t="shared" si="20"/>
        <v>97.138317045454542</v>
      </c>
      <c r="BD40" s="99">
        <f t="shared" si="18"/>
        <v>97.138317045454542</v>
      </c>
      <c r="BE40" s="206"/>
      <c r="BF40" s="206"/>
      <c r="BG40" s="206"/>
      <c r="BH40" s="206"/>
      <c r="BP40" s="206"/>
    </row>
    <row r="41" spans="1:68" x14ac:dyDescent="0.25">
      <c r="A41" s="100"/>
      <c r="B41" s="206"/>
      <c r="C41" s="206"/>
      <c r="D41" s="99"/>
      <c r="E41" s="99"/>
      <c r="F41" s="99"/>
      <c r="G41" s="99"/>
      <c r="H41" s="99"/>
      <c r="I41" s="99"/>
      <c r="J41" s="99"/>
      <c r="K41" s="99"/>
      <c r="L41" s="99"/>
      <c r="M41" s="160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206"/>
      <c r="BF41" s="206"/>
      <c r="BG41" s="206"/>
      <c r="BH41" s="206"/>
      <c r="BP41" s="206"/>
    </row>
    <row r="42" spans="1:68" outlineLevel="1" x14ac:dyDescent="0.25">
      <c r="A42" s="206"/>
      <c r="B42" s="23" t="s">
        <v>454</v>
      </c>
      <c r="C42" s="206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06"/>
      <c r="BF42" s="206"/>
      <c r="BG42" s="206"/>
      <c r="BH42" s="206"/>
      <c r="BP42" s="206"/>
    </row>
    <row r="43" spans="1:68" outlineLevel="1" x14ac:dyDescent="0.25">
      <c r="A43" s="221"/>
      <c r="B43" s="218" t="s">
        <v>449</v>
      </c>
      <c r="C43" s="206"/>
      <c r="D43" s="25">
        <v>0</v>
      </c>
      <c r="E43" s="25">
        <v>169</v>
      </c>
      <c r="F43" s="25">
        <v>169</v>
      </c>
      <c r="G43" s="25">
        <v>169</v>
      </c>
      <c r="H43" s="25">
        <v>169</v>
      </c>
      <c r="I43" s="25">
        <v>76.680000000000007</v>
      </c>
      <c r="J43" s="25">
        <v>76.680000000000007</v>
      </c>
      <c r="K43" s="25">
        <v>76.680000000000007</v>
      </c>
      <c r="L43" s="25">
        <v>76.680000000000007</v>
      </c>
      <c r="M43" s="25">
        <v>169</v>
      </c>
      <c r="N43" s="25">
        <v>169</v>
      </c>
      <c r="O43" s="25">
        <v>169</v>
      </c>
      <c r="P43" s="25">
        <v>169</v>
      </c>
      <c r="Q43" s="25">
        <v>169</v>
      </c>
      <c r="R43" s="25">
        <v>169</v>
      </c>
      <c r="S43" s="25">
        <v>169</v>
      </c>
      <c r="T43" s="25">
        <v>169</v>
      </c>
      <c r="U43" s="25">
        <v>169</v>
      </c>
      <c r="V43" s="25">
        <v>169</v>
      </c>
      <c r="W43" s="25">
        <v>169</v>
      </c>
      <c r="X43" s="25">
        <v>169</v>
      </c>
      <c r="Y43" s="25">
        <v>169</v>
      </c>
      <c r="Z43" s="25">
        <v>169</v>
      </c>
      <c r="AA43" s="25">
        <v>169</v>
      </c>
      <c r="AB43" s="25">
        <v>169</v>
      </c>
      <c r="AC43" s="25">
        <v>169</v>
      </c>
      <c r="AD43" s="25">
        <v>169</v>
      </c>
      <c r="AE43" s="25">
        <v>169</v>
      </c>
      <c r="AF43" s="25">
        <v>169</v>
      </c>
      <c r="AG43" s="25">
        <v>169</v>
      </c>
      <c r="AH43" s="25">
        <v>169</v>
      </c>
      <c r="AI43" s="25">
        <v>169</v>
      </c>
      <c r="AJ43" s="25">
        <v>169</v>
      </c>
      <c r="AK43" s="25">
        <v>169</v>
      </c>
      <c r="AL43" s="25">
        <v>169</v>
      </c>
      <c r="AM43" s="25">
        <v>169</v>
      </c>
      <c r="AN43" s="25">
        <v>169</v>
      </c>
      <c r="AO43" s="25">
        <v>169</v>
      </c>
      <c r="AP43" s="25">
        <v>169</v>
      </c>
      <c r="AQ43" s="25">
        <v>169</v>
      </c>
      <c r="AR43" s="25">
        <v>76.680000000000007</v>
      </c>
      <c r="AS43" s="25">
        <v>76.680000000000007</v>
      </c>
      <c r="AT43" s="25">
        <v>76.680000000000007</v>
      </c>
      <c r="AU43" s="25">
        <v>76.680000000000007</v>
      </c>
      <c r="AV43" s="25">
        <f t="shared" ref="AV43:AY43" si="21">83.24*0.9</f>
        <v>74.915999999999997</v>
      </c>
      <c r="AW43" s="25">
        <f t="shared" si="21"/>
        <v>74.915999999999997</v>
      </c>
      <c r="AX43" s="25">
        <f t="shared" si="21"/>
        <v>74.915999999999997</v>
      </c>
      <c r="AY43" s="25">
        <f t="shared" si="21"/>
        <v>74.915999999999997</v>
      </c>
      <c r="AZ43" s="25">
        <f>83.24*0.9</f>
        <v>74.915999999999997</v>
      </c>
      <c r="BA43" s="25">
        <f>83.24*0.9</f>
        <v>74.915999999999997</v>
      </c>
      <c r="BB43" s="25">
        <v>81</v>
      </c>
      <c r="BC43" s="25">
        <v>81</v>
      </c>
      <c r="BD43" s="25">
        <v>81</v>
      </c>
      <c r="BE43" s="206"/>
      <c r="BF43" s="206"/>
      <c r="BG43" s="206"/>
      <c r="BH43" s="206"/>
      <c r="BP43" s="206"/>
    </row>
    <row r="44" spans="1:68" outlineLevel="1" x14ac:dyDescent="0.25">
      <c r="A44" s="221"/>
      <c r="B44" s="218" t="s">
        <v>450</v>
      </c>
      <c r="C44" s="206"/>
      <c r="D44" s="25">
        <v>0</v>
      </c>
      <c r="E44" s="25">
        <f t="shared" ref="E44:H44" si="22">54.5*2</f>
        <v>109</v>
      </c>
      <c r="F44" s="25">
        <f t="shared" si="22"/>
        <v>109</v>
      </c>
      <c r="G44" s="25">
        <f t="shared" si="22"/>
        <v>109</v>
      </c>
      <c r="H44" s="25">
        <f t="shared" si="22"/>
        <v>109</v>
      </c>
      <c r="I44" s="25">
        <f>27.84*2</f>
        <v>55.68</v>
      </c>
      <c r="J44" s="25">
        <f t="shared" ref="J44:L44" si="23">27.84*2</f>
        <v>55.68</v>
      </c>
      <c r="K44" s="25">
        <f t="shared" si="23"/>
        <v>55.68</v>
      </c>
      <c r="L44" s="25">
        <f t="shared" si="23"/>
        <v>55.68</v>
      </c>
      <c r="M44" s="25">
        <f t="shared" ref="M44:AQ44" si="24">54.5*2</f>
        <v>109</v>
      </c>
      <c r="N44" s="25">
        <f t="shared" si="24"/>
        <v>109</v>
      </c>
      <c r="O44" s="25">
        <f t="shared" si="24"/>
        <v>109</v>
      </c>
      <c r="P44" s="25">
        <f t="shared" si="24"/>
        <v>109</v>
      </c>
      <c r="Q44" s="25">
        <f t="shared" si="24"/>
        <v>109</v>
      </c>
      <c r="R44" s="25">
        <f t="shared" si="24"/>
        <v>109</v>
      </c>
      <c r="S44" s="25">
        <f t="shared" si="24"/>
        <v>109</v>
      </c>
      <c r="T44" s="25">
        <f t="shared" si="24"/>
        <v>109</v>
      </c>
      <c r="U44" s="25">
        <f t="shared" si="24"/>
        <v>109</v>
      </c>
      <c r="V44" s="25">
        <f t="shared" si="24"/>
        <v>109</v>
      </c>
      <c r="W44" s="25">
        <f t="shared" si="24"/>
        <v>109</v>
      </c>
      <c r="X44" s="25">
        <f t="shared" si="24"/>
        <v>109</v>
      </c>
      <c r="Y44" s="25">
        <f t="shared" si="24"/>
        <v>109</v>
      </c>
      <c r="Z44" s="25">
        <f t="shared" si="24"/>
        <v>109</v>
      </c>
      <c r="AA44" s="25">
        <f t="shared" si="24"/>
        <v>109</v>
      </c>
      <c r="AB44" s="25">
        <f t="shared" si="24"/>
        <v>109</v>
      </c>
      <c r="AC44" s="25">
        <f t="shared" si="24"/>
        <v>109</v>
      </c>
      <c r="AD44" s="25">
        <f t="shared" si="24"/>
        <v>109</v>
      </c>
      <c r="AE44" s="25">
        <f t="shared" si="24"/>
        <v>109</v>
      </c>
      <c r="AF44" s="25">
        <f t="shared" si="24"/>
        <v>109</v>
      </c>
      <c r="AG44" s="25">
        <f t="shared" si="24"/>
        <v>109</v>
      </c>
      <c r="AH44" s="25">
        <f t="shared" si="24"/>
        <v>109</v>
      </c>
      <c r="AI44" s="25">
        <f t="shared" si="24"/>
        <v>109</v>
      </c>
      <c r="AJ44" s="25">
        <f t="shared" si="24"/>
        <v>109</v>
      </c>
      <c r="AK44" s="25">
        <f t="shared" si="24"/>
        <v>109</v>
      </c>
      <c r="AL44" s="25">
        <f t="shared" si="24"/>
        <v>109</v>
      </c>
      <c r="AM44" s="25">
        <f t="shared" si="24"/>
        <v>109</v>
      </c>
      <c r="AN44" s="25">
        <f t="shared" si="24"/>
        <v>109</v>
      </c>
      <c r="AO44" s="25">
        <f t="shared" si="24"/>
        <v>109</v>
      </c>
      <c r="AP44" s="25">
        <f t="shared" si="24"/>
        <v>109</v>
      </c>
      <c r="AQ44" s="25">
        <f t="shared" si="24"/>
        <v>109</v>
      </c>
      <c r="AR44" s="25">
        <f>27.84*2</f>
        <v>55.68</v>
      </c>
      <c r="AS44" s="25">
        <f>27.84*2</f>
        <v>55.68</v>
      </c>
      <c r="AT44" s="25">
        <f t="shared" ref="AT44:AU44" si="25">27.84*2</f>
        <v>55.68</v>
      </c>
      <c r="AU44" s="25">
        <f t="shared" si="25"/>
        <v>55.68</v>
      </c>
      <c r="AV44" s="25">
        <f>79*2</f>
        <v>158</v>
      </c>
      <c r="AW44" s="25">
        <f t="shared" ref="AW44:BA44" si="26">79*2</f>
        <v>158</v>
      </c>
      <c r="AX44" s="25">
        <f t="shared" si="26"/>
        <v>158</v>
      </c>
      <c r="AY44" s="25">
        <f t="shared" si="26"/>
        <v>158</v>
      </c>
      <c r="AZ44" s="25">
        <f t="shared" si="26"/>
        <v>158</v>
      </c>
      <c r="BA44" s="25">
        <f t="shared" si="26"/>
        <v>158</v>
      </c>
      <c r="BB44" s="25">
        <f>17.92*2</f>
        <v>35.840000000000003</v>
      </c>
      <c r="BC44" s="25">
        <f>17.92*2</f>
        <v>35.840000000000003</v>
      </c>
      <c r="BD44" s="25">
        <f>17.92*2</f>
        <v>35.840000000000003</v>
      </c>
      <c r="BE44" s="206"/>
      <c r="BF44" s="206"/>
      <c r="BG44" s="206"/>
      <c r="BH44" s="206"/>
      <c r="BP44" s="206"/>
    </row>
    <row r="45" spans="1:68" outlineLevel="1" x14ac:dyDescent="0.25">
      <c r="A45" s="221"/>
      <c r="B45" s="218" t="s">
        <v>451</v>
      </c>
      <c r="C45" s="206"/>
      <c r="D45" s="25">
        <v>0</v>
      </c>
      <c r="E45" s="25">
        <v>173</v>
      </c>
      <c r="F45" s="25">
        <v>173</v>
      </c>
      <c r="G45" s="25">
        <v>173</v>
      </c>
      <c r="H45" s="25">
        <v>173</v>
      </c>
      <c r="I45" s="25">
        <v>153.36000000000001</v>
      </c>
      <c r="J45" s="25">
        <v>153.36000000000001</v>
      </c>
      <c r="K45" s="25">
        <v>153.36000000000001</v>
      </c>
      <c r="L45" s="25">
        <v>153.36000000000001</v>
      </c>
      <c r="M45" s="25">
        <v>173</v>
      </c>
      <c r="N45" s="25">
        <v>173</v>
      </c>
      <c r="O45" s="25">
        <v>173</v>
      </c>
      <c r="P45" s="25">
        <v>173</v>
      </c>
      <c r="Q45" s="25">
        <v>173</v>
      </c>
      <c r="R45" s="25">
        <v>173</v>
      </c>
      <c r="S45" s="25">
        <v>173</v>
      </c>
      <c r="T45" s="25">
        <v>173</v>
      </c>
      <c r="U45" s="25">
        <v>173</v>
      </c>
      <c r="V45" s="25">
        <v>173</v>
      </c>
      <c r="W45" s="25">
        <v>173</v>
      </c>
      <c r="X45" s="25">
        <v>173</v>
      </c>
      <c r="Y45" s="25">
        <v>173</v>
      </c>
      <c r="Z45" s="25">
        <v>173</v>
      </c>
      <c r="AA45" s="25">
        <v>173</v>
      </c>
      <c r="AB45" s="25">
        <v>173</v>
      </c>
      <c r="AC45" s="25">
        <v>173</v>
      </c>
      <c r="AD45" s="25">
        <v>173</v>
      </c>
      <c r="AE45" s="25">
        <v>173</v>
      </c>
      <c r="AF45" s="25">
        <v>173</v>
      </c>
      <c r="AG45" s="25">
        <v>173</v>
      </c>
      <c r="AH45" s="25">
        <v>173</v>
      </c>
      <c r="AI45" s="25">
        <v>173</v>
      </c>
      <c r="AJ45" s="25">
        <v>173</v>
      </c>
      <c r="AK45" s="25">
        <v>173</v>
      </c>
      <c r="AL45" s="25">
        <v>173</v>
      </c>
      <c r="AM45" s="25">
        <v>173</v>
      </c>
      <c r="AN45" s="25">
        <v>173</v>
      </c>
      <c r="AO45" s="25">
        <v>173</v>
      </c>
      <c r="AP45" s="25">
        <v>173</v>
      </c>
      <c r="AQ45" s="25">
        <v>173</v>
      </c>
      <c r="AR45" s="25">
        <v>153.36000000000001</v>
      </c>
      <c r="AS45" s="25">
        <v>153.36000000000001</v>
      </c>
      <c r="AT45" s="25">
        <v>153.36000000000001</v>
      </c>
      <c r="AU45" s="25">
        <v>153.36000000000001</v>
      </c>
      <c r="AV45" s="25">
        <f t="shared" ref="AV45:AY45" si="27">128.88*0.9</f>
        <v>115.992</v>
      </c>
      <c r="AW45" s="25">
        <f t="shared" si="27"/>
        <v>115.992</v>
      </c>
      <c r="AX45" s="25">
        <f t="shared" si="27"/>
        <v>115.992</v>
      </c>
      <c r="AY45" s="25">
        <f t="shared" si="27"/>
        <v>115.992</v>
      </c>
      <c r="AZ45" s="25">
        <f>128.88*0.9</f>
        <v>115.992</v>
      </c>
      <c r="BA45" s="25">
        <f>128.88*0.9</f>
        <v>115.992</v>
      </c>
      <c r="BB45" s="25">
        <v>125.4</v>
      </c>
      <c r="BC45" s="25">
        <v>125.4</v>
      </c>
      <c r="BD45" s="25">
        <v>125.4</v>
      </c>
      <c r="BE45" s="206"/>
      <c r="BF45" s="206"/>
      <c r="BG45" s="206"/>
      <c r="BH45" s="206"/>
      <c r="BP45" s="206"/>
    </row>
    <row r="46" spans="1:68" outlineLevel="1" x14ac:dyDescent="0.25">
      <c r="A46" s="221"/>
      <c r="B46" s="218" t="s">
        <v>453</v>
      </c>
      <c r="C46" s="206"/>
      <c r="D46" s="25">
        <v>0</v>
      </c>
      <c r="E46" s="25">
        <v>173</v>
      </c>
      <c r="F46" s="25">
        <v>173</v>
      </c>
      <c r="G46" s="25">
        <v>173</v>
      </c>
      <c r="H46" s="25">
        <v>173</v>
      </c>
      <c r="I46" s="25">
        <v>83.64</v>
      </c>
      <c r="J46" s="25">
        <v>83.64</v>
      </c>
      <c r="K46" s="25">
        <v>83.64</v>
      </c>
      <c r="L46" s="25">
        <v>83.64</v>
      </c>
      <c r="M46" s="25">
        <v>173</v>
      </c>
      <c r="N46" s="25">
        <v>173</v>
      </c>
      <c r="O46" s="25">
        <v>173</v>
      </c>
      <c r="P46" s="25">
        <v>173</v>
      </c>
      <c r="Q46" s="25">
        <v>173</v>
      </c>
      <c r="R46" s="25">
        <v>173</v>
      </c>
      <c r="S46" s="25">
        <v>173</v>
      </c>
      <c r="T46" s="25">
        <v>173</v>
      </c>
      <c r="U46" s="25">
        <v>173</v>
      </c>
      <c r="V46" s="25">
        <v>173</v>
      </c>
      <c r="W46" s="25">
        <v>173</v>
      </c>
      <c r="X46" s="25">
        <v>173</v>
      </c>
      <c r="Y46" s="25">
        <v>173</v>
      </c>
      <c r="Z46" s="25">
        <v>173</v>
      </c>
      <c r="AA46" s="25">
        <v>173</v>
      </c>
      <c r="AB46" s="25">
        <v>173</v>
      </c>
      <c r="AC46" s="25">
        <v>173</v>
      </c>
      <c r="AD46" s="25">
        <v>173</v>
      </c>
      <c r="AE46" s="25">
        <v>173</v>
      </c>
      <c r="AF46" s="25">
        <v>173</v>
      </c>
      <c r="AG46" s="25">
        <v>173</v>
      </c>
      <c r="AH46" s="25">
        <v>173</v>
      </c>
      <c r="AI46" s="25">
        <v>173</v>
      </c>
      <c r="AJ46" s="25">
        <v>173</v>
      </c>
      <c r="AK46" s="25">
        <v>173</v>
      </c>
      <c r="AL46" s="25">
        <v>173</v>
      </c>
      <c r="AM46" s="25">
        <v>173</v>
      </c>
      <c r="AN46" s="25">
        <v>173</v>
      </c>
      <c r="AO46" s="25">
        <v>173</v>
      </c>
      <c r="AP46" s="25">
        <v>173</v>
      </c>
      <c r="AQ46" s="25">
        <v>173</v>
      </c>
      <c r="AR46" s="25">
        <v>83.64</v>
      </c>
      <c r="AS46" s="25">
        <v>83.64</v>
      </c>
      <c r="AT46" s="25">
        <v>83.64</v>
      </c>
      <c r="AU46" s="25">
        <v>83.64</v>
      </c>
      <c r="AV46" s="25">
        <f t="shared" ref="AV46:AY46" si="28">94.8*0.9</f>
        <v>85.32</v>
      </c>
      <c r="AW46" s="25">
        <f t="shared" si="28"/>
        <v>85.32</v>
      </c>
      <c r="AX46" s="25">
        <f t="shared" si="28"/>
        <v>85.32</v>
      </c>
      <c r="AY46" s="25">
        <f t="shared" si="28"/>
        <v>85.32</v>
      </c>
      <c r="AZ46" s="25">
        <f>94.8*0.9</f>
        <v>85.32</v>
      </c>
      <c r="BA46" s="25">
        <f>94.8*0.9</f>
        <v>85.32</v>
      </c>
      <c r="BB46" s="25">
        <v>125.4</v>
      </c>
      <c r="BC46" s="25">
        <v>125.4</v>
      </c>
      <c r="BD46" s="25">
        <v>125.4</v>
      </c>
      <c r="BE46" s="206"/>
      <c r="BF46" s="206"/>
      <c r="BG46" s="206"/>
      <c r="BH46" s="206"/>
      <c r="BP46" s="206"/>
    </row>
    <row r="47" spans="1:68" outlineLevel="1" x14ac:dyDescent="0.25">
      <c r="A47" s="221"/>
      <c r="B47" s="218" t="s">
        <v>452</v>
      </c>
      <c r="C47" s="206"/>
      <c r="D47" s="25">
        <v>0</v>
      </c>
      <c r="E47" s="25">
        <v>169</v>
      </c>
      <c r="F47" s="25">
        <v>169</v>
      </c>
      <c r="G47" s="25">
        <v>169</v>
      </c>
      <c r="H47" s="25">
        <v>169</v>
      </c>
      <c r="I47" s="25">
        <v>153.36000000000001</v>
      </c>
      <c r="J47" s="25">
        <v>153.36000000000001</v>
      </c>
      <c r="K47" s="25">
        <v>153.36000000000001</v>
      </c>
      <c r="L47" s="25">
        <v>153.36000000000001</v>
      </c>
      <c r="M47" s="25">
        <v>169</v>
      </c>
      <c r="N47" s="25">
        <v>169</v>
      </c>
      <c r="O47" s="25">
        <v>169</v>
      </c>
      <c r="P47" s="25">
        <v>169</v>
      </c>
      <c r="Q47" s="25">
        <v>169</v>
      </c>
      <c r="R47" s="25">
        <v>169</v>
      </c>
      <c r="S47" s="25">
        <v>169</v>
      </c>
      <c r="T47" s="25">
        <v>169</v>
      </c>
      <c r="U47" s="25">
        <v>169</v>
      </c>
      <c r="V47" s="25">
        <v>169</v>
      </c>
      <c r="W47" s="25">
        <v>169</v>
      </c>
      <c r="X47" s="25">
        <v>169</v>
      </c>
      <c r="Y47" s="25">
        <v>169</v>
      </c>
      <c r="Z47" s="25">
        <v>169</v>
      </c>
      <c r="AA47" s="25">
        <v>169</v>
      </c>
      <c r="AB47" s="25">
        <v>169</v>
      </c>
      <c r="AC47" s="25">
        <v>169</v>
      </c>
      <c r="AD47" s="25">
        <v>169</v>
      </c>
      <c r="AE47" s="25">
        <v>169</v>
      </c>
      <c r="AF47" s="25">
        <v>169</v>
      </c>
      <c r="AG47" s="25">
        <v>169</v>
      </c>
      <c r="AH47" s="25">
        <v>169</v>
      </c>
      <c r="AI47" s="25">
        <v>169</v>
      </c>
      <c r="AJ47" s="25">
        <v>169</v>
      </c>
      <c r="AK47" s="25">
        <v>169</v>
      </c>
      <c r="AL47" s="25">
        <v>169</v>
      </c>
      <c r="AM47" s="25">
        <v>169</v>
      </c>
      <c r="AN47" s="25">
        <v>169</v>
      </c>
      <c r="AO47" s="25">
        <v>169</v>
      </c>
      <c r="AP47" s="25">
        <v>169</v>
      </c>
      <c r="AQ47" s="25">
        <v>169</v>
      </c>
      <c r="AR47" s="25">
        <v>153.36000000000001</v>
      </c>
      <c r="AS47" s="25">
        <v>153.36000000000001</v>
      </c>
      <c r="AT47" s="25">
        <v>153.36000000000001</v>
      </c>
      <c r="AU47" s="25">
        <v>153.36000000000001</v>
      </c>
      <c r="AV47" s="25">
        <f t="shared" ref="AV47:AY47" si="29">122.24*0.9</f>
        <v>110.01599999999999</v>
      </c>
      <c r="AW47" s="25">
        <f t="shared" si="29"/>
        <v>110.01599999999999</v>
      </c>
      <c r="AX47" s="25">
        <f t="shared" si="29"/>
        <v>110.01599999999999</v>
      </c>
      <c r="AY47" s="25">
        <f t="shared" si="29"/>
        <v>110.01599999999999</v>
      </c>
      <c r="AZ47" s="25">
        <f>122.24*0.9</f>
        <v>110.01599999999999</v>
      </c>
      <c r="BA47" s="25">
        <f>122.24*0.9</f>
        <v>110.01599999999999</v>
      </c>
      <c r="BB47" s="25">
        <v>137.84</v>
      </c>
      <c r="BC47" s="25">
        <v>137.84</v>
      </c>
      <c r="BD47" s="25">
        <v>137.84</v>
      </c>
      <c r="BE47" s="206"/>
      <c r="BF47" s="206"/>
      <c r="BG47" s="206"/>
      <c r="BH47" s="206"/>
      <c r="BP47" s="206"/>
    </row>
    <row r="48" spans="1:68" outlineLevel="1" x14ac:dyDescent="0.25">
      <c r="A48" s="221"/>
      <c r="B48" s="206" t="s">
        <v>383</v>
      </c>
      <c r="C48" s="206"/>
      <c r="D48" s="25">
        <v>0</v>
      </c>
      <c r="E48" s="25">
        <v>203.24</v>
      </c>
      <c r="F48" s="25">
        <v>203.24</v>
      </c>
      <c r="G48" s="25">
        <v>203.24</v>
      </c>
      <c r="H48" s="25">
        <v>203.24</v>
      </c>
      <c r="I48" s="25">
        <v>128.22</v>
      </c>
      <c r="J48" s="25">
        <v>128.22</v>
      </c>
      <c r="K48" s="25">
        <v>128.22</v>
      </c>
      <c r="L48" s="25">
        <v>128.22</v>
      </c>
      <c r="M48" s="25">
        <v>277.42259999999999</v>
      </c>
      <c r="N48" s="25">
        <v>277.42259999999999</v>
      </c>
      <c r="O48" s="25">
        <v>277.42259999999999</v>
      </c>
      <c r="P48" s="25">
        <v>277.42259999999999</v>
      </c>
      <c r="Q48" s="25">
        <v>277.42259999999999</v>
      </c>
      <c r="R48" s="25">
        <v>277.42259999999999</v>
      </c>
      <c r="S48" s="25">
        <v>277.42259999999999</v>
      </c>
      <c r="T48" s="25">
        <v>277.42259999999999</v>
      </c>
      <c r="U48" s="25">
        <v>277.42259999999999</v>
      </c>
      <c r="V48" s="25">
        <v>277.42259999999999</v>
      </c>
      <c r="W48" s="25">
        <v>277.42259999999999</v>
      </c>
      <c r="X48" s="25">
        <v>203.24</v>
      </c>
      <c r="Y48" s="25">
        <v>203.24</v>
      </c>
      <c r="Z48" s="25">
        <v>203.24</v>
      </c>
      <c r="AA48" s="25">
        <v>203.24</v>
      </c>
      <c r="AB48" s="25">
        <v>203.24</v>
      </c>
      <c r="AC48" s="25">
        <v>203.24</v>
      </c>
      <c r="AD48" s="25">
        <v>203.24</v>
      </c>
      <c r="AE48" s="25">
        <v>203.24</v>
      </c>
      <c r="AF48" s="25">
        <v>203.24</v>
      </c>
      <c r="AG48" s="25">
        <v>203.24</v>
      </c>
      <c r="AH48" s="25">
        <v>203.24</v>
      </c>
      <c r="AI48" s="25">
        <v>203.24</v>
      </c>
      <c r="AJ48" s="25">
        <v>203.24</v>
      </c>
      <c r="AK48" s="25">
        <v>203.24</v>
      </c>
      <c r="AL48" s="25">
        <v>203.24</v>
      </c>
      <c r="AM48" s="25">
        <v>203.24</v>
      </c>
      <c r="AN48" s="25">
        <v>203.24</v>
      </c>
      <c r="AO48" s="25">
        <v>203.24</v>
      </c>
      <c r="AP48" s="25">
        <v>203.24</v>
      </c>
      <c r="AQ48" s="25">
        <v>203.24</v>
      </c>
      <c r="AR48" s="25">
        <f>64*2</f>
        <v>128</v>
      </c>
      <c r="AS48" s="25">
        <v>128.22</v>
      </c>
      <c r="AT48" s="25">
        <v>128.22</v>
      </c>
      <c r="AU48" s="25">
        <v>128.22</v>
      </c>
      <c r="AV48" s="25">
        <v>133.34</v>
      </c>
      <c r="AW48" s="25">
        <v>133.34</v>
      </c>
      <c r="AX48" s="25">
        <v>133.34</v>
      </c>
      <c r="AY48" s="25">
        <v>133.34</v>
      </c>
      <c r="AZ48" s="25">
        <v>133.34</v>
      </c>
      <c r="BA48" s="25">
        <v>133.34</v>
      </c>
      <c r="BB48" s="25">
        <f t="shared" ref="BB48:BD48" si="30">72.35*2</f>
        <v>144.69999999999999</v>
      </c>
      <c r="BC48" s="25">
        <f t="shared" si="30"/>
        <v>144.69999999999999</v>
      </c>
      <c r="BD48" s="25">
        <f t="shared" si="30"/>
        <v>144.69999999999999</v>
      </c>
      <c r="BE48" s="206"/>
      <c r="BF48" s="206"/>
      <c r="BG48" s="206"/>
      <c r="BH48" s="206"/>
      <c r="BP48" s="206"/>
    </row>
    <row r="49" spans="1:68" outlineLevel="1" x14ac:dyDescent="0.25">
      <c r="A49" s="221"/>
      <c r="B49" s="206" t="s">
        <v>384</v>
      </c>
      <c r="C49" s="206"/>
      <c r="D49" s="25">
        <v>0</v>
      </c>
      <c r="E49" s="25">
        <v>235.36</v>
      </c>
      <c r="F49" s="25">
        <v>235.36</v>
      </c>
      <c r="G49" s="25">
        <v>235.36</v>
      </c>
      <c r="H49" s="25">
        <v>235.36</v>
      </c>
      <c r="I49" s="25">
        <v>310.88</v>
      </c>
      <c r="J49" s="25">
        <v>310.88</v>
      </c>
      <c r="K49" s="25">
        <v>310.88</v>
      </c>
      <c r="L49" s="25">
        <v>310.88</v>
      </c>
      <c r="M49" s="25">
        <v>321.26640000000003</v>
      </c>
      <c r="N49" s="25">
        <v>321.26640000000003</v>
      </c>
      <c r="O49" s="25">
        <v>321.26640000000003</v>
      </c>
      <c r="P49" s="25">
        <v>321.26640000000003</v>
      </c>
      <c r="Q49" s="25">
        <v>321.26640000000003</v>
      </c>
      <c r="R49" s="25">
        <v>321.26640000000003</v>
      </c>
      <c r="S49" s="25">
        <v>321.26640000000003</v>
      </c>
      <c r="T49" s="25">
        <v>321.26640000000003</v>
      </c>
      <c r="U49" s="25">
        <v>321.26640000000003</v>
      </c>
      <c r="V49" s="25">
        <v>321.26640000000003</v>
      </c>
      <c r="W49" s="25">
        <v>321.26640000000003</v>
      </c>
      <c r="X49" s="25">
        <v>235.36</v>
      </c>
      <c r="Y49" s="25">
        <v>235.36</v>
      </c>
      <c r="Z49" s="25">
        <v>235.36</v>
      </c>
      <c r="AA49" s="25">
        <v>235.36</v>
      </c>
      <c r="AB49" s="25">
        <v>235.36</v>
      </c>
      <c r="AC49" s="25">
        <v>235.36</v>
      </c>
      <c r="AD49" s="25">
        <v>235.36</v>
      </c>
      <c r="AE49" s="25">
        <v>235.36</v>
      </c>
      <c r="AF49" s="25">
        <v>235.36</v>
      </c>
      <c r="AG49" s="25">
        <v>235.36</v>
      </c>
      <c r="AH49" s="25">
        <v>235.36</v>
      </c>
      <c r="AI49" s="25">
        <v>235.36</v>
      </c>
      <c r="AJ49" s="25">
        <v>235.36</v>
      </c>
      <c r="AK49" s="25">
        <v>235.36</v>
      </c>
      <c r="AL49" s="25">
        <v>235.36</v>
      </c>
      <c r="AM49" s="25">
        <v>235.36</v>
      </c>
      <c r="AN49" s="25">
        <v>235.36</v>
      </c>
      <c r="AO49" s="25">
        <v>235.36</v>
      </c>
      <c r="AP49" s="25">
        <v>235.36</v>
      </c>
      <c r="AQ49" s="25">
        <v>235.36</v>
      </c>
      <c r="AR49" s="25">
        <v>154</v>
      </c>
      <c r="AS49" s="25">
        <v>310.88</v>
      </c>
      <c r="AT49" s="25">
        <v>310.88</v>
      </c>
      <c r="AU49" s="25">
        <v>310.88</v>
      </c>
      <c r="AV49" s="25">
        <v>312.47000000000003</v>
      </c>
      <c r="AW49" s="25">
        <v>312.47000000000003</v>
      </c>
      <c r="AX49" s="25">
        <v>312.47000000000003</v>
      </c>
      <c r="AY49" s="25">
        <v>312.47000000000003</v>
      </c>
      <c r="AZ49" s="25">
        <v>312.47000000000003</v>
      </c>
      <c r="BA49" s="25">
        <v>312.47000000000003</v>
      </c>
      <c r="BB49" s="25">
        <v>235.24</v>
      </c>
      <c r="BC49" s="25">
        <v>235.24</v>
      </c>
      <c r="BD49" s="25">
        <v>235.24</v>
      </c>
      <c r="BE49" s="206"/>
      <c r="BF49" s="206"/>
      <c r="BG49" s="206"/>
      <c r="BH49" s="206"/>
      <c r="BP49" s="206"/>
    </row>
    <row r="50" spans="1:68" outlineLevel="1" x14ac:dyDescent="0.25">
      <c r="A50" s="221"/>
      <c r="B50" s="206" t="s">
        <v>385</v>
      </c>
      <c r="C50" s="206"/>
      <c r="D50" s="25">
        <v>0</v>
      </c>
      <c r="E50" s="25">
        <v>181.75</v>
      </c>
      <c r="F50" s="25">
        <v>181.75</v>
      </c>
      <c r="G50" s="25">
        <v>181.75</v>
      </c>
      <c r="H50" s="25">
        <v>181.75</v>
      </c>
      <c r="I50" s="25">
        <v>173.47</v>
      </c>
      <c r="J50" s="25">
        <v>173.47</v>
      </c>
      <c r="K50" s="25">
        <v>173.47</v>
      </c>
      <c r="L50" s="25">
        <v>173.47</v>
      </c>
      <c r="M50" s="25">
        <v>181.75</v>
      </c>
      <c r="N50" s="25">
        <v>181.75</v>
      </c>
      <c r="O50" s="25">
        <v>181.75</v>
      </c>
      <c r="P50" s="25">
        <v>181.75</v>
      </c>
      <c r="Q50" s="25">
        <v>181.75</v>
      </c>
      <c r="R50" s="25">
        <v>181.75</v>
      </c>
      <c r="S50" s="25">
        <v>181.75</v>
      </c>
      <c r="T50" s="25">
        <v>181.75</v>
      </c>
      <c r="U50" s="25">
        <v>181.75</v>
      </c>
      <c r="V50" s="25">
        <v>181.75</v>
      </c>
      <c r="W50" s="25">
        <v>181.75</v>
      </c>
      <c r="X50" s="25">
        <v>181.75</v>
      </c>
      <c r="Y50" s="25">
        <v>181.75</v>
      </c>
      <c r="Z50" s="25">
        <v>181.75</v>
      </c>
      <c r="AA50" s="25">
        <v>181.75</v>
      </c>
      <c r="AB50" s="25">
        <v>181.75</v>
      </c>
      <c r="AC50" s="25">
        <v>181.75</v>
      </c>
      <c r="AD50" s="25">
        <v>181.75</v>
      </c>
      <c r="AE50" s="25">
        <v>181.75</v>
      </c>
      <c r="AF50" s="25">
        <v>181.75</v>
      </c>
      <c r="AG50" s="25">
        <v>181.75</v>
      </c>
      <c r="AH50" s="25">
        <v>181.75</v>
      </c>
      <c r="AI50" s="25">
        <v>181.75</v>
      </c>
      <c r="AJ50" s="25">
        <v>181.75</v>
      </c>
      <c r="AK50" s="25">
        <v>181.75</v>
      </c>
      <c r="AL50" s="25">
        <v>181.75</v>
      </c>
      <c r="AM50" s="25">
        <v>181.75</v>
      </c>
      <c r="AN50" s="25">
        <v>181.75</v>
      </c>
      <c r="AO50" s="25">
        <v>181.75</v>
      </c>
      <c r="AP50" s="25">
        <v>181.75</v>
      </c>
      <c r="AQ50" s="25">
        <v>181.75</v>
      </c>
      <c r="AR50" s="25">
        <v>168.94</v>
      </c>
      <c r="AS50" s="25">
        <v>173.47</v>
      </c>
      <c r="AT50" s="25">
        <v>173.47</v>
      </c>
      <c r="AU50" s="25">
        <v>173.47</v>
      </c>
      <c r="AV50" s="25">
        <v>162.9</v>
      </c>
      <c r="AW50" s="25">
        <v>162.9</v>
      </c>
      <c r="AX50" s="25">
        <v>162.9</v>
      </c>
      <c r="AY50" s="25">
        <v>162.9</v>
      </c>
      <c r="AZ50" s="25">
        <v>162.9</v>
      </c>
      <c r="BA50" s="25">
        <v>162.9</v>
      </c>
      <c r="BB50" s="25">
        <v>165.45</v>
      </c>
      <c r="BC50" s="25">
        <v>165.45</v>
      </c>
      <c r="BD50" s="25">
        <v>165.45</v>
      </c>
      <c r="BE50" s="206"/>
      <c r="BF50" s="206"/>
      <c r="BG50" s="206"/>
      <c r="BH50" s="206"/>
      <c r="BP50" s="206"/>
    </row>
    <row r="51" spans="1:68" outlineLevel="1" x14ac:dyDescent="0.25">
      <c r="A51" s="221"/>
      <c r="B51" s="206" t="s">
        <v>386</v>
      </c>
      <c r="C51" s="206"/>
      <c r="D51" s="25">
        <v>0</v>
      </c>
      <c r="E51" s="25">
        <v>165.16</v>
      </c>
      <c r="F51" s="25">
        <v>165.16</v>
      </c>
      <c r="G51" s="25">
        <v>165.16</v>
      </c>
      <c r="H51" s="25">
        <v>165.16</v>
      </c>
      <c r="I51" s="25">
        <v>122.52</v>
      </c>
      <c r="J51" s="25">
        <v>122.52</v>
      </c>
      <c r="K51" s="25">
        <v>122.52</v>
      </c>
      <c r="L51" s="25">
        <v>122.52</v>
      </c>
      <c r="M51" s="25">
        <v>225.4434</v>
      </c>
      <c r="N51" s="25">
        <v>225.4434</v>
      </c>
      <c r="O51" s="25">
        <v>225.4434</v>
      </c>
      <c r="P51" s="25">
        <v>225.4434</v>
      </c>
      <c r="Q51" s="25">
        <v>225.4434</v>
      </c>
      <c r="R51" s="25">
        <v>225.4434</v>
      </c>
      <c r="S51" s="25">
        <v>225.4434</v>
      </c>
      <c r="T51" s="25">
        <v>225.4434</v>
      </c>
      <c r="U51" s="25">
        <v>225.4434</v>
      </c>
      <c r="V51" s="25">
        <v>225.4434</v>
      </c>
      <c r="W51" s="25">
        <v>225.4434</v>
      </c>
      <c r="X51" s="25">
        <v>165.16</v>
      </c>
      <c r="Y51" s="25">
        <v>165.16</v>
      </c>
      <c r="Z51" s="25">
        <v>165.16</v>
      </c>
      <c r="AA51" s="25">
        <v>165.16</v>
      </c>
      <c r="AB51" s="25">
        <v>165.16</v>
      </c>
      <c r="AC51" s="25">
        <v>165.16</v>
      </c>
      <c r="AD51" s="25">
        <v>165.16</v>
      </c>
      <c r="AE51" s="25">
        <v>165.16</v>
      </c>
      <c r="AF51" s="25">
        <v>165.16</v>
      </c>
      <c r="AG51" s="25">
        <v>165.16</v>
      </c>
      <c r="AH51" s="25">
        <v>165.16</v>
      </c>
      <c r="AI51" s="25">
        <v>165.16</v>
      </c>
      <c r="AJ51" s="25">
        <v>165.16</v>
      </c>
      <c r="AK51" s="25">
        <v>165.16</v>
      </c>
      <c r="AL51" s="25">
        <v>165.16</v>
      </c>
      <c r="AM51" s="25">
        <v>165.16</v>
      </c>
      <c r="AN51" s="25">
        <v>165.16</v>
      </c>
      <c r="AO51" s="25">
        <v>165.16</v>
      </c>
      <c r="AP51" s="25">
        <v>165.16</v>
      </c>
      <c r="AQ51" s="25">
        <v>165.16</v>
      </c>
      <c r="AR51" s="25">
        <v>122.24</v>
      </c>
      <c r="AS51" s="25">
        <v>122.52</v>
      </c>
      <c r="AT51" s="25">
        <v>122.52</v>
      </c>
      <c r="AU51" s="25">
        <v>122.52</v>
      </c>
      <c r="AV51" s="25">
        <v>99.38</v>
      </c>
      <c r="AW51" s="25">
        <v>99.38</v>
      </c>
      <c r="AX51" s="25">
        <v>99.38</v>
      </c>
      <c r="AY51" s="25">
        <v>99.38</v>
      </c>
      <c r="AZ51" s="25">
        <v>99.38</v>
      </c>
      <c r="BA51" s="25">
        <v>99.38</v>
      </c>
      <c r="BB51" s="25">
        <v>155.76</v>
      </c>
      <c r="BC51" s="25">
        <v>155.76</v>
      </c>
      <c r="BD51" s="25">
        <v>155.76</v>
      </c>
      <c r="BE51" s="206"/>
      <c r="BF51" s="206"/>
      <c r="BG51" s="206"/>
      <c r="BH51" s="206"/>
      <c r="BP51" s="206"/>
    </row>
    <row r="52" spans="1:68" outlineLevel="1" x14ac:dyDescent="0.25">
      <c r="A52" s="206"/>
      <c r="B52" s="23" t="s">
        <v>456</v>
      </c>
      <c r="C52" s="206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  <c r="BC52" s="210"/>
      <c r="BD52" s="210"/>
      <c r="BE52" s="206"/>
      <c r="BF52" s="206"/>
      <c r="BG52" s="206"/>
      <c r="BH52" s="206"/>
      <c r="BP52" s="206"/>
    </row>
    <row r="53" spans="1:68" outlineLevel="1" x14ac:dyDescent="0.25">
      <c r="A53" s="206"/>
      <c r="B53" s="206" t="str">
        <f>B43</f>
        <v>Primary - Service A</v>
      </c>
      <c r="C53" s="206"/>
      <c r="D53" s="25">
        <v>0</v>
      </c>
      <c r="E53" s="25">
        <v>169</v>
      </c>
      <c r="F53" s="25">
        <v>169</v>
      </c>
      <c r="G53" s="25">
        <v>169</v>
      </c>
      <c r="H53" s="25">
        <v>169</v>
      </c>
      <c r="I53" s="25">
        <f t="shared" ref="I53:L56" si="31">I43*1.35</f>
        <v>103.51800000000001</v>
      </c>
      <c r="J53" s="25">
        <f t="shared" si="31"/>
        <v>103.51800000000001</v>
      </c>
      <c r="K53" s="25">
        <f t="shared" si="31"/>
        <v>103.51800000000001</v>
      </c>
      <c r="L53" s="25">
        <f t="shared" si="31"/>
        <v>103.51800000000001</v>
      </c>
      <c r="M53" s="25">
        <v>169</v>
      </c>
      <c r="N53" s="25">
        <v>169</v>
      </c>
      <c r="O53" s="25">
        <v>169</v>
      </c>
      <c r="P53" s="25">
        <v>169</v>
      </c>
      <c r="Q53" s="25">
        <v>169</v>
      </c>
      <c r="R53" s="25">
        <v>169</v>
      </c>
      <c r="S53" s="25">
        <v>169</v>
      </c>
      <c r="T53" s="25">
        <v>169</v>
      </c>
      <c r="U53" s="25">
        <v>169</v>
      </c>
      <c r="V53" s="25">
        <v>169</v>
      </c>
      <c r="W53" s="25">
        <v>169</v>
      </c>
      <c r="X53" s="25">
        <v>169</v>
      </c>
      <c r="Y53" s="25">
        <v>169</v>
      </c>
      <c r="Z53" s="25">
        <v>169</v>
      </c>
      <c r="AA53" s="25">
        <v>169</v>
      </c>
      <c r="AB53" s="25">
        <v>169</v>
      </c>
      <c r="AC53" s="25">
        <v>169</v>
      </c>
      <c r="AD53" s="25">
        <v>169</v>
      </c>
      <c r="AE53" s="25">
        <v>169</v>
      </c>
      <c r="AF53" s="25">
        <v>169</v>
      </c>
      <c r="AG53" s="25">
        <v>169</v>
      </c>
      <c r="AH53" s="25">
        <v>169</v>
      </c>
      <c r="AI53" s="25">
        <v>169</v>
      </c>
      <c r="AJ53" s="25">
        <v>169</v>
      </c>
      <c r="AK53" s="25">
        <v>169</v>
      </c>
      <c r="AL53" s="25">
        <v>169</v>
      </c>
      <c r="AM53" s="25">
        <v>169</v>
      </c>
      <c r="AN53" s="25">
        <v>169</v>
      </c>
      <c r="AO53" s="25">
        <v>169</v>
      </c>
      <c r="AP53" s="25">
        <v>169</v>
      </c>
      <c r="AQ53" s="25">
        <v>169</v>
      </c>
      <c r="AR53" s="25">
        <f t="shared" ref="AR53:BD56" si="32">AR43*1.35</f>
        <v>103.51800000000001</v>
      </c>
      <c r="AS53" s="25">
        <f t="shared" si="32"/>
        <v>103.51800000000001</v>
      </c>
      <c r="AT53" s="25">
        <f t="shared" si="32"/>
        <v>103.51800000000001</v>
      </c>
      <c r="AU53" s="25">
        <f t="shared" si="32"/>
        <v>103.51800000000001</v>
      </c>
      <c r="AV53" s="25">
        <f t="shared" si="32"/>
        <v>101.1366</v>
      </c>
      <c r="AW53" s="25">
        <f t="shared" si="32"/>
        <v>101.1366</v>
      </c>
      <c r="AX53" s="25">
        <f t="shared" si="32"/>
        <v>101.1366</v>
      </c>
      <c r="AY53" s="25">
        <f t="shared" si="32"/>
        <v>101.1366</v>
      </c>
      <c r="AZ53" s="25">
        <f t="shared" si="32"/>
        <v>101.1366</v>
      </c>
      <c r="BA53" s="25">
        <f t="shared" si="32"/>
        <v>101.1366</v>
      </c>
      <c r="BB53" s="25">
        <f t="shared" si="32"/>
        <v>109.35000000000001</v>
      </c>
      <c r="BC53" s="25">
        <f t="shared" si="32"/>
        <v>109.35000000000001</v>
      </c>
      <c r="BD53" s="25">
        <f t="shared" si="32"/>
        <v>109.35000000000001</v>
      </c>
      <c r="BE53" s="206"/>
      <c r="BF53" s="206"/>
      <c r="BG53" s="206"/>
      <c r="BH53" s="206"/>
      <c r="BP53" s="206"/>
    </row>
    <row r="54" spans="1:68" outlineLevel="1" x14ac:dyDescent="0.25">
      <c r="A54" s="206"/>
      <c r="B54" s="206" t="str">
        <f t="shared" ref="B54:B61" si="33">B44</f>
        <v>Primary - Service B</v>
      </c>
      <c r="C54" s="206"/>
      <c r="D54" s="25">
        <v>0</v>
      </c>
      <c r="E54" s="25">
        <f t="shared" ref="E54:H54" si="34">54.5*2</f>
        <v>109</v>
      </c>
      <c r="F54" s="25">
        <f t="shared" si="34"/>
        <v>109</v>
      </c>
      <c r="G54" s="25">
        <f t="shared" si="34"/>
        <v>109</v>
      </c>
      <c r="H54" s="25">
        <f t="shared" si="34"/>
        <v>109</v>
      </c>
      <c r="I54" s="25">
        <f t="shared" si="31"/>
        <v>75.168000000000006</v>
      </c>
      <c r="J54" s="25">
        <f t="shared" si="31"/>
        <v>75.168000000000006</v>
      </c>
      <c r="K54" s="25">
        <f t="shared" si="31"/>
        <v>75.168000000000006</v>
      </c>
      <c r="L54" s="25">
        <f t="shared" si="31"/>
        <v>75.168000000000006</v>
      </c>
      <c r="M54" s="25">
        <f>54.5*2</f>
        <v>109</v>
      </c>
      <c r="N54" s="25">
        <f t="shared" ref="N54:AQ54" si="35">54.5*2</f>
        <v>109</v>
      </c>
      <c r="O54" s="25">
        <f t="shared" si="35"/>
        <v>109</v>
      </c>
      <c r="P54" s="25">
        <f t="shared" si="35"/>
        <v>109</v>
      </c>
      <c r="Q54" s="25">
        <f t="shared" si="35"/>
        <v>109</v>
      </c>
      <c r="R54" s="25">
        <f t="shared" si="35"/>
        <v>109</v>
      </c>
      <c r="S54" s="25">
        <f t="shared" si="35"/>
        <v>109</v>
      </c>
      <c r="T54" s="25">
        <f t="shared" si="35"/>
        <v>109</v>
      </c>
      <c r="U54" s="25">
        <f t="shared" si="35"/>
        <v>109</v>
      </c>
      <c r="V54" s="25">
        <f t="shared" si="35"/>
        <v>109</v>
      </c>
      <c r="W54" s="25">
        <f t="shared" si="35"/>
        <v>109</v>
      </c>
      <c r="X54" s="25">
        <f t="shared" si="35"/>
        <v>109</v>
      </c>
      <c r="Y54" s="25">
        <f t="shared" si="35"/>
        <v>109</v>
      </c>
      <c r="Z54" s="25">
        <f t="shared" si="35"/>
        <v>109</v>
      </c>
      <c r="AA54" s="25">
        <f t="shared" si="35"/>
        <v>109</v>
      </c>
      <c r="AB54" s="25">
        <f t="shared" si="35"/>
        <v>109</v>
      </c>
      <c r="AC54" s="25">
        <f t="shared" si="35"/>
        <v>109</v>
      </c>
      <c r="AD54" s="25">
        <f t="shared" si="35"/>
        <v>109</v>
      </c>
      <c r="AE54" s="25">
        <f t="shared" si="35"/>
        <v>109</v>
      </c>
      <c r="AF54" s="25">
        <f t="shared" si="35"/>
        <v>109</v>
      </c>
      <c r="AG54" s="25">
        <f t="shared" si="35"/>
        <v>109</v>
      </c>
      <c r="AH54" s="25">
        <f t="shared" si="35"/>
        <v>109</v>
      </c>
      <c r="AI54" s="25">
        <f t="shared" si="35"/>
        <v>109</v>
      </c>
      <c r="AJ54" s="25">
        <f t="shared" si="35"/>
        <v>109</v>
      </c>
      <c r="AK54" s="25">
        <f t="shared" si="35"/>
        <v>109</v>
      </c>
      <c r="AL54" s="25">
        <f t="shared" si="35"/>
        <v>109</v>
      </c>
      <c r="AM54" s="25">
        <f t="shared" si="35"/>
        <v>109</v>
      </c>
      <c r="AN54" s="25">
        <f t="shared" si="35"/>
        <v>109</v>
      </c>
      <c r="AO54" s="25">
        <f t="shared" si="35"/>
        <v>109</v>
      </c>
      <c r="AP54" s="25">
        <f t="shared" si="35"/>
        <v>109</v>
      </c>
      <c r="AQ54" s="25">
        <f t="shared" si="35"/>
        <v>109</v>
      </c>
      <c r="AR54" s="25">
        <f t="shared" si="32"/>
        <v>75.168000000000006</v>
      </c>
      <c r="AS54" s="25">
        <f t="shared" si="32"/>
        <v>75.168000000000006</v>
      </c>
      <c r="AT54" s="25">
        <f t="shared" si="32"/>
        <v>75.168000000000006</v>
      </c>
      <c r="AU54" s="25">
        <f t="shared" si="32"/>
        <v>75.168000000000006</v>
      </c>
      <c r="AV54" s="25">
        <f t="shared" si="32"/>
        <v>213.3</v>
      </c>
      <c r="AW54" s="25">
        <f t="shared" si="32"/>
        <v>213.3</v>
      </c>
      <c r="AX54" s="25">
        <f t="shared" si="32"/>
        <v>213.3</v>
      </c>
      <c r="AY54" s="25">
        <f t="shared" si="32"/>
        <v>213.3</v>
      </c>
      <c r="AZ54" s="25">
        <f t="shared" si="32"/>
        <v>213.3</v>
      </c>
      <c r="BA54" s="25">
        <f t="shared" si="32"/>
        <v>213.3</v>
      </c>
      <c r="BB54" s="25">
        <f t="shared" si="32"/>
        <v>48.384000000000007</v>
      </c>
      <c r="BC54" s="25">
        <f t="shared" si="32"/>
        <v>48.384000000000007</v>
      </c>
      <c r="BD54" s="25">
        <f t="shared" si="32"/>
        <v>48.384000000000007</v>
      </c>
      <c r="BE54" s="206"/>
      <c r="BF54" s="206"/>
      <c r="BG54" s="206"/>
      <c r="BH54" s="206"/>
      <c r="BP54" s="206"/>
    </row>
    <row r="55" spans="1:68" outlineLevel="1" x14ac:dyDescent="0.25">
      <c r="A55" s="206"/>
      <c r="B55" s="206" t="str">
        <f t="shared" si="33"/>
        <v>Secondary - Service A</v>
      </c>
      <c r="C55" s="206"/>
      <c r="D55" s="25">
        <v>0</v>
      </c>
      <c r="E55" s="25">
        <v>172</v>
      </c>
      <c r="F55" s="25">
        <v>172</v>
      </c>
      <c r="G55" s="25">
        <v>172</v>
      </c>
      <c r="H55" s="25">
        <v>172</v>
      </c>
      <c r="I55" s="25">
        <f t="shared" si="31"/>
        <v>207.03600000000003</v>
      </c>
      <c r="J55" s="25">
        <f t="shared" si="31"/>
        <v>207.03600000000003</v>
      </c>
      <c r="K55" s="25">
        <f t="shared" si="31"/>
        <v>207.03600000000003</v>
      </c>
      <c r="L55" s="25">
        <f t="shared" si="31"/>
        <v>207.03600000000003</v>
      </c>
      <c r="M55" s="25">
        <v>172</v>
      </c>
      <c r="N55" s="25">
        <v>172</v>
      </c>
      <c r="O55" s="25">
        <v>172</v>
      </c>
      <c r="P55" s="25">
        <v>172</v>
      </c>
      <c r="Q55" s="25">
        <v>172</v>
      </c>
      <c r="R55" s="25">
        <v>172</v>
      </c>
      <c r="S55" s="25">
        <v>172</v>
      </c>
      <c r="T55" s="25">
        <v>172</v>
      </c>
      <c r="U55" s="25">
        <v>172</v>
      </c>
      <c r="V55" s="25">
        <v>172</v>
      </c>
      <c r="W55" s="25">
        <v>172</v>
      </c>
      <c r="X55" s="25">
        <v>172</v>
      </c>
      <c r="Y55" s="25">
        <v>172</v>
      </c>
      <c r="Z55" s="25">
        <v>172</v>
      </c>
      <c r="AA55" s="25">
        <v>172</v>
      </c>
      <c r="AB55" s="25">
        <v>172</v>
      </c>
      <c r="AC55" s="25">
        <v>172</v>
      </c>
      <c r="AD55" s="25">
        <v>172</v>
      </c>
      <c r="AE55" s="25">
        <v>172</v>
      </c>
      <c r="AF55" s="25">
        <v>172</v>
      </c>
      <c r="AG55" s="25">
        <v>172</v>
      </c>
      <c r="AH55" s="25">
        <v>172</v>
      </c>
      <c r="AI55" s="25">
        <v>172</v>
      </c>
      <c r="AJ55" s="25">
        <v>172</v>
      </c>
      <c r="AK55" s="25">
        <v>172</v>
      </c>
      <c r="AL55" s="25">
        <v>172</v>
      </c>
      <c r="AM55" s="25">
        <v>172</v>
      </c>
      <c r="AN55" s="25">
        <v>172</v>
      </c>
      <c r="AO55" s="25">
        <v>172</v>
      </c>
      <c r="AP55" s="25">
        <v>172</v>
      </c>
      <c r="AQ55" s="25">
        <v>172</v>
      </c>
      <c r="AR55" s="25">
        <f t="shared" si="32"/>
        <v>207.03600000000003</v>
      </c>
      <c r="AS55" s="25">
        <f t="shared" si="32"/>
        <v>207.03600000000003</v>
      </c>
      <c r="AT55" s="25">
        <f t="shared" si="32"/>
        <v>207.03600000000003</v>
      </c>
      <c r="AU55" s="25">
        <f t="shared" si="32"/>
        <v>207.03600000000003</v>
      </c>
      <c r="AV55" s="25">
        <f t="shared" si="32"/>
        <v>156.58920000000001</v>
      </c>
      <c r="AW55" s="25">
        <f t="shared" si="32"/>
        <v>156.58920000000001</v>
      </c>
      <c r="AX55" s="25">
        <f t="shared" si="32"/>
        <v>156.58920000000001</v>
      </c>
      <c r="AY55" s="25">
        <f t="shared" si="32"/>
        <v>156.58920000000001</v>
      </c>
      <c r="AZ55" s="25">
        <f t="shared" si="32"/>
        <v>156.58920000000001</v>
      </c>
      <c r="BA55" s="25">
        <f t="shared" si="32"/>
        <v>156.58920000000001</v>
      </c>
      <c r="BB55" s="25">
        <f t="shared" si="32"/>
        <v>169.29000000000002</v>
      </c>
      <c r="BC55" s="25">
        <f t="shared" si="32"/>
        <v>169.29000000000002</v>
      </c>
      <c r="BD55" s="25">
        <f t="shared" si="32"/>
        <v>169.29000000000002</v>
      </c>
      <c r="BE55" s="206"/>
      <c r="BF55" s="206"/>
      <c r="BG55" s="206"/>
      <c r="BH55" s="206"/>
      <c r="BP55" s="206"/>
    </row>
    <row r="56" spans="1:68" outlineLevel="1" x14ac:dyDescent="0.25">
      <c r="A56" s="206"/>
      <c r="B56" s="206" t="str">
        <f t="shared" si="33"/>
        <v>Secondary - Service B</v>
      </c>
      <c r="C56" s="206"/>
      <c r="D56" s="25">
        <v>0</v>
      </c>
      <c r="E56" s="25">
        <v>172</v>
      </c>
      <c r="F56" s="25">
        <v>172</v>
      </c>
      <c r="G56" s="25">
        <v>172</v>
      </c>
      <c r="H56" s="25">
        <v>172</v>
      </c>
      <c r="I56" s="25">
        <f t="shared" si="31"/>
        <v>112.914</v>
      </c>
      <c r="J56" s="25">
        <f t="shared" si="31"/>
        <v>112.914</v>
      </c>
      <c r="K56" s="25">
        <f t="shared" si="31"/>
        <v>112.914</v>
      </c>
      <c r="L56" s="25">
        <f t="shared" si="31"/>
        <v>112.914</v>
      </c>
      <c r="M56" s="25">
        <v>172</v>
      </c>
      <c r="N56" s="25">
        <v>172</v>
      </c>
      <c r="O56" s="25">
        <v>172</v>
      </c>
      <c r="P56" s="25">
        <v>172</v>
      </c>
      <c r="Q56" s="25">
        <v>172</v>
      </c>
      <c r="R56" s="25">
        <v>172</v>
      </c>
      <c r="S56" s="25">
        <v>172</v>
      </c>
      <c r="T56" s="25">
        <v>172</v>
      </c>
      <c r="U56" s="25">
        <v>172</v>
      </c>
      <c r="V56" s="25">
        <v>172</v>
      </c>
      <c r="W56" s="25">
        <v>172</v>
      </c>
      <c r="X56" s="25">
        <v>172</v>
      </c>
      <c r="Y56" s="25">
        <v>172</v>
      </c>
      <c r="Z56" s="25">
        <v>172</v>
      </c>
      <c r="AA56" s="25">
        <v>172</v>
      </c>
      <c r="AB56" s="25">
        <v>172</v>
      </c>
      <c r="AC56" s="25">
        <v>172</v>
      </c>
      <c r="AD56" s="25">
        <v>172</v>
      </c>
      <c r="AE56" s="25">
        <v>172</v>
      </c>
      <c r="AF56" s="25">
        <v>172</v>
      </c>
      <c r="AG56" s="25">
        <v>172</v>
      </c>
      <c r="AH56" s="25">
        <v>172</v>
      </c>
      <c r="AI56" s="25">
        <v>172</v>
      </c>
      <c r="AJ56" s="25">
        <v>172</v>
      </c>
      <c r="AK56" s="25">
        <v>172</v>
      </c>
      <c r="AL56" s="25">
        <v>172</v>
      </c>
      <c r="AM56" s="25">
        <v>172</v>
      </c>
      <c r="AN56" s="25">
        <v>172</v>
      </c>
      <c r="AO56" s="25">
        <v>172</v>
      </c>
      <c r="AP56" s="25">
        <v>172</v>
      </c>
      <c r="AQ56" s="25">
        <v>172</v>
      </c>
      <c r="AR56" s="25">
        <f t="shared" si="32"/>
        <v>112.914</v>
      </c>
      <c r="AS56" s="25">
        <f t="shared" si="32"/>
        <v>112.914</v>
      </c>
      <c r="AT56" s="25">
        <f t="shared" si="32"/>
        <v>112.914</v>
      </c>
      <c r="AU56" s="25">
        <f t="shared" si="32"/>
        <v>112.914</v>
      </c>
      <c r="AV56" s="25">
        <f t="shared" si="32"/>
        <v>115.182</v>
      </c>
      <c r="AW56" s="25">
        <f t="shared" si="32"/>
        <v>115.182</v>
      </c>
      <c r="AX56" s="25">
        <f t="shared" si="32"/>
        <v>115.182</v>
      </c>
      <c r="AY56" s="25">
        <f t="shared" si="32"/>
        <v>115.182</v>
      </c>
      <c r="AZ56" s="25">
        <f t="shared" si="32"/>
        <v>115.182</v>
      </c>
      <c r="BA56" s="25">
        <f t="shared" si="32"/>
        <v>115.182</v>
      </c>
      <c r="BB56" s="25">
        <f t="shared" si="32"/>
        <v>169.29000000000002</v>
      </c>
      <c r="BC56" s="25">
        <f t="shared" si="32"/>
        <v>169.29000000000002</v>
      </c>
      <c r="BD56" s="25">
        <f t="shared" si="32"/>
        <v>169.29000000000002</v>
      </c>
      <c r="BE56" s="206"/>
      <c r="BF56" s="206"/>
      <c r="BG56" s="206"/>
      <c r="BH56" s="206"/>
      <c r="BP56" s="206"/>
    </row>
    <row r="57" spans="1:68" outlineLevel="1" x14ac:dyDescent="0.25">
      <c r="A57" s="206"/>
      <c r="B57" s="206" t="str">
        <f t="shared" si="33"/>
        <v>Secondary - Service C</v>
      </c>
      <c r="C57" s="206"/>
      <c r="D57" s="25">
        <v>0</v>
      </c>
      <c r="E57" s="25">
        <v>169</v>
      </c>
      <c r="F57" s="25">
        <v>169</v>
      </c>
      <c r="G57" s="25">
        <v>169</v>
      </c>
      <c r="H57" s="25">
        <v>169</v>
      </c>
      <c r="I57" s="25">
        <v>176.364</v>
      </c>
      <c r="J57" s="25">
        <v>176.364</v>
      </c>
      <c r="K57" s="25">
        <v>176.364</v>
      </c>
      <c r="L57" s="25">
        <v>176.364</v>
      </c>
      <c r="M57" s="25">
        <v>169</v>
      </c>
      <c r="N57" s="25">
        <v>169</v>
      </c>
      <c r="O57" s="25">
        <v>169</v>
      </c>
      <c r="P57" s="25">
        <v>169</v>
      </c>
      <c r="Q57" s="25">
        <v>169</v>
      </c>
      <c r="R57" s="25">
        <v>169</v>
      </c>
      <c r="S57" s="25">
        <v>169</v>
      </c>
      <c r="T57" s="25">
        <v>169</v>
      </c>
      <c r="U57" s="25">
        <v>169</v>
      </c>
      <c r="V57" s="25">
        <v>169</v>
      </c>
      <c r="W57" s="25">
        <v>169</v>
      </c>
      <c r="X57" s="25">
        <v>169</v>
      </c>
      <c r="Y57" s="25">
        <v>169</v>
      </c>
      <c r="Z57" s="25">
        <v>169</v>
      </c>
      <c r="AA57" s="25">
        <v>169</v>
      </c>
      <c r="AB57" s="25">
        <v>169</v>
      </c>
      <c r="AC57" s="25">
        <v>169</v>
      </c>
      <c r="AD57" s="25">
        <v>169</v>
      </c>
      <c r="AE57" s="25">
        <v>169</v>
      </c>
      <c r="AF57" s="25">
        <v>169</v>
      </c>
      <c r="AG57" s="25">
        <v>169</v>
      </c>
      <c r="AH57" s="25">
        <v>169</v>
      </c>
      <c r="AI57" s="25">
        <v>169</v>
      </c>
      <c r="AJ57" s="25">
        <v>169</v>
      </c>
      <c r="AK57" s="25">
        <v>169</v>
      </c>
      <c r="AL57" s="25">
        <v>169</v>
      </c>
      <c r="AM57" s="25">
        <v>169</v>
      </c>
      <c r="AN57" s="25">
        <v>169</v>
      </c>
      <c r="AO57" s="25">
        <v>169</v>
      </c>
      <c r="AP57" s="25">
        <v>169</v>
      </c>
      <c r="AQ57" s="25">
        <v>169</v>
      </c>
      <c r="AR57" s="25">
        <f t="shared" ref="AR57" si="36">AR47*1.35</f>
        <v>207.03600000000003</v>
      </c>
      <c r="AS57" s="25">
        <v>176.364</v>
      </c>
      <c r="AT57" s="25">
        <v>176.364</v>
      </c>
      <c r="AU57" s="25">
        <v>176.364</v>
      </c>
      <c r="AV57" s="25">
        <v>176.364</v>
      </c>
      <c r="AW57" s="25">
        <v>176.364</v>
      </c>
      <c r="AX57" s="25">
        <v>176.364</v>
      </c>
      <c r="AY57" s="25">
        <v>176.364</v>
      </c>
      <c r="AZ57" s="25">
        <v>176.364</v>
      </c>
      <c r="BA57" s="25">
        <v>176.364</v>
      </c>
      <c r="BB57" s="25">
        <v>176.364</v>
      </c>
      <c r="BC57" s="25">
        <v>176.364</v>
      </c>
      <c r="BD57" s="25">
        <v>176.364</v>
      </c>
      <c r="BE57" s="206"/>
      <c r="BF57" s="206"/>
      <c r="BG57" s="206"/>
      <c r="BH57" s="206"/>
      <c r="BP57" s="206"/>
    </row>
    <row r="58" spans="1:68" outlineLevel="1" x14ac:dyDescent="0.25">
      <c r="A58" s="206"/>
      <c r="B58" s="206" t="str">
        <f t="shared" si="33"/>
        <v>Tertiary Direct Staff - Service A Hours</v>
      </c>
      <c r="C58" s="206"/>
      <c r="D58" s="25">
        <v>0</v>
      </c>
      <c r="E58" s="25">
        <f t="shared" ref="E58:AJ58" si="37">E48*1.7</f>
        <v>345.50799999999998</v>
      </c>
      <c r="F58" s="25">
        <f t="shared" si="37"/>
        <v>345.50799999999998</v>
      </c>
      <c r="G58" s="25">
        <f t="shared" si="37"/>
        <v>345.50799999999998</v>
      </c>
      <c r="H58" s="25">
        <f t="shared" si="37"/>
        <v>345.50799999999998</v>
      </c>
      <c r="I58" s="25">
        <f t="shared" si="37"/>
        <v>217.97399999999999</v>
      </c>
      <c r="J58" s="25">
        <f t="shared" si="37"/>
        <v>217.97399999999999</v>
      </c>
      <c r="K58" s="25">
        <f t="shared" si="37"/>
        <v>217.97399999999999</v>
      </c>
      <c r="L58" s="25">
        <f t="shared" si="37"/>
        <v>217.97399999999999</v>
      </c>
      <c r="M58" s="25">
        <f t="shared" si="37"/>
        <v>471.61841999999996</v>
      </c>
      <c r="N58" s="25">
        <f t="shared" si="37"/>
        <v>471.61841999999996</v>
      </c>
      <c r="O58" s="25">
        <f t="shared" si="37"/>
        <v>471.61841999999996</v>
      </c>
      <c r="P58" s="25">
        <f t="shared" si="37"/>
        <v>471.61841999999996</v>
      </c>
      <c r="Q58" s="25">
        <f t="shared" si="37"/>
        <v>471.61841999999996</v>
      </c>
      <c r="R58" s="25">
        <f t="shared" si="37"/>
        <v>471.61841999999996</v>
      </c>
      <c r="S58" s="25">
        <f t="shared" si="37"/>
        <v>471.61841999999996</v>
      </c>
      <c r="T58" s="25">
        <f t="shared" si="37"/>
        <v>471.61841999999996</v>
      </c>
      <c r="U58" s="25">
        <f t="shared" si="37"/>
        <v>471.61841999999996</v>
      </c>
      <c r="V58" s="25">
        <f t="shared" si="37"/>
        <v>471.61841999999996</v>
      </c>
      <c r="W58" s="25">
        <f t="shared" si="37"/>
        <v>471.61841999999996</v>
      </c>
      <c r="X58" s="25">
        <f t="shared" si="37"/>
        <v>345.50799999999998</v>
      </c>
      <c r="Y58" s="25">
        <f t="shared" si="37"/>
        <v>345.50799999999998</v>
      </c>
      <c r="Z58" s="25">
        <f t="shared" si="37"/>
        <v>345.50799999999998</v>
      </c>
      <c r="AA58" s="25">
        <f t="shared" si="37"/>
        <v>345.50799999999998</v>
      </c>
      <c r="AB58" s="25">
        <f t="shared" si="37"/>
        <v>345.50799999999998</v>
      </c>
      <c r="AC58" s="25">
        <f t="shared" si="37"/>
        <v>345.50799999999998</v>
      </c>
      <c r="AD58" s="25">
        <f t="shared" si="37"/>
        <v>345.50799999999998</v>
      </c>
      <c r="AE58" s="25">
        <f t="shared" si="37"/>
        <v>345.50799999999998</v>
      </c>
      <c r="AF58" s="25">
        <f t="shared" si="37"/>
        <v>345.50799999999998</v>
      </c>
      <c r="AG58" s="25">
        <f t="shared" si="37"/>
        <v>345.50799999999998</v>
      </c>
      <c r="AH58" s="25">
        <f t="shared" si="37"/>
        <v>345.50799999999998</v>
      </c>
      <c r="AI58" s="25">
        <f t="shared" si="37"/>
        <v>345.50799999999998</v>
      </c>
      <c r="AJ58" s="25">
        <f t="shared" si="37"/>
        <v>345.50799999999998</v>
      </c>
      <c r="AK58" s="25">
        <f t="shared" ref="AK58:BD58" si="38">AK48*1.7</f>
        <v>345.50799999999998</v>
      </c>
      <c r="AL58" s="25">
        <f t="shared" si="38"/>
        <v>345.50799999999998</v>
      </c>
      <c r="AM58" s="25">
        <f t="shared" si="38"/>
        <v>345.50799999999998</v>
      </c>
      <c r="AN58" s="25">
        <f t="shared" si="38"/>
        <v>345.50799999999998</v>
      </c>
      <c r="AO58" s="25">
        <f t="shared" si="38"/>
        <v>345.50799999999998</v>
      </c>
      <c r="AP58" s="25">
        <f t="shared" si="38"/>
        <v>345.50799999999998</v>
      </c>
      <c r="AQ58" s="25">
        <f t="shared" si="38"/>
        <v>345.50799999999998</v>
      </c>
      <c r="AR58" s="25">
        <f t="shared" si="38"/>
        <v>217.6</v>
      </c>
      <c r="AS58" s="25">
        <f t="shared" si="38"/>
        <v>217.97399999999999</v>
      </c>
      <c r="AT58" s="25">
        <f t="shared" si="38"/>
        <v>217.97399999999999</v>
      </c>
      <c r="AU58" s="25">
        <f t="shared" si="38"/>
        <v>217.97399999999999</v>
      </c>
      <c r="AV58" s="25">
        <f t="shared" si="38"/>
        <v>226.678</v>
      </c>
      <c r="AW58" s="25">
        <f t="shared" si="38"/>
        <v>226.678</v>
      </c>
      <c r="AX58" s="25">
        <f t="shared" si="38"/>
        <v>226.678</v>
      </c>
      <c r="AY58" s="25">
        <f t="shared" si="38"/>
        <v>226.678</v>
      </c>
      <c r="AZ58" s="25">
        <f t="shared" si="38"/>
        <v>226.678</v>
      </c>
      <c r="BA58" s="25">
        <f t="shared" si="38"/>
        <v>226.678</v>
      </c>
      <c r="BB58" s="25">
        <f t="shared" si="38"/>
        <v>245.98999999999998</v>
      </c>
      <c r="BC58" s="25">
        <f t="shared" si="38"/>
        <v>245.98999999999998</v>
      </c>
      <c r="BD58" s="25">
        <f t="shared" si="38"/>
        <v>245.98999999999998</v>
      </c>
      <c r="BE58" s="206"/>
      <c r="BF58" s="206"/>
      <c r="BG58" s="206"/>
      <c r="BH58" s="206"/>
      <c r="BP58" s="206"/>
    </row>
    <row r="59" spans="1:68" outlineLevel="1" x14ac:dyDescent="0.25">
      <c r="A59" s="206"/>
      <c r="B59" s="206" t="str">
        <f t="shared" si="33"/>
        <v>Tertiary Direct Staff - Service B Hours</v>
      </c>
      <c r="C59" s="206"/>
      <c r="D59" s="25">
        <v>0</v>
      </c>
      <c r="E59" s="25">
        <f t="shared" ref="E59:AJ59" si="39">E49*1.7</f>
        <v>400.11200000000002</v>
      </c>
      <c r="F59" s="25">
        <f t="shared" si="39"/>
        <v>400.11200000000002</v>
      </c>
      <c r="G59" s="25">
        <f t="shared" si="39"/>
        <v>400.11200000000002</v>
      </c>
      <c r="H59" s="25">
        <f t="shared" si="39"/>
        <v>400.11200000000002</v>
      </c>
      <c r="I59" s="25">
        <f t="shared" si="39"/>
        <v>528.49599999999998</v>
      </c>
      <c r="J59" s="25">
        <f t="shared" si="39"/>
        <v>528.49599999999998</v>
      </c>
      <c r="K59" s="25">
        <f t="shared" si="39"/>
        <v>528.49599999999998</v>
      </c>
      <c r="L59" s="25">
        <f t="shared" si="39"/>
        <v>528.49599999999998</v>
      </c>
      <c r="M59" s="25">
        <f t="shared" si="39"/>
        <v>546.1528800000001</v>
      </c>
      <c r="N59" s="25">
        <f t="shared" si="39"/>
        <v>546.1528800000001</v>
      </c>
      <c r="O59" s="25">
        <f t="shared" si="39"/>
        <v>546.1528800000001</v>
      </c>
      <c r="P59" s="25">
        <f t="shared" si="39"/>
        <v>546.1528800000001</v>
      </c>
      <c r="Q59" s="25">
        <f t="shared" si="39"/>
        <v>546.1528800000001</v>
      </c>
      <c r="R59" s="25">
        <f t="shared" si="39"/>
        <v>546.1528800000001</v>
      </c>
      <c r="S59" s="25">
        <f t="shared" si="39"/>
        <v>546.1528800000001</v>
      </c>
      <c r="T59" s="25">
        <f t="shared" si="39"/>
        <v>546.1528800000001</v>
      </c>
      <c r="U59" s="25">
        <f t="shared" si="39"/>
        <v>546.1528800000001</v>
      </c>
      <c r="V59" s="25">
        <f t="shared" si="39"/>
        <v>546.1528800000001</v>
      </c>
      <c r="W59" s="25">
        <f t="shared" si="39"/>
        <v>546.1528800000001</v>
      </c>
      <c r="X59" s="25">
        <f t="shared" si="39"/>
        <v>400.11200000000002</v>
      </c>
      <c r="Y59" s="25">
        <f t="shared" si="39"/>
        <v>400.11200000000002</v>
      </c>
      <c r="Z59" s="25">
        <f t="shared" si="39"/>
        <v>400.11200000000002</v>
      </c>
      <c r="AA59" s="25">
        <f t="shared" si="39"/>
        <v>400.11200000000002</v>
      </c>
      <c r="AB59" s="25">
        <f t="shared" si="39"/>
        <v>400.11200000000002</v>
      </c>
      <c r="AC59" s="25">
        <f t="shared" si="39"/>
        <v>400.11200000000002</v>
      </c>
      <c r="AD59" s="25">
        <f t="shared" si="39"/>
        <v>400.11200000000002</v>
      </c>
      <c r="AE59" s="25">
        <f t="shared" si="39"/>
        <v>400.11200000000002</v>
      </c>
      <c r="AF59" s="25">
        <f t="shared" si="39"/>
        <v>400.11200000000002</v>
      </c>
      <c r="AG59" s="25">
        <f t="shared" si="39"/>
        <v>400.11200000000002</v>
      </c>
      <c r="AH59" s="25">
        <f t="shared" si="39"/>
        <v>400.11200000000002</v>
      </c>
      <c r="AI59" s="25">
        <f t="shared" si="39"/>
        <v>400.11200000000002</v>
      </c>
      <c r="AJ59" s="25">
        <f t="shared" si="39"/>
        <v>400.11200000000002</v>
      </c>
      <c r="AK59" s="25">
        <f t="shared" ref="AK59:BD59" si="40">AK49*1.7</f>
        <v>400.11200000000002</v>
      </c>
      <c r="AL59" s="25">
        <f t="shared" si="40"/>
        <v>400.11200000000002</v>
      </c>
      <c r="AM59" s="25">
        <f t="shared" si="40"/>
        <v>400.11200000000002</v>
      </c>
      <c r="AN59" s="25">
        <f t="shared" si="40"/>
        <v>400.11200000000002</v>
      </c>
      <c r="AO59" s="25">
        <f t="shared" si="40"/>
        <v>400.11200000000002</v>
      </c>
      <c r="AP59" s="25">
        <f t="shared" si="40"/>
        <v>400.11200000000002</v>
      </c>
      <c r="AQ59" s="25">
        <f t="shared" si="40"/>
        <v>400.11200000000002</v>
      </c>
      <c r="AR59" s="25">
        <f t="shared" si="40"/>
        <v>261.8</v>
      </c>
      <c r="AS59" s="25">
        <f t="shared" si="40"/>
        <v>528.49599999999998</v>
      </c>
      <c r="AT59" s="25">
        <f t="shared" si="40"/>
        <v>528.49599999999998</v>
      </c>
      <c r="AU59" s="25">
        <f t="shared" si="40"/>
        <v>528.49599999999998</v>
      </c>
      <c r="AV59" s="25">
        <f t="shared" si="40"/>
        <v>531.19900000000007</v>
      </c>
      <c r="AW59" s="25">
        <f t="shared" si="40"/>
        <v>531.19900000000007</v>
      </c>
      <c r="AX59" s="25">
        <f t="shared" si="40"/>
        <v>531.19900000000007</v>
      </c>
      <c r="AY59" s="25">
        <f t="shared" si="40"/>
        <v>531.19900000000007</v>
      </c>
      <c r="AZ59" s="25">
        <f t="shared" si="40"/>
        <v>531.19900000000007</v>
      </c>
      <c r="BA59" s="25">
        <f t="shared" si="40"/>
        <v>531.19900000000007</v>
      </c>
      <c r="BB59" s="25">
        <f t="shared" si="40"/>
        <v>399.90800000000002</v>
      </c>
      <c r="BC59" s="25">
        <f t="shared" si="40"/>
        <v>399.90800000000002</v>
      </c>
      <c r="BD59" s="25">
        <f t="shared" si="40"/>
        <v>399.90800000000002</v>
      </c>
      <c r="BE59" s="206"/>
      <c r="BF59" s="206"/>
      <c r="BG59" s="206"/>
      <c r="BH59" s="206"/>
      <c r="BP59" s="206"/>
    </row>
    <row r="60" spans="1:68" outlineLevel="1" x14ac:dyDescent="0.25">
      <c r="A60" s="206"/>
      <c r="B60" s="206" t="str">
        <f t="shared" si="33"/>
        <v>Quaternary Direct Staff - Service A Hours</v>
      </c>
      <c r="C60" s="206"/>
      <c r="D60" s="25">
        <v>0</v>
      </c>
      <c r="E60" s="25">
        <v>181.75</v>
      </c>
      <c r="F60" s="25">
        <v>181.75</v>
      </c>
      <c r="G60" s="25">
        <v>181.75</v>
      </c>
      <c r="H60" s="25">
        <v>181.75</v>
      </c>
      <c r="I60" s="25">
        <v>181.75</v>
      </c>
      <c r="J60" s="25">
        <v>181.75</v>
      </c>
      <c r="K60" s="25">
        <v>181.75</v>
      </c>
      <c r="L60" s="25">
        <v>181.75</v>
      </c>
      <c r="M60" s="25">
        <v>181.75</v>
      </c>
      <c r="N60" s="25">
        <v>181.75</v>
      </c>
      <c r="O60" s="25">
        <v>181.75</v>
      </c>
      <c r="P60" s="25">
        <v>181.75</v>
      </c>
      <c r="Q60" s="25">
        <v>181.75</v>
      </c>
      <c r="R60" s="25">
        <v>181.75</v>
      </c>
      <c r="S60" s="25">
        <v>181.75</v>
      </c>
      <c r="T60" s="25">
        <v>181.75</v>
      </c>
      <c r="U60" s="25">
        <v>181.75</v>
      </c>
      <c r="V60" s="25">
        <v>181.75</v>
      </c>
      <c r="W60" s="25">
        <v>181.75</v>
      </c>
      <c r="X60" s="25">
        <v>181.75</v>
      </c>
      <c r="Y60" s="25">
        <v>181.75</v>
      </c>
      <c r="Z60" s="25">
        <v>181.75</v>
      </c>
      <c r="AA60" s="25">
        <v>181.75</v>
      </c>
      <c r="AB60" s="25">
        <v>181.75</v>
      </c>
      <c r="AC60" s="25">
        <v>181.75</v>
      </c>
      <c r="AD60" s="25">
        <v>181.75</v>
      </c>
      <c r="AE60" s="25">
        <v>181.75</v>
      </c>
      <c r="AF60" s="25">
        <v>181.75</v>
      </c>
      <c r="AG60" s="25">
        <v>181.75</v>
      </c>
      <c r="AH60" s="25">
        <v>181.75</v>
      </c>
      <c r="AI60" s="25">
        <v>181.75</v>
      </c>
      <c r="AJ60" s="25">
        <v>181.75</v>
      </c>
      <c r="AK60" s="25">
        <v>181.75</v>
      </c>
      <c r="AL60" s="25">
        <v>181.75</v>
      </c>
      <c r="AM60" s="25">
        <v>181.75</v>
      </c>
      <c r="AN60" s="25">
        <v>181.75</v>
      </c>
      <c r="AO60" s="25">
        <v>181.75</v>
      </c>
      <c r="AP60" s="25">
        <v>181.75</v>
      </c>
      <c r="AQ60" s="25">
        <v>181.75</v>
      </c>
      <c r="AR60" s="25">
        <v>181.75</v>
      </c>
      <c r="AS60" s="25">
        <v>181.75</v>
      </c>
      <c r="AT60" s="25">
        <v>181.75</v>
      </c>
      <c r="AU60" s="25">
        <v>181.75</v>
      </c>
      <c r="AV60" s="25">
        <v>181.75</v>
      </c>
      <c r="AW60" s="25">
        <v>181.75</v>
      </c>
      <c r="AX60" s="25">
        <v>181.75</v>
      </c>
      <c r="AY60" s="25">
        <v>181.75</v>
      </c>
      <c r="AZ60" s="25">
        <v>181.75</v>
      </c>
      <c r="BA60" s="25">
        <v>181.75</v>
      </c>
      <c r="BB60" s="25">
        <v>181.75</v>
      </c>
      <c r="BC60" s="25">
        <v>181.75</v>
      </c>
      <c r="BD60" s="25">
        <v>181.75</v>
      </c>
      <c r="BE60" s="206"/>
      <c r="BF60" s="206"/>
      <c r="BG60" s="206"/>
      <c r="BH60" s="206"/>
      <c r="BP60" s="206"/>
    </row>
    <row r="61" spans="1:68" outlineLevel="1" x14ac:dyDescent="0.25">
      <c r="A61" s="206"/>
      <c r="B61" s="206" t="str">
        <f t="shared" si="33"/>
        <v>Quinary Direct Staff - Service A Hours</v>
      </c>
      <c r="C61" s="206"/>
      <c r="D61" s="25">
        <v>0</v>
      </c>
      <c r="E61" s="25">
        <f t="shared" ref="E61:AJ61" si="41">E51*1.7</f>
        <v>280.77199999999999</v>
      </c>
      <c r="F61" s="25">
        <f t="shared" si="41"/>
        <v>280.77199999999999</v>
      </c>
      <c r="G61" s="25">
        <f t="shared" si="41"/>
        <v>280.77199999999999</v>
      </c>
      <c r="H61" s="25">
        <f t="shared" si="41"/>
        <v>280.77199999999999</v>
      </c>
      <c r="I61" s="25">
        <f t="shared" si="41"/>
        <v>208.28399999999999</v>
      </c>
      <c r="J61" s="25">
        <f t="shared" si="41"/>
        <v>208.28399999999999</v>
      </c>
      <c r="K61" s="25">
        <f t="shared" si="41"/>
        <v>208.28399999999999</v>
      </c>
      <c r="L61" s="25">
        <f t="shared" si="41"/>
        <v>208.28399999999999</v>
      </c>
      <c r="M61" s="25">
        <f t="shared" si="41"/>
        <v>383.25378000000001</v>
      </c>
      <c r="N61" s="25">
        <f t="shared" si="41"/>
        <v>383.25378000000001</v>
      </c>
      <c r="O61" s="25">
        <f t="shared" si="41"/>
        <v>383.25378000000001</v>
      </c>
      <c r="P61" s="25">
        <f t="shared" si="41"/>
        <v>383.25378000000001</v>
      </c>
      <c r="Q61" s="25">
        <f t="shared" si="41"/>
        <v>383.25378000000001</v>
      </c>
      <c r="R61" s="25">
        <f t="shared" si="41"/>
        <v>383.25378000000001</v>
      </c>
      <c r="S61" s="25">
        <f t="shared" si="41"/>
        <v>383.25378000000001</v>
      </c>
      <c r="T61" s="25">
        <f t="shared" si="41"/>
        <v>383.25378000000001</v>
      </c>
      <c r="U61" s="25">
        <f t="shared" si="41"/>
        <v>383.25378000000001</v>
      </c>
      <c r="V61" s="25">
        <f t="shared" si="41"/>
        <v>383.25378000000001</v>
      </c>
      <c r="W61" s="25">
        <f t="shared" si="41"/>
        <v>383.25378000000001</v>
      </c>
      <c r="X61" s="25">
        <f t="shared" si="41"/>
        <v>280.77199999999999</v>
      </c>
      <c r="Y61" s="25">
        <f t="shared" si="41"/>
        <v>280.77199999999999</v>
      </c>
      <c r="Z61" s="25">
        <f t="shared" si="41"/>
        <v>280.77199999999999</v>
      </c>
      <c r="AA61" s="25">
        <f t="shared" si="41"/>
        <v>280.77199999999999</v>
      </c>
      <c r="AB61" s="25">
        <f t="shared" si="41"/>
        <v>280.77199999999999</v>
      </c>
      <c r="AC61" s="25">
        <f t="shared" si="41"/>
        <v>280.77199999999999</v>
      </c>
      <c r="AD61" s="25">
        <f t="shared" si="41"/>
        <v>280.77199999999999</v>
      </c>
      <c r="AE61" s="25">
        <f t="shared" si="41"/>
        <v>280.77199999999999</v>
      </c>
      <c r="AF61" s="25">
        <f t="shared" si="41"/>
        <v>280.77199999999999</v>
      </c>
      <c r="AG61" s="25">
        <f t="shared" si="41"/>
        <v>280.77199999999999</v>
      </c>
      <c r="AH61" s="25">
        <f t="shared" si="41"/>
        <v>280.77199999999999</v>
      </c>
      <c r="AI61" s="25">
        <f t="shared" si="41"/>
        <v>280.77199999999999</v>
      </c>
      <c r="AJ61" s="25">
        <f t="shared" si="41"/>
        <v>280.77199999999999</v>
      </c>
      <c r="AK61" s="25">
        <f t="shared" ref="AK61:BD61" si="42">AK51*1.7</f>
        <v>280.77199999999999</v>
      </c>
      <c r="AL61" s="25">
        <f t="shared" si="42"/>
        <v>280.77199999999999</v>
      </c>
      <c r="AM61" s="25">
        <f t="shared" si="42"/>
        <v>280.77199999999999</v>
      </c>
      <c r="AN61" s="25">
        <f t="shared" si="42"/>
        <v>280.77199999999999</v>
      </c>
      <c r="AO61" s="25">
        <f t="shared" si="42"/>
        <v>280.77199999999999</v>
      </c>
      <c r="AP61" s="25">
        <f t="shared" si="42"/>
        <v>280.77199999999999</v>
      </c>
      <c r="AQ61" s="25">
        <f t="shared" si="42"/>
        <v>280.77199999999999</v>
      </c>
      <c r="AR61" s="25">
        <f t="shared" si="42"/>
        <v>207.80799999999999</v>
      </c>
      <c r="AS61" s="25">
        <f t="shared" si="42"/>
        <v>208.28399999999999</v>
      </c>
      <c r="AT61" s="25">
        <f t="shared" si="42"/>
        <v>208.28399999999999</v>
      </c>
      <c r="AU61" s="25">
        <f t="shared" si="42"/>
        <v>208.28399999999999</v>
      </c>
      <c r="AV61" s="25">
        <f t="shared" si="42"/>
        <v>168.946</v>
      </c>
      <c r="AW61" s="25">
        <f t="shared" si="42"/>
        <v>168.946</v>
      </c>
      <c r="AX61" s="25">
        <f t="shared" si="42"/>
        <v>168.946</v>
      </c>
      <c r="AY61" s="25">
        <f t="shared" si="42"/>
        <v>168.946</v>
      </c>
      <c r="AZ61" s="25">
        <f t="shared" si="42"/>
        <v>168.946</v>
      </c>
      <c r="BA61" s="25">
        <f t="shared" si="42"/>
        <v>168.946</v>
      </c>
      <c r="BB61" s="25">
        <f t="shared" si="42"/>
        <v>264.79199999999997</v>
      </c>
      <c r="BC61" s="25">
        <f t="shared" si="42"/>
        <v>264.79199999999997</v>
      </c>
      <c r="BD61" s="25">
        <f t="shared" si="42"/>
        <v>264.79199999999997</v>
      </c>
      <c r="BE61" s="206"/>
      <c r="BF61" s="206"/>
      <c r="BG61" s="206"/>
      <c r="BH61" s="206"/>
      <c r="BP61" s="206"/>
    </row>
    <row r="62" spans="1:68" outlineLevel="1" x14ac:dyDescent="0.25">
      <c r="A62" s="206"/>
      <c r="B62" s="23" t="s">
        <v>455</v>
      </c>
      <c r="C62" s="206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06"/>
      <c r="BF62" s="206"/>
      <c r="BG62" s="206"/>
      <c r="BH62" s="206"/>
      <c r="BP62" s="206"/>
    </row>
    <row r="63" spans="1:68" outlineLevel="1" x14ac:dyDescent="0.25">
      <c r="A63" s="206"/>
      <c r="B63" s="206" t="s">
        <v>449</v>
      </c>
      <c r="C63" s="206"/>
      <c r="D63" s="25">
        <v>0</v>
      </c>
      <c r="E63" s="25">
        <v>125</v>
      </c>
      <c r="F63" s="25">
        <v>125</v>
      </c>
      <c r="G63" s="25">
        <v>125</v>
      </c>
      <c r="H63" s="25">
        <v>125</v>
      </c>
      <c r="I63" s="25">
        <v>75.12</v>
      </c>
      <c r="J63" s="25">
        <v>75.12</v>
      </c>
      <c r="K63" s="25">
        <v>74.44</v>
      </c>
      <c r="L63" s="25">
        <v>75.12</v>
      </c>
      <c r="M63" s="25">
        <v>125</v>
      </c>
      <c r="N63" s="25">
        <v>125</v>
      </c>
      <c r="O63" s="25">
        <v>125</v>
      </c>
      <c r="P63" s="25">
        <v>125</v>
      </c>
      <c r="Q63" s="25">
        <v>125</v>
      </c>
      <c r="R63" s="25">
        <v>125</v>
      </c>
      <c r="S63" s="25">
        <v>125</v>
      </c>
      <c r="T63" s="25">
        <v>125</v>
      </c>
      <c r="U63" s="25">
        <v>125</v>
      </c>
      <c r="V63" s="25">
        <v>125</v>
      </c>
      <c r="W63" s="25">
        <v>125</v>
      </c>
      <c r="X63" s="25">
        <v>125</v>
      </c>
      <c r="Y63" s="25">
        <v>125</v>
      </c>
      <c r="Z63" s="25">
        <v>125</v>
      </c>
      <c r="AA63" s="25">
        <v>125</v>
      </c>
      <c r="AB63" s="25">
        <v>125</v>
      </c>
      <c r="AC63" s="25">
        <v>125</v>
      </c>
      <c r="AD63" s="25">
        <v>125</v>
      </c>
      <c r="AE63" s="25">
        <v>125</v>
      </c>
      <c r="AF63" s="25">
        <v>125</v>
      </c>
      <c r="AG63" s="25">
        <v>125</v>
      </c>
      <c r="AH63" s="25">
        <v>125</v>
      </c>
      <c r="AI63" s="25">
        <v>125</v>
      </c>
      <c r="AJ63" s="25">
        <v>125</v>
      </c>
      <c r="AK63" s="25">
        <v>125</v>
      </c>
      <c r="AL63" s="25">
        <v>125</v>
      </c>
      <c r="AM63" s="25">
        <v>125</v>
      </c>
      <c r="AN63" s="25">
        <v>125</v>
      </c>
      <c r="AO63" s="25">
        <v>125</v>
      </c>
      <c r="AP63" s="25">
        <v>125</v>
      </c>
      <c r="AQ63" s="25">
        <v>125</v>
      </c>
      <c r="AR63" s="25">
        <v>75.12</v>
      </c>
      <c r="AS63" s="25">
        <v>75.12</v>
      </c>
      <c r="AT63" s="25">
        <v>75.12</v>
      </c>
      <c r="AU63" s="25">
        <v>75.12</v>
      </c>
      <c r="AV63" s="25">
        <v>83.24</v>
      </c>
      <c r="AW63" s="25">
        <v>83.24</v>
      </c>
      <c r="AX63" s="25">
        <v>83.24</v>
      </c>
      <c r="AY63" s="25">
        <v>83.24</v>
      </c>
      <c r="AZ63" s="25">
        <v>83.24</v>
      </c>
      <c r="BA63" s="25">
        <v>83.24</v>
      </c>
      <c r="BB63" s="25">
        <f>21.32*4</f>
        <v>85.28</v>
      </c>
      <c r="BC63" s="25">
        <f>21.32*4</f>
        <v>85.28</v>
      </c>
      <c r="BD63" s="25">
        <f>21.32*4</f>
        <v>85.28</v>
      </c>
      <c r="BE63" s="206"/>
      <c r="BF63" s="206"/>
      <c r="BG63" s="206"/>
      <c r="BH63" s="206"/>
      <c r="BP63" s="206"/>
    </row>
    <row r="64" spans="1:68" outlineLevel="1" x14ac:dyDescent="0.25">
      <c r="A64" s="206"/>
      <c r="B64" s="206" t="s">
        <v>450</v>
      </c>
      <c r="C64" s="206"/>
      <c r="D64" s="25">
        <v>0</v>
      </c>
      <c r="E64" s="25">
        <f>4.8*4*2</f>
        <v>38.4</v>
      </c>
      <c r="F64" s="25">
        <f t="shared" ref="F64:H64" si="43">4.8*4*2</f>
        <v>38.4</v>
      </c>
      <c r="G64" s="25">
        <f t="shared" si="43"/>
        <v>38.4</v>
      </c>
      <c r="H64" s="25">
        <f t="shared" si="43"/>
        <v>38.4</v>
      </c>
      <c r="I64" s="25">
        <f>27.84*2</f>
        <v>55.68</v>
      </c>
      <c r="J64" s="25">
        <f t="shared" ref="J64:L64" si="44">27.84*2</f>
        <v>55.68</v>
      </c>
      <c r="K64" s="25">
        <f t="shared" si="44"/>
        <v>55.68</v>
      </c>
      <c r="L64" s="25">
        <f t="shared" si="44"/>
        <v>55.68</v>
      </c>
      <c r="M64" s="25">
        <f>19.2*2</f>
        <v>38.4</v>
      </c>
      <c r="N64" s="25">
        <f t="shared" ref="N64:AQ64" si="45">19.2*2</f>
        <v>38.4</v>
      </c>
      <c r="O64" s="25">
        <f t="shared" si="45"/>
        <v>38.4</v>
      </c>
      <c r="P64" s="25">
        <f t="shared" si="45"/>
        <v>38.4</v>
      </c>
      <c r="Q64" s="25">
        <f t="shared" si="45"/>
        <v>38.4</v>
      </c>
      <c r="R64" s="25">
        <f t="shared" si="45"/>
        <v>38.4</v>
      </c>
      <c r="S64" s="25">
        <f t="shared" si="45"/>
        <v>38.4</v>
      </c>
      <c r="T64" s="25">
        <f t="shared" si="45"/>
        <v>38.4</v>
      </c>
      <c r="U64" s="25">
        <f t="shared" si="45"/>
        <v>38.4</v>
      </c>
      <c r="V64" s="25">
        <f t="shared" si="45"/>
        <v>38.4</v>
      </c>
      <c r="W64" s="25">
        <f t="shared" si="45"/>
        <v>38.4</v>
      </c>
      <c r="X64" s="25">
        <f t="shared" si="45"/>
        <v>38.4</v>
      </c>
      <c r="Y64" s="25">
        <f t="shared" si="45"/>
        <v>38.4</v>
      </c>
      <c r="Z64" s="25">
        <f t="shared" si="45"/>
        <v>38.4</v>
      </c>
      <c r="AA64" s="25">
        <f t="shared" si="45"/>
        <v>38.4</v>
      </c>
      <c r="AB64" s="25">
        <f t="shared" si="45"/>
        <v>38.4</v>
      </c>
      <c r="AC64" s="25">
        <f t="shared" si="45"/>
        <v>38.4</v>
      </c>
      <c r="AD64" s="25">
        <f t="shared" si="45"/>
        <v>38.4</v>
      </c>
      <c r="AE64" s="25">
        <f t="shared" si="45"/>
        <v>38.4</v>
      </c>
      <c r="AF64" s="25">
        <f t="shared" si="45"/>
        <v>38.4</v>
      </c>
      <c r="AG64" s="25">
        <f t="shared" si="45"/>
        <v>38.4</v>
      </c>
      <c r="AH64" s="25">
        <f t="shared" si="45"/>
        <v>38.4</v>
      </c>
      <c r="AI64" s="25">
        <f t="shared" si="45"/>
        <v>38.4</v>
      </c>
      <c r="AJ64" s="25">
        <f t="shared" si="45"/>
        <v>38.4</v>
      </c>
      <c r="AK64" s="25">
        <f t="shared" si="45"/>
        <v>38.4</v>
      </c>
      <c r="AL64" s="25">
        <f t="shared" si="45"/>
        <v>38.4</v>
      </c>
      <c r="AM64" s="25">
        <f t="shared" si="45"/>
        <v>38.4</v>
      </c>
      <c r="AN64" s="25">
        <f t="shared" si="45"/>
        <v>38.4</v>
      </c>
      <c r="AO64" s="25">
        <f t="shared" si="45"/>
        <v>38.4</v>
      </c>
      <c r="AP64" s="25">
        <f t="shared" si="45"/>
        <v>38.4</v>
      </c>
      <c r="AQ64" s="25">
        <f t="shared" si="45"/>
        <v>38.4</v>
      </c>
      <c r="AR64" s="25">
        <f>27.84*2</f>
        <v>55.68</v>
      </c>
      <c r="AS64" s="25">
        <f>27.84*2</f>
        <v>55.68</v>
      </c>
      <c r="AT64" s="25">
        <f t="shared" ref="AT64:AU64" si="46">27.84*2</f>
        <v>55.68</v>
      </c>
      <c r="AU64" s="25">
        <f t="shared" si="46"/>
        <v>55.68</v>
      </c>
      <c r="AV64" s="25">
        <f>79*2</f>
        <v>158</v>
      </c>
      <c r="AW64" s="25">
        <f t="shared" ref="AW64:BA64" si="47">79*2</f>
        <v>158</v>
      </c>
      <c r="AX64" s="25">
        <f t="shared" si="47"/>
        <v>158</v>
      </c>
      <c r="AY64" s="25">
        <f t="shared" si="47"/>
        <v>158</v>
      </c>
      <c r="AZ64" s="25">
        <f t="shared" si="47"/>
        <v>158</v>
      </c>
      <c r="BA64" s="25">
        <f t="shared" si="47"/>
        <v>158</v>
      </c>
      <c r="BB64" s="25">
        <f>17.92*2</f>
        <v>35.840000000000003</v>
      </c>
      <c r="BC64" s="25">
        <f>17.92*2</f>
        <v>35.840000000000003</v>
      </c>
      <c r="BD64" s="25">
        <f>17.92*2</f>
        <v>35.840000000000003</v>
      </c>
      <c r="BE64" s="206"/>
      <c r="BF64" s="206"/>
      <c r="BG64" s="206"/>
      <c r="BH64" s="206"/>
      <c r="BP64" s="206"/>
    </row>
    <row r="65" spans="1:68" outlineLevel="1" x14ac:dyDescent="0.25">
      <c r="A65" s="206"/>
      <c r="B65" s="206" t="s">
        <v>451</v>
      </c>
      <c r="C65" s="206"/>
      <c r="D65" s="25">
        <v>0</v>
      </c>
      <c r="E65" s="25">
        <v>141.4</v>
      </c>
      <c r="F65" s="25">
        <v>141.4</v>
      </c>
      <c r="G65" s="25">
        <v>141.4</v>
      </c>
      <c r="H65" s="25">
        <v>141.4</v>
      </c>
      <c r="I65" s="25">
        <v>148.88</v>
      </c>
      <c r="J65" s="25">
        <v>148.88</v>
      </c>
      <c r="K65" s="25">
        <v>148.88</v>
      </c>
      <c r="L65" s="25">
        <v>148.88</v>
      </c>
      <c r="M65" s="25">
        <v>141.4</v>
      </c>
      <c r="N65" s="25">
        <v>141.4</v>
      </c>
      <c r="O65" s="25">
        <v>141.4</v>
      </c>
      <c r="P65" s="25">
        <v>141.4</v>
      </c>
      <c r="Q65" s="25">
        <v>141.4</v>
      </c>
      <c r="R65" s="25">
        <v>141.4</v>
      </c>
      <c r="S65" s="25">
        <v>141.4</v>
      </c>
      <c r="T65" s="25">
        <v>141.4</v>
      </c>
      <c r="U65" s="25">
        <v>141.4</v>
      </c>
      <c r="V65" s="25">
        <v>141.4</v>
      </c>
      <c r="W65" s="25">
        <v>141.4</v>
      </c>
      <c r="X65" s="25">
        <v>141.4</v>
      </c>
      <c r="Y65" s="25">
        <v>141.4</v>
      </c>
      <c r="Z65" s="25">
        <v>141.4</v>
      </c>
      <c r="AA65" s="25">
        <v>141.4</v>
      </c>
      <c r="AB65" s="25">
        <v>141.4</v>
      </c>
      <c r="AC65" s="25">
        <v>141.4</v>
      </c>
      <c r="AD65" s="25">
        <v>141.4</v>
      </c>
      <c r="AE65" s="25">
        <v>141.4</v>
      </c>
      <c r="AF65" s="25">
        <v>141.4</v>
      </c>
      <c r="AG65" s="25">
        <v>141.4</v>
      </c>
      <c r="AH65" s="25">
        <v>141.4</v>
      </c>
      <c r="AI65" s="25">
        <v>141.4</v>
      </c>
      <c r="AJ65" s="25">
        <v>141.4</v>
      </c>
      <c r="AK65" s="25">
        <v>141.4</v>
      </c>
      <c r="AL65" s="25">
        <v>141.4</v>
      </c>
      <c r="AM65" s="25">
        <v>141.4</v>
      </c>
      <c r="AN65" s="25">
        <v>141.4</v>
      </c>
      <c r="AO65" s="25">
        <v>141.4</v>
      </c>
      <c r="AP65" s="25">
        <v>141.4</v>
      </c>
      <c r="AQ65" s="25">
        <v>141.4</v>
      </c>
      <c r="AR65" s="25">
        <v>148.88</v>
      </c>
      <c r="AS65" s="25">
        <v>148.88</v>
      </c>
      <c r="AT65" s="25">
        <v>148.88</v>
      </c>
      <c r="AU65" s="25">
        <v>148.88</v>
      </c>
      <c r="AV65" s="25">
        <v>128.88</v>
      </c>
      <c r="AW65" s="25">
        <v>128.88</v>
      </c>
      <c r="AX65" s="25">
        <v>128.88</v>
      </c>
      <c r="AY65" s="25">
        <v>128.88</v>
      </c>
      <c r="AZ65" s="25">
        <v>128.88</v>
      </c>
      <c r="BA65" s="25">
        <v>128.88</v>
      </c>
      <c r="BB65" s="25">
        <f t="shared" ref="BB65:BD66" si="48">31.25*4</f>
        <v>125</v>
      </c>
      <c r="BC65" s="25">
        <f t="shared" si="48"/>
        <v>125</v>
      </c>
      <c r="BD65" s="25">
        <f t="shared" si="48"/>
        <v>125</v>
      </c>
      <c r="BE65" s="206"/>
      <c r="BF65" s="206"/>
      <c r="BG65" s="206"/>
      <c r="BH65" s="206"/>
      <c r="BP65" s="206"/>
    </row>
    <row r="66" spans="1:68" outlineLevel="1" x14ac:dyDescent="0.25">
      <c r="A66" s="206"/>
      <c r="B66" s="206" t="s">
        <v>453</v>
      </c>
      <c r="C66" s="206"/>
      <c r="D66" s="25">
        <v>0</v>
      </c>
      <c r="E66" s="25">
        <v>128.52000000000001</v>
      </c>
      <c r="F66" s="25">
        <v>128.52000000000001</v>
      </c>
      <c r="G66" s="25">
        <v>128.52000000000001</v>
      </c>
      <c r="H66" s="25">
        <v>128.52000000000001</v>
      </c>
      <c r="I66" s="25">
        <v>148.88</v>
      </c>
      <c r="J66" s="25">
        <v>148.88</v>
      </c>
      <c r="K66" s="25">
        <v>148.88</v>
      </c>
      <c r="L66" s="25">
        <v>148.88</v>
      </c>
      <c r="M66" s="25">
        <v>128.52000000000001</v>
      </c>
      <c r="N66" s="25">
        <v>128.52000000000001</v>
      </c>
      <c r="O66" s="25">
        <v>128.52000000000001</v>
      </c>
      <c r="P66" s="25">
        <v>128.52000000000001</v>
      </c>
      <c r="Q66" s="25">
        <v>128.52000000000001</v>
      </c>
      <c r="R66" s="25">
        <v>128.52000000000001</v>
      </c>
      <c r="S66" s="25">
        <v>128.52000000000001</v>
      </c>
      <c r="T66" s="25">
        <v>128.52000000000001</v>
      </c>
      <c r="U66" s="25">
        <v>128.52000000000001</v>
      </c>
      <c r="V66" s="25">
        <v>128.52000000000001</v>
      </c>
      <c r="W66" s="25">
        <v>128.52000000000001</v>
      </c>
      <c r="X66" s="25">
        <v>128.52000000000001</v>
      </c>
      <c r="Y66" s="25">
        <v>128.52000000000001</v>
      </c>
      <c r="Z66" s="25">
        <v>128.52000000000001</v>
      </c>
      <c r="AA66" s="25">
        <v>128.52000000000001</v>
      </c>
      <c r="AB66" s="25">
        <v>128.52000000000001</v>
      </c>
      <c r="AC66" s="25">
        <v>128.52000000000001</v>
      </c>
      <c r="AD66" s="25">
        <v>128.52000000000001</v>
      </c>
      <c r="AE66" s="25">
        <v>128.52000000000001</v>
      </c>
      <c r="AF66" s="25">
        <v>128.52000000000001</v>
      </c>
      <c r="AG66" s="25">
        <v>128.52000000000001</v>
      </c>
      <c r="AH66" s="25">
        <v>128.52000000000001</v>
      </c>
      <c r="AI66" s="25">
        <v>128.52000000000001</v>
      </c>
      <c r="AJ66" s="25">
        <v>128.52000000000001</v>
      </c>
      <c r="AK66" s="25">
        <v>128.52000000000001</v>
      </c>
      <c r="AL66" s="25">
        <v>128.52000000000001</v>
      </c>
      <c r="AM66" s="25">
        <v>128.52000000000001</v>
      </c>
      <c r="AN66" s="25">
        <v>128.52000000000001</v>
      </c>
      <c r="AO66" s="25">
        <v>128.52000000000001</v>
      </c>
      <c r="AP66" s="25">
        <v>128.52000000000001</v>
      </c>
      <c r="AQ66" s="25">
        <v>128.52000000000001</v>
      </c>
      <c r="AR66" s="25">
        <v>148.88</v>
      </c>
      <c r="AS66" s="25">
        <v>148.88</v>
      </c>
      <c r="AT66" s="25">
        <v>148.88</v>
      </c>
      <c r="AU66" s="25">
        <v>148.88</v>
      </c>
      <c r="AV66" s="25">
        <v>125</v>
      </c>
      <c r="AW66" s="25">
        <v>125</v>
      </c>
      <c r="AX66" s="25">
        <v>125</v>
      </c>
      <c r="AY66" s="25">
        <v>125</v>
      </c>
      <c r="AZ66" s="25">
        <v>125</v>
      </c>
      <c r="BA66" s="25">
        <v>125</v>
      </c>
      <c r="BB66" s="25">
        <f t="shared" si="48"/>
        <v>125</v>
      </c>
      <c r="BC66" s="25">
        <f t="shared" si="48"/>
        <v>125</v>
      </c>
      <c r="BD66" s="25">
        <f t="shared" si="48"/>
        <v>125</v>
      </c>
      <c r="BE66" s="206"/>
      <c r="BF66" s="206"/>
      <c r="BG66" s="206"/>
      <c r="BH66" s="206"/>
      <c r="BP66" s="206"/>
    </row>
    <row r="67" spans="1:68" outlineLevel="1" x14ac:dyDescent="0.25">
      <c r="A67" s="206"/>
      <c r="B67" s="206" t="s">
        <v>452</v>
      </c>
      <c r="C67" s="206"/>
      <c r="D67" s="25">
        <v>0</v>
      </c>
      <c r="E67" s="25">
        <v>154.04</v>
      </c>
      <c r="F67" s="25">
        <v>154.04</v>
      </c>
      <c r="G67" s="25">
        <v>154.04</v>
      </c>
      <c r="H67" s="25">
        <v>154.04</v>
      </c>
      <c r="I67" s="25">
        <v>148.88</v>
      </c>
      <c r="J67" s="25">
        <v>148.88</v>
      </c>
      <c r="K67" s="25">
        <v>148.88</v>
      </c>
      <c r="L67" s="25">
        <v>148.88</v>
      </c>
      <c r="M67" s="25">
        <v>154.04</v>
      </c>
      <c r="N67" s="25">
        <v>154.04</v>
      </c>
      <c r="O67" s="25">
        <v>154.04</v>
      </c>
      <c r="P67" s="25">
        <v>154.04</v>
      </c>
      <c r="Q67" s="25">
        <v>154.04</v>
      </c>
      <c r="R67" s="25">
        <v>154.04</v>
      </c>
      <c r="S67" s="25">
        <v>154.04</v>
      </c>
      <c r="T67" s="25">
        <v>154.04</v>
      </c>
      <c r="U67" s="25">
        <v>154.04</v>
      </c>
      <c r="V67" s="25">
        <v>154.04</v>
      </c>
      <c r="W67" s="25">
        <v>154.04</v>
      </c>
      <c r="X67" s="25">
        <v>154.04</v>
      </c>
      <c r="Y67" s="25">
        <v>154.04</v>
      </c>
      <c r="Z67" s="25">
        <v>154.04</v>
      </c>
      <c r="AA67" s="25">
        <v>154.04</v>
      </c>
      <c r="AB67" s="25">
        <v>154.04</v>
      </c>
      <c r="AC67" s="25">
        <v>154.04</v>
      </c>
      <c r="AD67" s="25">
        <v>154.04</v>
      </c>
      <c r="AE67" s="25">
        <v>154.04</v>
      </c>
      <c r="AF67" s="25">
        <v>154.04</v>
      </c>
      <c r="AG67" s="25">
        <v>154.04</v>
      </c>
      <c r="AH67" s="25">
        <v>154.04</v>
      </c>
      <c r="AI67" s="25">
        <v>154.04</v>
      </c>
      <c r="AJ67" s="25">
        <v>154.04</v>
      </c>
      <c r="AK67" s="25">
        <v>154.04</v>
      </c>
      <c r="AL67" s="25">
        <v>154.04</v>
      </c>
      <c r="AM67" s="25">
        <v>154.04</v>
      </c>
      <c r="AN67" s="25">
        <v>154.04</v>
      </c>
      <c r="AO67" s="25">
        <v>154.04</v>
      </c>
      <c r="AP67" s="25">
        <v>154.04</v>
      </c>
      <c r="AQ67" s="25">
        <v>154.04</v>
      </c>
      <c r="AR67" s="25">
        <v>148.88</v>
      </c>
      <c r="AS67" s="25">
        <v>148.88</v>
      </c>
      <c r="AT67" s="25">
        <v>148.88</v>
      </c>
      <c r="AU67" s="25">
        <v>148.88</v>
      </c>
      <c r="AV67" s="25">
        <v>131.88</v>
      </c>
      <c r="AW67" s="25">
        <v>131.88</v>
      </c>
      <c r="AX67" s="25">
        <v>131.88</v>
      </c>
      <c r="AY67" s="25">
        <v>131.88</v>
      </c>
      <c r="AZ67" s="25">
        <v>131.88</v>
      </c>
      <c r="BA67" s="25">
        <v>131.88</v>
      </c>
      <c r="BB67" s="25">
        <f>44.73*4</f>
        <v>178.92</v>
      </c>
      <c r="BC67" s="25">
        <f>44.73*4</f>
        <v>178.92</v>
      </c>
      <c r="BD67" s="25">
        <f>44.73*4</f>
        <v>178.92</v>
      </c>
      <c r="BE67" s="206"/>
      <c r="BF67" s="206"/>
      <c r="BG67" s="206"/>
      <c r="BH67" s="206"/>
      <c r="BP67" s="206"/>
    </row>
    <row r="68" spans="1:68" outlineLevel="1" x14ac:dyDescent="0.25">
      <c r="A68" s="206"/>
      <c r="B68" s="206" t="s">
        <v>383</v>
      </c>
      <c r="C68" s="206"/>
      <c r="D68" s="25">
        <v>0</v>
      </c>
      <c r="E68" s="25">
        <v>68.23</v>
      </c>
      <c r="F68" s="25">
        <v>68.23</v>
      </c>
      <c r="G68" s="25">
        <v>68.23</v>
      </c>
      <c r="H68" s="25">
        <v>68.23</v>
      </c>
      <c r="I68" s="25">
        <v>66.88</v>
      </c>
      <c r="J68" s="25">
        <v>66.88</v>
      </c>
      <c r="K68" s="25">
        <v>64.63</v>
      </c>
      <c r="L68" s="25">
        <v>66.88</v>
      </c>
      <c r="M68" s="25">
        <v>70.78</v>
      </c>
      <c r="N68" s="25">
        <v>68.23</v>
      </c>
      <c r="O68" s="25">
        <v>68.23</v>
      </c>
      <c r="P68" s="25">
        <v>68.23</v>
      </c>
      <c r="Q68" s="25">
        <v>68.23</v>
      </c>
      <c r="R68" s="25">
        <v>68.23</v>
      </c>
      <c r="S68" s="25">
        <v>68.23</v>
      </c>
      <c r="T68" s="25">
        <v>68.23</v>
      </c>
      <c r="U68" s="25">
        <v>68.23</v>
      </c>
      <c r="V68" s="25">
        <v>68.23</v>
      </c>
      <c r="W68" s="25">
        <v>68.23</v>
      </c>
      <c r="X68" s="25">
        <v>68.23</v>
      </c>
      <c r="Y68" s="25">
        <v>68.23</v>
      </c>
      <c r="Z68" s="25">
        <v>68.23</v>
      </c>
      <c r="AA68" s="25">
        <v>68.23</v>
      </c>
      <c r="AB68" s="25">
        <v>68.23</v>
      </c>
      <c r="AC68" s="25">
        <v>68.23</v>
      </c>
      <c r="AD68" s="25">
        <v>68.23</v>
      </c>
      <c r="AE68" s="25">
        <v>68.23</v>
      </c>
      <c r="AF68" s="25">
        <v>68.23</v>
      </c>
      <c r="AG68" s="25">
        <v>68.23</v>
      </c>
      <c r="AH68" s="25">
        <v>68.23</v>
      </c>
      <c r="AI68" s="25">
        <v>68.23</v>
      </c>
      <c r="AJ68" s="25">
        <v>68.23</v>
      </c>
      <c r="AK68" s="25">
        <v>68.23</v>
      </c>
      <c r="AL68" s="25">
        <v>68.23</v>
      </c>
      <c r="AM68" s="25">
        <v>68.23</v>
      </c>
      <c r="AN68" s="25">
        <v>68.23</v>
      </c>
      <c r="AO68" s="25">
        <v>68.23</v>
      </c>
      <c r="AP68" s="25">
        <v>68.23</v>
      </c>
      <c r="AQ68" s="25">
        <v>68.23</v>
      </c>
      <c r="AR68" s="25">
        <v>66.88</v>
      </c>
      <c r="AS68" s="25">
        <v>66.88</v>
      </c>
      <c r="AT68" s="25">
        <v>66.88</v>
      </c>
      <c r="AU68" s="25">
        <v>66.88</v>
      </c>
      <c r="AV68" s="25">
        <v>61.49</v>
      </c>
      <c r="AW68" s="25">
        <v>61.49</v>
      </c>
      <c r="AX68" s="25">
        <v>61.49</v>
      </c>
      <c r="AY68" s="25">
        <v>61.49</v>
      </c>
      <c r="AZ68" s="25">
        <v>61.49</v>
      </c>
      <c r="BA68" s="25">
        <v>61.49</v>
      </c>
      <c r="BB68" s="25">
        <v>62.98</v>
      </c>
      <c r="BC68" s="25">
        <v>62.98</v>
      </c>
      <c r="BD68" s="25">
        <v>62.98</v>
      </c>
      <c r="BE68" s="206"/>
      <c r="BF68" s="206"/>
      <c r="BG68" s="206"/>
      <c r="BH68" s="206"/>
      <c r="BP68" s="206"/>
    </row>
    <row r="69" spans="1:68" outlineLevel="1" x14ac:dyDescent="0.25">
      <c r="A69" s="206"/>
      <c r="B69" s="206" t="s">
        <v>384</v>
      </c>
      <c r="C69" s="206"/>
      <c r="D69" s="25">
        <v>0</v>
      </c>
      <c r="E69" s="25">
        <v>68.23</v>
      </c>
      <c r="F69" s="25">
        <v>68.23</v>
      </c>
      <c r="G69" s="25">
        <v>68.23</v>
      </c>
      <c r="H69" s="25">
        <v>68.23</v>
      </c>
      <c r="I69" s="25">
        <v>66.88</v>
      </c>
      <c r="J69" s="25">
        <v>66.88</v>
      </c>
      <c r="K69" s="25">
        <v>64.63</v>
      </c>
      <c r="L69" s="25">
        <v>66.88</v>
      </c>
      <c r="M69" s="25">
        <v>70.78</v>
      </c>
      <c r="N69" s="25">
        <v>68.23</v>
      </c>
      <c r="O69" s="25">
        <v>68.23</v>
      </c>
      <c r="P69" s="25">
        <v>68.23</v>
      </c>
      <c r="Q69" s="25">
        <v>68.23</v>
      </c>
      <c r="R69" s="25">
        <v>68.23</v>
      </c>
      <c r="S69" s="25">
        <v>68.23</v>
      </c>
      <c r="T69" s="25">
        <v>68.23</v>
      </c>
      <c r="U69" s="25">
        <v>68.23</v>
      </c>
      <c r="V69" s="25">
        <v>68.23</v>
      </c>
      <c r="W69" s="25">
        <v>68.23</v>
      </c>
      <c r="X69" s="25">
        <v>68.23</v>
      </c>
      <c r="Y69" s="25">
        <v>68.23</v>
      </c>
      <c r="Z69" s="25">
        <v>68.23</v>
      </c>
      <c r="AA69" s="25">
        <v>68.23</v>
      </c>
      <c r="AB69" s="25">
        <v>68.23</v>
      </c>
      <c r="AC69" s="25">
        <v>68.23</v>
      </c>
      <c r="AD69" s="25">
        <v>68.23</v>
      </c>
      <c r="AE69" s="25">
        <v>68.23</v>
      </c>
      <c r="AF69" s="25">
        <v>68.23</v>
      </c>
      <c r="AG69" s="25">
        <v>68.23</v>
      </c>
      <c r="AH69" s="25">
        <v>68.23</v>
      </c>
      <c r="AI69" s="25">
        <v>68.23</v>
      </c>
      <c r="AJ69" s="25">
        <v>68.23</v>
      </c>
      <c r="AK69" s="25">
        <v>68.23</v>
      </c>
      <c r="AL69" s="25">
        <v>68.23</v>
      </c>
      <c r="AM69" s="25">
        <v>68.23</v>
      </c>
      <c r="AN69" s="25">
        <v>68.23</v>
      </c>
      <c r="AO69" s="25">
        <v>68.23</v>
      </c>
      <c r="AP69" s="25">
        <v>68.23</v>
      </c>
      <c r="AQ69" s="25">
        <v>68.23</v>
      </c>
      <c r="AR69" s="25">
        <v>66.88</v>
      </c>
      <c r="AS69" s="25">
        <v>66.88</v>
      </c>
      <c r="AT69" s="25">
        <v>66.88</v>
      </c>
      <c r="AU69" s="25">
        <v>66.88</v>
      </c>
      <c r="AV69" s="25">
        <v>61.49</v>
      </c>
      <c r="AW69" s="25">
        <v>61.49</v>
      </c>
      <c r="AX69" s="25">
        <v>61.49</v>
      </c>
      <c r="AY69" s="25">
        <v>61.49</v>
      </c>
      <c r="AZ69" s="25">
        <v>61.49</v>
      </c>
      <c r="BA69" s="25">
        <v>61.49</v>
      </c>
      <c r="BB69" s="25">
        <v>62.98</v>
      </c>
      <c r="BC69" s="25">
        <v>62.98</v>
      </c>
      <c r="BD69" s="25">
        <v>62.98</v>
      </c>
      <c r="BE69" s="206"/>
      <c r="BF69" s="206"/>
      <c r="BG69" s="206"/>
      <c r="BH69" s="206"/>
      <c r="BP69" s="206"/>
    </row>
    <row r="70" spans="1:68" outlineLevel="1" x14ac:dyDescent="0.25">
      <c r="A70" s="206"/>
      <c r="B70" s="206" t="s">
        <v>385</v>
      </c>
      <c r="C70" s="206"/>
      <c r="D70" s="25">
        <v>0</v>
      </c>
      <c r="E70" s="25">
        <v>181.75</v>
      </c>
      <c r="F70" s="25">
        <v>181.75</v>
      </c>
      <c r="G70" s="25">
        <v>181.75</v>
      </c>
      <c r="H70" s="25">
        <v>181.75</v>
      </c>
      <c r="I70" s="25">
        <v>173.47</v>
      </c>
      <c r="J70" s="25">
        <v>173.47</v>
      </c>
      <c r="K70" s="25">
        <v>168.94</v>
      </c>
      <c r="L70" s="25">
        <v>173.47</v>
      </c>
      <c r="M70" s="25">
        <v>181.75</v>
      </c>
      <c r="N70" s="25">
        <v>181.75</v>
      </c>
      <c r="O70" s="25">
        <v>181.75</v>
      </c>
      <c r="P70" s="25">
        <v>181.75</v>
      </c>
      <c r="Q70" s="25">
        <v>181.75</v>
      </c>
      <c r="R70" s="25">
        <v>181.75</v>
      </c>
      <c r="S70" s="25">
        <v>181.75</v>
      </c>
      <c r="T70" s="25">
        <v>181.75</v>
      </c>
      <c r="U70" s="25">
        <v>181.75</v>
      </c>
      <c r="V70" s="25">
        <v>181.75</v>
      </c>
      <c r="W70" s="25">
        <v>181.75</v>
      </c>
      <c r="X70" s="25">
        <v>181.75</v>
      </c>
      <c r="Y70" s="25">
        <v>181.75</v>
      </c>
      <c r="Z70" s="25">
        <v>181.75</v>
      </c>
      <c r="AA70" s="25">
        <v>181.75</v>
      </c>
      <c r="AB70" s="25">
        <v>181.75</v>
      </c>
      <c r="AC70" s="25">
        <v>181.75</v>
      </c>
      <c r="AD70" s="25">
        <v>181.75</v>
      </c>
      <c r="AE70" s="25">
        <v>181.75</v>
      </c>
      <c r="AF70" s="25">
        <v>181.75</v>
      </c>
      <c r="AG70" s="25">
        <v>181.75</v>
      </c>
      <c r="AH70" s="25">
        <v>181.75</v>
      </c>
      <c r="AI70" s="25">
        <v>181.75</v>
      </c>
      <c r="AJ70" s="25">
        <v>181.75</v>
      </c>
      <c r="AK70" s="25">
        <v>181.75</v>
      </c>
      <c r="AL70" s="25">
        <v>181.75</v>
      </c>
      <c r="AM70" s="25">
        <v>181.75</v>
      </c>
      <c r="AN70" s="25">
        <v>181.75</v>
      </c>
      <c r="AO70" s="25">
        <v>181.75</v>
      </c>
      <c r="AP70" s="25">
        <v>181.75</v>
      </c>
      <c r="AQ70" s="25">
        <v>181.75</v>
      </c>
      <c r="AR70" s="25">
        <v>168.94</v>
      </c>
      <c r="AS70" s="25">
        <v>168.94</v>
      </c>
      <c r="AT70" s="25">
        <v>168.94</v>
      </c>
      <c r="AU70" s="25">
        <v>168.94</v>
      </c>
      <c r="AV70" s="25">
        <v>162.9</v>
      </c>
      <c r="AW70" s="25">
        <v>162.9</v>
      </c>
      <c r="AX70" s="25">
        <v>162.9</v>
      </c>
      <c r="AY70" s="25">
        <v>162.9</v>
      </c>
      <c r="AZ70" s="25">
        <v>162.9</v>
      </c>
      <c r="BA70" s="25">
        <v>162.9</v>
      </c>
      <c r="BB70" s="25">
        <v>165.45</v>
      </c>
      <c r="BC70" s="25">
        <v>165.45</v>
      </c>
      <c r="BD70" s="25">
        <v>165.45</v>
      </c>
      <c r="BE70" s="206"/>
      <c r="BF70" s="206"/>
      <c r="BG70" s="206"/>
      <c r="BH70" s="206"/>
      <c r="BP70" s="206"/>
    </row>
    <row r="71" spans="1:68" outlineLevel="1" x14ac:dyDescent="0.25">
      <c r="A71" s="206"/>
      <c r="B71" s="206" t="s">
        <v>386</v>
      </c>
      <c r="C71" s="206"/>
      <c r="D71" s="25">
        <v>0</v>
      </c>
      <c r="E71" s="25">
        <v>99.12</v>
      </c>
      <c r="F71" s="25">
        <v>99.12</v>
      </c>
      <c r="G71" s="25">
        <v>99.12</v>
      </c>
      <c r="H71" s="25">
        <v>99.12</v>
      </c>
      <c r="I71" s="25">
        <v>97.08</v>
      </c>
      <c r="J71" s="25">
        <v>97.08</v>
      </c>
      <c r="K71" s="25">
        <v>93.6</v>
      </c>
      <c r="L71" s="25">
        <v>97.08</v>
      </c>
      <c r="M71" s="25">
        <v>103</v>
      </c>
      <c r="N71" s="25">
        <v>99.12</v>
      </c>
      <c r="O71" s="25">
        <v>99.12</v>
      </c>
      <c r="P71" s="25">
        <v>99.12</v>
      </c>
      <c r="Q71" s="25">
        <v>99.12</v>
      </c>
      <c r="R71" s="25">
        <v>99.12</v>
      </c>
      <c r="S71" s="25">
        <v>99.12</v>
      </c>
      <c r="T71" s="25">
        <v>99.12</v>
      </c>
      <c r="U71" s="25">
        <v>99.12</v>
      </c>
      <c r="V71" s="25">
        <v>99.12</v>
      </c>
      <c r="W71" s="25">
        <v>99.12</v>
      </c>
      <c r="X71" s="25">
        <v>99.12</v>
      </c>
      <c r="Y71" s="25">
        <v>99.12</v>
      </c>
      <c r="Z71" s="25">
        <v>99.12</v>
      </c>
      <c r="AA71" s="25">
        <v>99.12</v>
      </c>
      <c r="AB71" s="25">
        <v>99.12</v>
      </c>
      <c r="AC71" s="25">
        <v>99.12</v>
      </c>
      <c r="AD71" s="25">
        <v>99.12</v>
      </c>
      <c r="AE71" s="25">
        <v>99.12</v>
      </c>
      <c r="AF71" s="25">
        <v>99.12</v>
      </c>
      <c r="AG71" s="25">
        <v>99.12</v>
      </c>
      <c r="AH71" s="25">
        <v>99.12</v>
      </c>
      <c r="AI71" s="25">
        <v>99.12</v>
      </c>
      <c r="AJ71" s="25">
        <v>99.12</v>
      </c>
      <c r="AK71" s="25">
        <v>99.12</v>
      </c>
      <c r="AL71" s="25">
        <v>99.12</v>
      </c>
      <c r="AM71" s="25">
        <v>99.12</v>
      </c>
      <c r="AN71" s="25">
        <v>99.12</v>
      </c>
      <c r="AO71" s="25">
        <v>99.12</v>
      </c>
      <c r="AP71" s="25">
        <v>99.12</v>
      </c>
      <c r="AQ71" s="25">
        <v>99.12</v>
      </c>
      <c r="AR71" s="25">
        <v>97.08</v>
      </c>
      <c r="AS71" s="25">
        <v>97.08</v>
      </c>
      <c r="AT71" s="25">
        <v>97.08</v>
      </c>
      <c r="AU71" s="25">
        <v>97.08</v>
      </c>
      <c r="AV71" s="25">
        <v>88.76</v>
      </c>
      <c r="AW71" s="25">
        <v>88.76</v>
      </c>
      <c r="AX71" s="25">
        <v>88.76</v>
      </c>
      <c r="AY71" s="25">
        <v>88.76</v>
      </c>
      <c r="AZ71" s="25">
        <v>88.76</v>
      </c>
      <c r="BA71" s="25">
        <v>88.76</v>
      </c>
      <c r="BB71" s="25">
        <v>91.12</v>
      </c>
      <c r="BC71" s="25">
        <v>91.12</v>
      </c>
      <c r="BD71" s="25">
        <v>91.12</v>
      </c>
      <c r="BE71" s="206"/>
      <c r="BF71" s="206"/>
      <c r="BG71" s="206"/>
      <c r="BH71" s="206"/>
      <c r="BP71" s="206"/>
    </row>
    <row r="72" spans="1:68" x14ac:dyDescent="0.25">
      <c r="A72" s="206"/>
      <c r="B72" s="206"/>
      <c r="C72" s="211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  <c r="AB72" s="206"/>
      <c r="AC72" s="206"/>
      <c r="AD72" s="206"/>
      <c r="AE72" s="206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P72" s="206"/>
    </row>
    <row r="73" spans="1:68" x14ac:dyDescent="0.25">
      <c r="A73" s="206"/>
      <c r="B73" s="23" t="s">
        <v>377</v>
      </c>
      <c r="C73" s="27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06"/>
      <c r="BF73" s="206"/>
      <c r="BG73" s="206"/>
      <c r="BH73" s="206"/>
      <c r="BI73" s="2" t="s">
        <v>21</v>
      </c>
      <c r="BN73" s="97" t="s">
        <v>260</v>
      </c>
      <c r="BO73" s="206"/>
      <c r="BP73" s="206"/>
    </row>
    <row r="74" spans="1:68" outlineLevel="1" x14ac:dyDescent="0.25">
      <c r="A74" s="206"/>
      <c r="B74" s="218" t="s">
        <v>378</v>
      </c>
      <c r="C74" s="206"/>
      <c r="D74" s="40">
        <v>0</v>
      </c>
      <c r="E74" s="40">
        <v>11.5</v>
      </c>
      <c r="F74" s="40">
        <v>11.5</v>
      </c>
      <c r="G74" s="40">
        <v>11.5</v>
      </c>
      <c r="H74" s="40">
        <v>11.5</v>
      </c>
      <c r="I74" s="40">
        <v>22</v>
      </c>
      <c r="J74" s="40">
        <v>11.5</v>
      </c>
      <c r="K74" s="40">
        <v>22</v>
      </c>
      <c r="L74" s="40">
        <v>11.5</v>
      </c>
      <c r="M74" s="40">
        <v>22</v>
      </c>
      <c r="N74" s="40">
        <v>22</v>
      </c>
      <c r="O74" s="40">
        <v>22</v>
      </c>
      <c r="P74" s="40">
        <v>11</v>
      </c>
      <c r="Q74" s="40">
        <v>22</v>
      </c>
      <c r="R74" s="40">
        <v>11.5</v>
      </c>
      <c r="S74" s="40">
        <v>22</v>
      </c>
      <c r="T74" s="40">
        <v>11.5</v>
      </c>
      <c r="U74" s="40">
        <v>22</v>
      </c>
      <c r="V74" s="40">
        <v>22</v>
      </c>
      <c r="W74" s="40">
        <v>11.5</v>
      </c>
      <c r="X74" s="40">
        <v>22</v>
      </c>
      <c r="Y74" s="40">
        <v>11.5</v>
      </c>
      <c r="Z74" s="40">
        <v>22</v>
      </c>
      <c r="AA74" s="40">
        <v>11.5</v>
      </c>
      <c r="AB74" s="40">
        <v>22</v>
      </c>
      <c r="AC74" s="40">
        <v>11.5</v>
      </c>
      <c r="AD74" s="40">
        <v>22</v>
      </c>
      <c r="AE74" s="40">
        <v>11.5</v>
      </c>
      <c r="AF74" s="40">
        <v>22</v>
      </c>
      <c r="AG74" s="40">
        <v>22</v>
      </c>
      <c r="AH74" s="40">
        <v>11.5</v>
      </c>
      <c r="AI74" s="40">
        <v>22</v>
      </c>
      <c r="AJ74" s="40">
        <v>22</v>
      </c>
      <c r="AK74" s="40">
        <v>11.5</v>
      </c>
      <c r="AL74" s="40">
        <v>22</v>
      </c>
      <c r="AM74" s="40">
        <v>11.5</v>
      </c>
      <c r="AN74" s="40">
        <v>22</v>
      </c>
      <c r="AO74" s="40">
        <v>22</v>
      </c>
      <c r="AP74" s="40">
        <v>22</v>
      </c>
      <c r="AQ74" s="40">
        <v>11.5</v>
      </c>
      <c r="AR74" s="40">
        <v>22</v>
      </c>
      <c r="AS74" s="40">
        <v>11.5</v>
      </c>
      <c r="AT74" s="40">
        <v>22</v>
      </c>
      <c r="AU74" s="40">
        <v>22</v>
      </c>
      <c r="AV74" s="40">
        <v>22</v>
      </c>
      <c r="AW74" s="40">
        <v>22</v>
      </c>
      <c r="AX74" s="40">
        <v>22</v>
      </c>
      <c r="AY74" s="40">
        <v>22</v>
      </c>
      <c r="AZ74" s="40">
        <v>11.5</v>
      </c>
      <c r="BA74" s="40">
        <v>22</v>
      </c>
      <c r="BB74" s="40">
        <v>11.5</v>
      </c>
      <c r="BC74" s="40">
        <v>11.5</v>
      </c>
      <c r="BD74" s="40">
        <v>11.5</v>
      </c>
      <c r="BE74" s="206"/>
      <c r="BF74" s="206"/>
      <c r="BG74" s="206"/>
      <c r="BH74" s="206"/>
      <c r="BI74" t="s">
        <v>378</v>
      </c>
      <c r="BJ74" s="37">
        <v>1</v>
      </c>
      <c r="BK74" s="37">
        <v>1.03</v>
      </c>
      <c r="BL74" s="37">
        <v>1.03</v>
      </c>
      <c r="BO74" s="206"/>
      <c r="BP74" s="206"/>
    </row>
    <row r="75" spans="1:68" outlineLevel="1" x14ac:dyDescent="0.25">
      <c r="A75" s="206"/>
      <c r="B75" s="218" t="s">
        <v>379</v>
      </c>
      <c r="C75" s="29" t="s">
        <v>398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2</v>
      </c>
      <c r="J75" s="40">
        <v>0</v>
      </c>
      <c r="K75" s="40">
        <v>2</v>
      </c>
      <c r="L75" s="40">
        <v>0</v>
      </c>
      <c r="M75" s="40">
        <v>2</v>
      </c>
      <c r="N75" s="40">
        <v>2</v>
      </c>
      <c r="O75" s="40">
        <v>2</v>
      </c>
      <c r="P75" s="40">
        <v>0</v>
      </c>
      <c r="Q75" s="40">
        <v>2</v>
      </c>
      <c r="R75" s="40">
        <v>0</v>
      </c>
      <c r="S75" s="40">
        <v>2</v>
      </c>
      <c r="T75" s="40">
        <v>0</v>
      </c>
      <c r="U75" s="40">
        <v>2</v>
      </c>
      <c r="V75" s="40">
        <v>2</v>
      </c>
      <c r="W75" s="40">
        <v>0</v>
      </c>
      <c r="X75" s="40">
        <v>2</v>
      </c>
      <c r="Y75" s="40">
        <v>0</v>
      </c>
      <c r="Z75" s="40">
        <v>2</v>
      </c>
      <c r="AA75" s="40">
        <v>0</v>
      </c>
      <c r="AB75" s="40">
        <v>2</v>
      </c>
      <c r="AC75" s="40">
        <v>0</v>
      </c>
      <c r="AD75" s="40">
        <v>2</v>
      </c>
      <c r="AE75" s="40">
        <v>0</v>
      </c>
      <c r="AF75" s="40">
        <v>2</v>
      </c>
      <c r="AG75" s="40">
        <v>2</v>
      </c>
      <c r="AH75" s="40">
        <v>0</v>
      </c>
      <c r="AI75" s="40">
        <v>2</v>
      </c>
      <c r="AJ75" s="40">
        <v>2</v>
      </c>
      <c r="AK75" s="40">
        <v>0</v>
      </c>
      <c r="AL75" s="40">
        <v>2</v>
      </c>
      <c r="AM75" s="40">
        <v>0</v>
      </c>
      <c r="AN75" s="40">
        <v>2</v>
      </c>
      <c r="AO75" s="40">
        <v>2</v>
      </c>
      <c r="AP75" s="40">
        <v>2</v>
      </c>
      <c r="AQ75" s="40">
        <v>0</v>
      </c>
      <c r="AR75" s="40">
        <v>2</v>
      </c>
      <c r="AS75" s="40">
        <v>0</v>
      </c>
      <c r="AT75" s="40">
        <v>2</v>
      </c>
      <c r="AU75" s="40">
        <v>2</v>
      </c>
      <c r="AV75" s="40">
        <v>2</v>
      </c>
      <c r="AW75" s="40">
        <v>2</v>
      </c>
      <c r="AX75" s="40">
        <v>2</v>
      </c>
      <c r="AY75" s="40">
        <v>2</v>
      </c>
      <c r="AZ75" s="40">
        <v>0</v>
      </c>
      <c r="BA75" s="40">
        <v>2</v>
      </c>
      <c r="BB75" s="40">
        <v>0</v>
      </c>
      <c r="BC75" s="40">
        <v>0</v>
      </c>
      <c r="BD75" s="40">
        <v>0</v>
      </c>
      <c r="BE75" s="206"/>
      <c r="BF75" s="206"/>
      <c r="BG75" s="206"/>
      <c r="BH75" s="206"/>
      <c r="BI75" t="s">
        <v>379</v>
      </c>
      <c r="BJ75" s="37">
        <v>1</v>
      </c>
      <c r="BK75" s="37">
        <v>1.03</v>
      </c>
      <c r="BL75" s="37">
        <v>1.03</v>
      </c>
      <c r="BO75" s="206"/>
      <c r="BP75" s="206"/>
    </row>
    <row r="76" spans="1:68" outlineLevel="1" x14ac:dyDescent="0.25">
      <c r="A76" s="206"/>
      <c r="B76" s="218" t="s">
        <v>380</v>
      </c>
      <c r="C76" s="206"/>
      <c r="D76" s="40">
        <v>0</v>
      </c>
      <c r="E76" s="40">
        <v>1.5</v>
      </c>
      <c r="F76" s="40">
        <v>1.5</v>
      </c>
      <c r="G76" s="40">
        <v>1.5</v>
      </c>
      <c r="H76" s="40">
        <v>1.5</v>
      </c>
      <c r="I76" s="40">
        <v>3</v>
      </c>
      <c r="J76" s="40">
        <v>1.5</v>
      </c>
      <c r="K76" s="40">
        <v>3</v>
      </c>
      <c r="L76" s="40">
        <v>1.5</v>
      </c>
      <c r="M76" s="40">
        <v>3</v>
      </c>
      <c r="N76" s="40">
        <v>3</v>
      </c>
      <c r="O76" s="40">
        <v>3</v>
      </c>
      <c r="P76" s="40">
        <v>1.5</v>
      </c>
      <c r="Q76" s="40">
        <v>3</v>
      </c>
      <c r="R76" s="40">
        <v>1.5</v>
      </c>
      <c r="S76" s="40">
        <v>3</v>
      </c>
      <c r="T76" s="40">
        <v>1.5</v>
      </c>
      <c r="U76" s="40">
        <v>3</v>
      </c>
      <c r="V76" s="40">
        <v>3</v>
      </c>
      <c r="W76" s="40">
        <v>1.5</v>
      </c>
      <c r="X76" s="40">
        <v>3</v>
      </c>
      <c r="Y76" s="40">
        <v>1.5</v>
      </c>
      <c r="Z76" s="40">
        <v>3</v>
      </c>
      <c r="AA76" s="40">
        <v>1.5</v>
      </c>
      <c r="AB76" s="40">
        <v>3</v>
      </c>
      <c r="AC76" s="40">
        <v>1.5</v>
      </c>
      <c r="AD76" s="40">
        <v>3</v>
      </c>
      <c r="AE76" s="40">
        <v>1.5</v>
      </c>
      <c r="AF76" s="40">
        <v>3</v>
      </c>
      <c r="AG76" s="40">
        <v>3</v>
      </c>
      <c r="AH76" s="40">
        <v>1.5</v>
      </c>
      <c r="AI76" s="40">
        <v>3</v>
      </c>
      <c r="AJ76" s="40">
        <v>3</v>
      </c>
      <c r="AK76" s="40">
        <v>1.5</v>
      </c>
      <c r="AL76" s="40">
        <v>3</v>
      </c>
      <c r="AM76" s="40">
        <v>1.5</v>
      </c>
      <c r="AN76" s="40">
        <v>3</v>
      </c>
      <c r="AO76" s="40">
        <v>3</v>
      </c>
      <c r="AP76" s="40">
        <v>3</v>
      </c>
      <c r="AQ76" s="40">
        <v>1.5</v>
      </c>
      <c r="AR76" s="40">
        <v>3</v>
      </c>
      <c r="AS76" s="40">
        <v>1.5</v>
      </c>
      <c r="AT76" s="40">
        <v>3</v>
      </c>
      <c r="AU76" s="40">
        <v>3</v>
      </c>
      <c r="AV76" s="40">
        <v>3</v>
      </c>
      <c r="AW76" s="40">
        <v>3</v>
      </c>
      <c r="AX76" s="40">
        <v>3</v>
      </c>
      <c r="AY76" s="40">
        <v>3</v>
      </c>
      <c r="AZ76" s="40">
        <v>1.5</v>
      </c>
      <c r="BA76" s="40">
        <v>3</v>
      </c>
      <c r="BB76" s="40">
        <v>1.5</v>
      </c>
      <c r="BC76" s="40">
        <v>1.5</v>
      </c>
      <c r="BD76" s="40">
        <v>1.5</v>
      </c>
      <c r="BE76" s="206"/>
      <c r="BF76" s="206"/>
      <c r="BG76" s="206"/>
      <c r="BH76" s="206"/>
      <c r="BI76" t="s">
        <v>380</v>
      </c>
      <c r="BJ76" s="37">
        <v>1</v>
      </c>
      <c r="BK76" s="37">
        <v>1.03</v>
      </c>
      <c r="BL76" s="37">
        <v>1.03</v>
      </c>
      <c r="BO76" s="206"/>
      <c r="BP76" s="206"/>
    </row>
    <row r="77" spans="1:68" outlineLevel="1" x14ac:dyDescent="0.25">
      <c r="A77" s="206"/>
      <c r="B77" s="218" t="s">
        <v>381</v>
      </c>
      <c r="C77" s="206"/>
      <c r="D77" s="40">
        <v>0</v>
      </c>
      <c r="E77" s="40">
        <f>12/52</f>
        <v>0.23076923076923078</v>
      </c>
      <c r="F77" s="40">
        <f>12/52</f>
        <v>0.23076923076923078</v>
      </c>
      <c r="G77" s="40">
        <f>12/52</f>
        <v>0.23076923076923078</v>
      </c>
      <c r="H77" s="40">
        <f>12/52</f>
        <v>0.23076923076923078</v>
      </c>
      <c r="I77" s="40">
        <f t="shared" ref="I77:BD77" si="49">12/52</f>
        <v>0.23076923076923078</v>
      </c>
      <c r="J77" s="40">
        <f t="shared" si="49"/>
        <v>0.23076923076923078</v>
      </c>
      <c r="K77" s="40">
        <f t="shared" si="49"/>
        <v>0.23076923076923078</v>
      </c>
      <c r="L77" s="40">
        <f t="shared" si="49"/>
        <v>0.23076923076923078</v>
      </c>
      <c r="M77" s="40">
        <f t="shared" si="49"/>
        <v>0.23076923076923078</v>
      </c>
      <c r="N77" s="40">
        <f t="shared" si="49"/>
        <v>0.23076923076923078</v>
      </c>
      <c r="O77" s="40">
        <f t="shared" si="49"/>
        <v>0.23076923076923078</v>
      </c>
      <c r="P77" s="40">
        <f t="shared" si="49"/>
        <v>0.23076923076923078</v>
      </c>
      <c r="Q77" s="40">
        <f t="shared" si="49"/>
        <v>0.23076923076923078</v>
      </c>
      <c r="R77" s="40">
        <f t="shared" si="49"/>
        <v>0.23076923076923078</v>
      </c>
      <c r="S77" s="40">
        <f t="shared" si="49"/>
        <v>0.23076923076923078</v>
      </c>
      <c r="T77" s="40">
        <f t="shared" si="49"/>
        <v>0.23076923076923078</v>
      </c>
      <c r="U77" s="40">
        <f t="shared" si="49"/>
        <v>0.23076923076923078</v>
      </c>
      <c r="V77" s="40">
        <f t="shared" si="49"/>
        <v>0.23076923076923078</v>
      </c>
      <c r="W77" s="40">
        <f t="shared" si="49"/>
        <v>0.23076923076923078</v>
      </c>
      <c r="X77" s="40">
        <f t="shared" si="49"/>
        <v>0.23076923076923078</v>
      </c>
      <c r="Y77" s="40">
        <f t="shared" si="49"/>
        <v>0.23076923076923078</v>
      </c>
      <c r="Z77" s="40">
        <f t="shared" si="49"/>
        <v>0.23076923076923078</v>
      </c>
      <c r="AA77" s="40">
        <f t="shared" si="49"/>
        <v>0.23076923076923078</v>
      </c>
      <c r="AB77" s="40">
        <f t="shared" si="49"/>
        <v>0.23076923076923078</v>
      </c>
      <c r="AC77" s="40">
        <f t="shared" si="49"/>
        <v>0.23076923076923078</v>
      </c>
      <c r="AD77" s="40">
        <f t="shared" si="49"/>
        <v>0.23076923076923078</v>
      </c>
      <c r="AE77" s="40">
        <f t="shared" si="49"/>
        <v>0.23076923076923078</v>
      </c>
      <c r="AF77" s="40">
        <f t="shared" si="49"/>
        <v>0.23076923076923078</v>
      </c>
      <c r="AG77" s="40">
        <f t="shared" si="49"/>
        <v>0.23076923076923078</v>
      </c>
      <c r="AH77" s="40">
        <f t="shared" si="49"/>
        <v>0.23076923076923078</v>
      </c>
      <c r="AI77" s="40">
        <f t="shared" si="49"/>
        <v>0.23076923076923078</v>
      </c>
      <c r="AJ77" s="40">
        <f t="shared" si="49"/>
        <v>0.23076923076923078</v>
      </c>
      <c r="AK77" s="40">
        <f t="shared" si="49"/>
        <v>0.23076923076923078</v>
      </c>
      <c r="AL77" s="40">
        <f t="shared" si="49"/>
        <v>0.23076923076923078</v>
      </c>
      <c r="AM77" s="40">
        <f t="shared" si="49"/>
        <v>0.23076923076923078</v>
      </c>
      <c r="AN77" s="40">
        <f t="shared" si="49"/>
        <v>0.23076923076923078</v>
      </c>
      <c r="AO77" s="40">
        <f t="shared" si="49"/>
        <v>0.23076923076923078</v>
      </c>
      <c r="AP77" s="40">
        <f t="shared" si="49"/>
        <v>0.23076923076923078</v>
      </c>
      <c r="AQ77" s="40">
        <f t="shared" si="49"/>
        <v>0.23076923076923078</v>
      </c>
      <c r="AR77" s="40">
        <f t="shared" si="49"/>
        <v>0.23076923076923078</v>
      </c>
      <c r="AS77" s="40">
        <f>12/52</f>
        <v>0.23076923076923078</v>
      </c>
      <c r="AT77" s="40">
        <f t="shared" si="49"/>
        <v>0.23076923076923078</v>
      </c>
      <c r="AU77" s="40">
        <f t="shared" si="49"/>
        <v>0.23076923076923078</v>
      </c>
      <c r="AV77" s="40">
        <f t="shared" si="49"/>
        <v>0.23076923076923078</v>
      </c>
      <c r="AW77" s="40">
        <f t="shared" si="49"/>
        <v>0.23076923076923078</v>
      </c>
      <c r="AX77" s="40">
        <f t="shared" si="49"/>
        <v>0.23076923076923078</v>
      </c>
      <c r="AY77" s="40">
        <f t="shared" si="49"/>
        <v>0.23076923076923078</v>
      </c>
      <c r="AZ77" s="40">
        <f t="shared" si="49"/>
        <v>0.23076923076923078</v>
      </c>
      <c r="BA77" s="40">
        <f t="shared" si="49"/>
        <v>0.23076923076923078</v>
      </c>
      <c r="BB77" s="40">
        <f t="shared" si="49"/>
        <v>0.23076923076923078</v>
      </c>
      <c r="BC77" s="40">
        <f t="shared" si="49"/>
        <v>0.23076923076923078</v>
      </c>
      <c r="BD77" s="40">
        <f t="shared" si="49"/>
        <v>0.23076923076923078</v>
      </c>
      <c r="BE77" s="206"/>
      <c r="BF77" s="206"/>
      <c r="BG77" s="206"/>
      <c r="BH77" s="206"/>
      <c r="BI77" t="s">
        <v>381</v>
      </c>
      <c r="BJ77" s="37">
        <v>1</v>
      </c>
      <c r="BK77" s="37">
        <v>1.03</v>
      </c>
      <c r="BL77" s="37">
        <v>1.03</v>
      </c>
      <c r="BO77" s="206"/>
      <c r="BP77" s="206"/>
    </row>
    <row r="78" spans="1:68" outlineLevel="1" x14ac:dyDescent="0.25">
      <c r="A78" s="206"/>
      <c r="B78" s="218" t="s">
        <v>382</v>
      </c>
      <c r="C78" s="27" t="s">
        <v>390</v>
      </c>
      <c r="D78" s="40">
        <v>0</v>
      </c>
      <c r="E78" s="40">
        <f>8/26</f>
        <v>0.30769230769230771</v>
      </c>
      <c r="F78" s="40">
        <f>8/26</f>
        <v>0.30769230769230771</v>
      </c>
      <c r="G78" s="40">
        <f>8/26</f>
        <v>0.30769230769230771</v>
      </c>
      <c r="H78" s="40">
        <f>8/26</f>
        <v>0.30769230769230771</v>
      </c>
      <c r="I78" s="40">
        <f t="shared" ref="I78:AJ78" si="50">8/26</f>
        <v>0.30769230769230771</v>
      </c>
      <c r="J78" s="40">
        <f t="shared" si="50"/>
        <v>0.30769230769230771</v>
      </c>
      <c r="K78" s="40">
        <f t="shared" si="50"/>
        <v>0.30769230769230771</v>
      </c>
      <c r="L78" s="40">
        <f t="shared" si="50"/>
        <v>0.30769230769230771</v>
      </c>
      <c r="M78" s="40">
        <f t="shared" si="50"/>
        <v>0.30769230769230771</v>
      </c>
      <c r="N78" s="40">
        <f t="shared" si="50"/>
        <v>0.30769230769230771</v>
      </c>
      <c r="O78" s="40">
        <f t="shared" si="50"/>
        <v>0.30769230769230771</v>
      </c>
      <c r="P78" s="40">
        <f t="shared" si="50"/>
        <v>0.30769230769230771</v>
      </c>
      <c r="Q78" s="40">
        <f t="shared" si="50"/>
        <v>0.30769230769230771</v>
      </c>
      <c r="R78" s="40">
        <f t="shared" si="50"/>
        <v>0.30769230769230771</v>
      </c>
      <c r="S78" s="40">
        <f t="shared" si="50"/>
        <v>0.30769230769230771</v>
      </c>
      <c r="T78" s="40">
        <f t="shared" si="50"/>
        <v>0.30769230769230771</v>
      </c>
      <c r="U78" s="40">
        <f t="shared" si="50"/>
        <v>0.30769230769230771</v>
      </c>
      <c r="V78" s="40">
        <f t="shared" si="50"/>
        <v>0.30769230769230771</v>
      </c>
      <c r="W78" s="40">
        <f t="shared" si="50"/>
        <v>0.30769230769230771</v>
      </c>
      <c r="X78" s="40">
        <f t="shared" si="50"/>
        <v>0.30769230769230771</v>
      </c>
      <c r="Y78" s="40">
        <f t="shared" si="50"/>
        <v>0.30769230769230771</v>
      </c>
      <c r="Z78" s="40">
        <f t="shared" si="50"/>
        <v>0.30769230769230771</v>
      </c>
      <c r="AA78" s="40">
        <f t="shared" si="50"/>
        <v>0.30769230769230771</v>
      </c>
      <c r="AB78" s="40">
        <f t="shared" si="50"/>
        <v>0.30769230769230771</v>
      </c>
      <c r="AC78" s="40">
        <f t="shared" si="50"/>
        <v>0.30769230769230771</v>
      </c>
      <c r="AD78" s="40">
        <f t="shared" si="50"/>
        <v>0.30769230769230771</v>
      </c>
      <c r="AE78" s="40">
        <f t="shared" si="50"/>
        <v>0.30769230769230771</v>
      </c>
      <c r="AF78" s="40">
        <f t="shared" si="50"/>
        <v>0.30769230769230771</v>
      </c>
      <c r="AG78" s="40">
        <f t="shared" si="50"/>
        <v>0.30769230769230771</v>
      </c>
      <c r="AH78" s="40">
        <f t="shared" si="50"/>
        <v>0.30769230769230771</v>
      </c>
      <c r="AI78" s="40">
        <f t="shared" si="50"/>
        <v>0.30769230769230771</v>
      </c>
      <c r="AJ78" s="40">
        <f t="shared" si="50"/>
        <v>0.30769230769230771</v>
      </c>
      <c r="AK78" s="40">
        <f t="shared" ref="AK78:BD78" si="51">8/26</f>
        <v>0.30769230769230771</v>
      </c>
      <c r="AL78" s="40">
        <f t="shared" si="51"/>
        <v>0.30769230769230771</v>
      </c>
      <c r="AM78" s="40">
        <f t="shared" si="51"/>
        <v>0.30769230769230771</v>
      </c>
      <c r="AN78" s="40">
        <f t="shared" si="51"/>
        <v>0.30769230769230771</v>
      </c>
      <c r="AO78" s="40">
        <f t="shared" si="51"/>
        <v>0.30769230769230771</v>
      </c>
      <c r="AP78" s="40">
        <f t="shared" si="51"/>
        <v>0.30769230769230771</v>
      </c>
      <c r="AQ78" s="40">
        <f t="shared" si="51"/>
        <v>0.30769230769230771</v>
      </c>
      <c r="AR78" s="40">
        <f t="shared" si="51"/>
        <v>0.30769230769230771</v>
      </c>
      <c r="AS78" s="40">
        <f>8/26</f>
        <v>0.30769230769230771</v>
      </c>
      <c r="AT78" s="40">
        <f t="shared" si="51"/>
        <v>0.30769230769230771</v>
      </c>
      <c r="AU78" s="40">
        <f t="shared" si="51"/>
        <v>0.30769230769230771</v>
      </c>
      <c r="AV78" s="40">
        <f t="shared" si="51"/>
        <v>0.30769230769230771</v>
      </c>
      <c r="AW78" s="40">
        <f t="shared" si="51"/>
        <v>0.30769230769230771</v>
      </c>
      <c r="AX78" s="40">
        <f t="shared" si="51"/>
        <v>0.30769230769230771</v>
      </c>
      <c r="AY78" s="40">
        <f t="shared" si="51"/>
        <v>0.30769230769230771</v>
      </c>
      <c r="AZ78" s="40">
        <f t="shared" si="51"/>
        <v>0.30769230769230771</v>
      </c>
      <c r="BA78" s="40">
        <f t="shared" si="51"/>
        <v>0.30769230769230771</v>
      </c>
      <c r="BB78" s="40">
        <f t="shared" si="51"/>
        <v>0.30769230769230771</v>
      </c>
      <c r="BC78" s="40">
        <f t="shared" si="51"/>
        <v>0.30769230769230771</v>
      </c>
      <c r="BD78" s="40">
        <f t="shared" si="51"/>
        <v>0.30769230769230771</v>
      </c>
      <c r="BE78" s="206"/>
      <c r="BF78" s="206"/>
      <c r="BG78" s="206"/>
      <c r="BH78" s="206"/>
      <c r="BI78" t="s">
        <v>382</v>
      </c>
      <c r="BJ78" s="37">
        <v>1</v>
      </c>
      <c r="BK78" s="37">
        <v>1.03</v>
      </c>
      <c r="BL78" s="37">
        <v>1.03</v>
      </c>
      <c r="BO78" s="206"/>
      <c r="BP78" s="206"/>
    </row>
    <row r="79" spans="1:68" outlineLevel="1" x14ac:dyDescent="0.25">
      <c r="A79" s="206"/>
      <c r="B79" s="218" t="s">
        <v>383</v>
      </c>
      <c r="C79" s="27" t="s">
        <v>387</v>
      </c>
      <c r="D79" s="40">
        <v>0</v>
      </c>
      <c r="E79" s="40">
        <v>0</v>
      </c>
      <c r="F79" s="40">
        <v>0</v>
      </c>
      <c r="G79" s="40">
        <v>0</v>
      </c>
      <c r="H79" s="40">
        <v>0</v>
      </c>
      <c r="I79" s="40">
        <v>0.8</v>
      </c>
      <c r="J79" s="40">
        <v>0</v>
      </c>
      <c r="K79" s="40">
        <v>0.8</v>
      </c>
      <c r="L79" s="40">
        <v>0</v>
      </c>
      <c r="M79" s="40">
        <v>0.8</v>
      </c>
      <c r="N79" s="40">
        <v>0.8</v>
      </c>
      <c r="O79" s="40">
        <v>0.8</v>
      </c>
      <c r="P79" s="40">
        <v>0</v>
      </c>
      <c r="Q79" s="40">
        <v>0.8</v>
      </c>
      <c r="R79" s="40">
        <v>0</v>
      </c>
      <c r="S79" s="40">
        <v>0.8</v>
      </c>
      <c r="T79" s="40">
        <v>0</v>
      </c>
      <c r="U79" s="40">
        <v>0.8</v>
      </c>
      <c r="V79" s="40">
        <v>0.8</v>
      </c>
      <c r="W79" s="40">
        <v>0</v>
      </c>
      <c r="X79" s="40">
        <v>0.8</v>
      </c>
      <c r="Y79" s="40">
        <v>0</v>
      </c>
      <c r="Z79" s="40">
        <v>0.8</v>
      </c>
      <c r="AA79" s="40">
        <v>0</v>
      </c>
      <c r="AB79" s="40">
        <v>0.8</v>
      </c>
      <c r="AC79" s="40">
        <v>0</v>
      </c>
      <c r="AD79" s="40">
        <v>0.8</v>
      </c>
      <c r="AE79" s="40">
        <v>0</v>
      </c>
      <c r="AF79" s="40">
        <v>0.8</v>
      </c>
      <c r="AG79" s="40">
        <v>0.8</v>
      </c>
      <c r="AH79" s="40">
        <v>0</v>
      </c>
      <c r="AI79" s="40">
        <v>0.8</v>
      </c>
      <c r="AJ79" s="40">
        <v>0.8</v>
      </c>
      <c r="AK79" s="40">
        <v>0</v>
      </c>
      <c r="AL79" s="40">
        <v>0.8</v>
      </c>
      <c r="AM79" s="40">
        <v>0</v>
      </c>
      <c r="AN79" s="40">
        <v>0.8</v>
      </c>
      <c r="AO79" s="40">
        <v>0.8</v>
      </c>
      <c r="AP79" s="40">
        <v>0.8</v>
      </c>
      <c r="AQ79" s="40">
        <v>0</v>
      </c>
      <c r="AR79" s="40">
        <v>0.8</v>
      </c>
      <c r="AS79" s="40">
        <v>0</v>
      </c>
      <c r="AT79" s="40">
        <v>0.8</v>
      </c>
      <c r="AU79" s="40">
        <v>0.8</v>
      </c>
      <c r="AV79" s="40">
        <v>0.8</v>
      </c>
      <c r="AW79" s="40">
        <v>0.8</v>
      </c>
      <c r="AX79" s="40">
        <v>0.8</v>
      </c>
      <c r="AY79" s="40">
        <v>0.8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206"/>
      <c r="BF79" s="206"/>
      <c r="BG79" s="206"/>
      <c r="BH79" s="206"/>
      <c r="BI79" t="s">
        <v>383</v>
      </c>
      <c r="BJ79" s="37">
        <v>1</v>
      </c>
      <c r="BK79" s="37">
        <v>1.03</v>
      </c>
      <c r="BL79" s="37">
        <v>1.03</v>
      </c>
      <c r="BO79" s="206"/>
      <c r="BP79" s="206"/>
    </row>
    <row r="80" spans="1:68" outlineLevel="1" x14ac:dyDescent="0.25">
      <c r="A80" s="206"/>
      <c r="B80" s="218" t="s">
        <v>384</v>
      </c>
      <c r="C80" s="27" t="s">
        <v>388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9.2307692307692327E-2</v>
      </c>
      <c r="J80" s="40">
        <v>0</v>
      </c>
      <c r="K80" s="40">
        <v>9.2307692307692327E-2</v>
      </c>
      <c r="L80" s="40">
        <v>0</v>
      </c>
      <c r="M80" s="40">
        <v>9.2307692307692327E-2</v>
      </c>
      <c r="N80" s="40">
        <v>9.2307692307692327E-2</v>
      </c>
      <c r="O80" s="40">
        <v>9.2307692307692327E-2</v>
      </c>
      <c r="P80" s="40">
        <v>0</v>
      </c>
      <c r="Q80" s="40">
        <v>9.2307692307692327E-2</v>
      </c>
      <c r="R80" s="40">
        <v>0</v>
      </c>
      <c r="S80" s="40">
        <v>9.2307692307692327E-2</v>
      </c>
      <c r="T80" s="40">
        <v>0</v>
      </c>
      <c r="U80" s="40">
        <v>9.2307692307692327E-2</v>
      </c>
      <c r="V80" s="40">
        <v>9.2307692307692327E-2</v>
      </c>
      <c r="W80" s="40">
        <v>0</v>
      </c>
      <c r="X80" s="40">
        <v>9.2307692307692327E-2</v>
      </c>
      <c r="Y80" s="40">
        <v>0</v>
      </c>
      <c r="Z80" s="40">
        <v>9.2307692307692327E-2</v>
      </c>
      <c r="AA80" s="40">
        <v>0</v>
      </c>
      <c r="AB80" s="40">
        <v>9.2307692307692327E-2</v>
      </c>
      <c r="AC80" s="40">
        <v>0</v>
      </c>
      <c r="AD80" s="40">
        <v>9.2307692307692327E-2</v>
      </c>
      <c r="AE80" s="40">
        <v>0</v>
      </c>
      <c r="AF80" s="40">
        <v>9.2307692307692327E-2</v>
      </c>
      <c r="AG80" s="40">
        <v>9.2307692307692327E-2</v>
      </c>
      <c r="AH80" s="40">
        <v>0</v>
      </c>
      <c r="AI80" s="40">
        <v>9.2307692307692327E-2</v>
      </c>
      <c r="AJ80" s="40">
        <v>9.2307692307692327E-2</v>
      </c>
      <c r="AK80" s="40">
        <v>0</v>
      </c>
      <c r="AL80" s="40">
        <v>9.2307692307692327E-2</v>
      </c>
      <c r="AM80" s="40">
        <v>0</v>
      </c>
      <c r="AN80" s="40">
        <v>9.2307692307692327E-2</v>
      </c>
      <c r="AO80" s="40">
        <v>9.2307692307692327E-2</v>
      </c>
      <c r="AP80" s="40">
        <v>9.2307692307692327E-2</v>
      </c>
      <c r="AQ80" s="40">
        <v>0</v>
      </c>
      <c r="AR80" s="40">
        <v>9.2307692307692327E-2</v>
      </c>
      <c r="AS80" s="40">
        <v>0</v>
      </c>
      <c r="AT80" s="40">
        <v>9.2307692307692327E-2</v>
      </c>
      <c r="AU80" s="40">
        <v>9.2307692307692327E-2</v>
      </c>
      <c r="AV80" s="40">
        <v>9.2307692307692327E-2</v>
      </c>
      <c r="AW80" s="40">
        <v>9.2307692307692327E-2</v>
      </c>
      <c r="AX80" s="40">
        <v>9.2307692307692327E-2</v>
      </c>
      <c r="AY80" s="40">
        <v>9.2307692307692327E-2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206"/>
      <c r="BF80" s="206"/>
      <c r="BG80" s="206"/>
      <c r="BH80" s="206"/>
      <c r="BI80" t="s">
        <v>384</v>
      </c>
      <c r="BJ80" s="37">
        <v>1</v>
      </c>
      <c r="BK80" s="37">
        <v>1.03</v>
      </c>
      <c r="BL80" s="37">
        <v>1.03</v>
      </c>
      <c r="BO80" s="206"/>
      <c r="BP80" s="206"/>
    </row>
    <row r="81" spans="1:68" outlineLevel="1" x14ac:dyDescent="0.25">
      <c r="A81" s="206"/>
      <c r="B81" s="218" t="s">
        <v>385</v>
      </c>
      <c r="C81" s="27" t="s">
        <v>389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2</v>
      </c>
      <c r="J81" s="40">
        <v>0</v>
      </c>
      <c r="K81" s="40">
        <v>2</v>
      </c>
      <c r="L81" s="40">
        <v>0</v>
      </c>
      <c r="M81" s="40">
        <v>2</v>
      </c>
      <c r="N81" s="40">
        <v>2</v>
      </c>
      <c r="O81" s="40">
        <v>2</v>
      </c>
      <c r="P81" s="40">
        <v>0</v>
      </c>
      <c r="Q81" s="40">
        <v>2</v>
      </c>
      <c r="R81" s="40">
        <v>0</v>
      </c>
      <c r="S81" s="40">
        <v>2</v>
      </c>
      <c r="T81" s="40">
        <v>0</v>
      </c>
      <c r="U81" s="40">
        <v>2</v>
      </c>
      <c r="V81" s="40">
        <v>2</v>
      </c>
      <c r="W81" s="40">
        <v>0</v>
      </c>
      <c r="X81" s="40">
        <v>2</v>
      </c>
      <c r="Y81" s="40">
        <v>0</v>
      </c>
      <c r="Z81" s="40">
        <v>2</v>
      </c>
      <c r="AA81" s="40">
        <v>0</v>
      </c>
      <c r="AB81" s="40">
        <v>2</v>
      </c>
      <c r="AC81" s="40">
        <v>0</v>
      </c>
      <c r="AD81" s="40">
        <v>2</v>
      </c>
      <c r="AE81" s="40">
        <v>0</v>
      </c>
      <c r="AF81" s="40">
        <v>2</v>
      </c>
      <c r="AG81" s="40">
        <v>2</v>
      </c>
      <c r="AH81" s="40">
        <v>0</v>
      </c>
      <c r="AI81" s="40">
        <v>2</v>
      </c>
      <c r="AJ81" s="40">
        <v>2</v>
      </c>
      <c r="AK81" s="40">
        <v>0</v>
      </c>
      <c r="AL81" s="40">
        <v>2</v>
      </c>
      <c r="AM81" s="40">
        <v>0</v>
      </c>
      <c r="AN81" s="40">
        <v>2</v>
      </c>
      <c r="AO81" s="40">
        <v>2</v>
      </c>
      <c r="AP81" s="40">
        <v>2</v>
      </c>
      <c r="AQ81" s="40">
        <v>0</v>
      </c>
      <c r="AR81" s="40">
        <v>2</v>
      </c>
      <c r="AS81" s="40">
        <v>0</v>
      </c>
      <c r="AT81" s="40">
        <v>2</v>
      </c>
      <c r="AU81" s="40">
        <v>2</v>
      </c>
      <c r="AV81" s="40">
        <v>2</v>
      </c>
      <c r="AW81" s="40">
        <v>2</v>
      </c>
      <c r="AX81" s="40">
        <v>2</v>
      </c>
      <c r="AY81" s="40">
        <v>2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206"/>
      <c r="BF81" s="206"/>
      <c r="BG81" s="206"/>
      <c r="BH81" s="206"/>
      <c r="BI81" t="s">
        <v>385</v>
      </c>
      <c r="BJ81" s="37">
        <v>1</v>
      </c>
      <c r="BK81" s="37">
        <v>1.03</v>
      </c>
      <c r="BL81" s="37">
        <v>1.03</v>
      </c>
      <c r="BO81" s="206"/>
      <c r="BP81" s="206"/>
    </row>
    <row r="82" spans="1:68" outlineLevel="1" x14ac:dyDescent="0.25">
      <c r="A82" s="206"/>
      <c r="B82" s="218" t="s">
        <v>386</v>
      </c>
      <c r="C82" s="27" t="s">
        <v>387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0.8</v>
      </c>
      <c r="J82" s="40">
        <v>0</v>
      </c>
      <c r="K82" s="40">
        <v>0.8</v>
      </c>
      <c r="L82" s="40">
        <v>0</v>
      </c>
      <c r="M82" s="40">
        <v>0.8</v>
      </c>
      <c r="N82" s="40">
        <v>0.8</v>
      </c>
      <c r="O82" s="40">
        <v>0.8</v>
      </c>
      <c r="P82" s="40">
        <v>0</v>
      </c>
      <c r="Q82" s="40">
        <v>0.8</v>
      </c>
      <c r="R82" s="40">
        <v>0</v>
      </c>
      <c r="S82" s="40">
        <v>0.8</v>
      </c>
      <c r="T82" s="40">
        <v>0</v>
      </c>
      <c r="U82" s="40">
        <v>0.8</v>
      </c>
      <c r="V82" s="40">
        <v>0.8</v>
      </c>
      <c r="W82" s="40">
        <v>0</v>
      </c>
      <c r="X82" s="40">
        <v>0.8</v>
      </c>
      <c r="Y82" s="40">
        <v>0</v>
      </c>
      <c r="Z82" s="40">
        <v>0.8</v>
      </c>
      <c r="AA82" s="40">
        <v>0</v>
      </c>
      <c r="AB82" s="40">
        <v>0.8</v>
      </c>
      <c r="AC82" s="40">
        <v>0</v>
      </c>
      <c r="AD82" s="40">
        <v>0.8</v>
      </c>
      <c r="AE82" s="40">
        <v>0</v>
      </c>
      <c r="AF82" s="40">
        <v>0.8</v>
      </c>
      <c r="AG82" s="40">
        <v>0.8</v>
      </c>
      <c r="AH82" s="40">
        <v>0</v>
      </c>
      <c r="AI82" s="40">
        <v>0.8</v>
      </c>
      <c r="AJ82" s="40">
        <v>0.8</v>
      </c>
      <c r="AK82" s="40">
        <v>0</v>
      </c>
      <c r="AL82" s="40">
        <v>0.8</v>
      </c>
      <c r="AM82" s="40">
        <v>0</v>
      </c>
      <c r="AN82" s="40">
        <v>0.8</v>
      </c>
      <c r="AO82" s="40">
        <v>0.8</v>
      </c>
      <c r="AP82" s="40">
        <v>0.8</v>
      </c>
      <c r="AQ82" s="40">
        <v>0</v>
      </c>
      <c r="AR82" s="40">
        <v>0.8</v>
      </c>
      <c r="AS82" s="40">
        <v>0</v>
      </c>
      <c r="AT82" s="40">
        <v>0.8</v>
      </c>
      <c r="AU82" s="40">
        <v>0.8</v>
      </c>
      <c r="AV82" s="40">
        <v>0.8</v>
      </c>
      <c r="AW82" s="40">
        <v>0.8</v>
      </c>
      <c r="AX82" s="40">
        <v>0.8</v>
      </c>
      <c r="AY82" s="40">
        <v>0.8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206"/>
      <c r="BF82" s="206"/>
      <c r="BG82" s="206"/>
      <c r="BH82" s="206"/>
      <c r="BI82" t="s">
        <v>386</v>
      </c>
      <c r="BJ82" s="37">
        <v>1</v>
      </c>
      <c r="BK82" s="37">
        <v>1.03</v>
      </c>
      <c r="BL82" s="37">
        <v>1.03</v>
      </c>
      <c r="BO82" s="206"/>
      <c r="BP82" s="206"/>
    </row>
    <row r="83" spans="1:68" x14ac:dyDescent="0.25">
      <c r="A83" s="206"/>
      <c r="B83" s="211"/>
      <c r="C83" s="212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O83" s="206"/>
      <c r="BP83" s="206"/>
    </row>
    <row r="84" spans="1:68" x14ac:dyDescent="0.25">
      <c r="A84" s="206"/>
      <c r="B84" s="23" t="s">
        <v>391</v>
      </c>
      <c r="C84" s="23"/>
      <c r="D84" s="90" t="s">
        <v>122</v>
      </c>
      <c r="E84" s="29"/>
      <c r="F84" s="29"/>
      <c r="G84" s="29"/>
      <c r="H84" s="29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O84" s="206"/>
      <c r="BP84" s="206"/>
    </row>
    <row r="85" spans="1:68" outlineLevel="1" x14ac:dyDescent="0.25">
      <c r="A85" s="218" t="s">
        <v>371</v>
      </c>
      <c r="B85" s="218" t="s">
        <v>373</v>
      </c>
      <c r="C85" s="206"/>
      <c r="D85" s="28">
        <v>0</v>
      </c>
      <c r="E85" s="28">
        <f>IFERROR(25.5/SUM(E74:E75),0)</f>
        <v>2.2173913043478262</v>
      </c>
      <c r="F85" s="28">
        <f>IFERROR(25.5/SUM(F74:F75),0)</f>
        <v>2.2173913043478262</v>
      </c>
      <c r="G85" s="28">
        <f>IFERROR(25.5/SUM(G74:G75),0)</f>
        <v>2.2173913043478262</v>
      </c>
      <c r="H85" s="28">
        <f>IFERROR(25.5/SUM(H74:H75),0)</f>
        <v>2.2173913043478262</v>
      </c>
      <c r="I85" s="28">
        <f>IFERROR(28/SUM(I74:I75),0)</f>
        <v>1.1666666666666667</v>
      </c>
      <c r="J85" s="28">
        <f>IFERROR(28/SUM(J74:J75),0)</f>
        <v>2.4347826086956523</v>
      </c>
      <c r="K85" s="28">
        <f>IFERROR(28/SUM(K74:K75),0)</f>
        <v>1.1666666666666667</v>
      </c>
      <c r="L85" s="28">
        <f>IFERROR(28/SUM(L74:L75),0)</f>
        <v>2.4347826086956523</v>
      </c>
      <c r="M85" s="28">
        <f t="shared" ref="M85:AX85" si="52">IFERROR(25.5/SUM(M74:M75),0)</f>
        <v>1.0625</v>
      </c>
      <c r="N85" s="28">
        <f t="shared" si="52"/>
        <v>1.0625</v>
      </c>
      <c r="O85" s="28">
        <f t="shared" si="52"/>
        <v>1.0625</v>
      </c>
      <c r="P85" s="28">
        <f t="shared" si="52"/>
        <v>2.3181818181818183</v>
      </c>
      <c r="Q85" s="28">
        <f t="shared" si="52"/>
        <v>1.0625</v>
      </c>
      <c r="R85" s="28">
        <f t="shared" si="52"/>
        <v>2.2173913043478262</v>
      </c>
      <c r="S85" s="28">
        <f t="shared" si="52"/>
        <v>1.0625</v>
      </c>
      <c r="T85" s="28">
        <f t="shared" si="52"/>
        <v>2.2173913043478262</v>
      </c>
      <c r="U85" s="28">
        <f t="shared" si="52"/>
        <v>1.0625</v>
      </c>
      <c r="V85" s="28">
        <f t="shared" si="52"/>
        <v>1.0625</v>
      </c>
      <c r="W85" s="28">
        <f t="shared" si="52"/>
        <v>2.2173913043478262</v>
      </c>
      <c r="X85" s="28">
        <f t="shared" si="52"/>
        <v>1.0625</v>
      </c>
      <c r="Y85" s="28">
        <f t="shared" si="52"/>
        <v>2.2173913043478262</v>
      </c>
      <c r="Z85" s="28">
        <f t="shared" si="52"/>
        <v>1.0625</v>
      </c>
      <c r="AA85" s="28">
        <f t="shared" si="52"/>
        <v>2.2173913043478262</v>
      </c>
      <c r="AB85" s="28">
        <f t="shared" si="52"/>
        <v>1.0625</v>
      </c>
      <c r="AC85" s="28">
        <f t="shared" si="52"/>
        <v>2.2173913043478262</v>
      </c>
      <c r="AD85" s="28">
        <f t="shared" si="52"/>
        <v>1.0625</v>
      </c>
      <c r="AE85" s="28">
        <f t="shared" si="52"/>
        <v>2.2173913043478262</v>
      </c>
      <c r="AF85" s="28">
        <f t="shared" si="52"/>
        <v>1.0625</v>
      </c>
      <c r="AG85" s="28">
        <f t="shared" si="52"/>
        <v>1.0625</v>
      </c>
      <c r="AH85" s="28">
        <f t="shared" si="52"/>
        <v>2.2173913043478262</v>
      </c>
      <c r="AI85" s="28">
        <f t="shared" si="52"/>
        <v>1.0625</v>
      </c>
      <c r="AJ85" s="28">
        <f t="shared" si="52"/>
        <v>1.0625</v>
      </c>
      <c r="AK85" s="28">
        <f t="shared" si="52"/>
        <v>2.2173913043478262</v>
      </c>
      <c r="AL85" s="28">
        <f t="shared" si="52"/>
        <v>1.0625</v>
      </c>
      <c r="AM85" s="28">
        <f t="shared" si="52"/>
        <v>2.2173913043478262</v>
      </c>
      <c r="AN85" s="28">
        <f t="shared" si="52"/>
        <v>1.0625</v>
      </c>
      <c r="AO85" s="28">
        <f t="shared" si="52"/>
        <v>1.0625</v>
      </c>
      <c r="AP85" s="28">
        <f t="shared" si="52"/>
        <v>1.0625</v>
      </c>
      <c r="AQ85" s="28">
        <f t="shared" si="52"/>
        <v>2.2173913043478262</v>
      </c>
      <c r="AR85" s="28">
        <f t="shared" si="52"/>
        <v>1.0625</v>
      </c>
      <c r="AS85" s="28">
        <f t="shared" si="52"/>
        <v>2.2173913043478262</v>
      </c>
      <c r="AT85" s="28">
        <f t="shared" si="52"/>
        <v>1.0625</v>
      </c>
      <c r="AU85" s="28">
        <f t="shared" si="52"/>
        <v>1.0625</v>
      </c>
      <c r="AV85" s="28">
        <f t="shared" si="52"/>
        <v>1.0625</v>
      </c>
      <c r="AW85" s="28">
        <f t="shared" si="52"/>
        <v>1.0625</v>
      </c>
      <c r="AX85" s="28">
        <f t="shared" si="52"/>
        <v>1.0625</v>
      </c>
      <c r="AY85" s="28">
        <f>IFERROR(28/SUM(AY74:AY75),0)</f>
        <v>1.1666666666666667</v>
      </c>
      <c r="AZ85" s="28">
        <f>IFERROR(28/SUM(AZ74:AZ75),0)</f>
        <v>2.4347826086956523</v>
      </c>
      <c r="BA85" s="28">
        <f>IFERROR(25.5/SUM(BA74:BA75),0)</f>
        <v>1.0625</v>
      </c>
      <c r="BB85" s="28">
        <f>IFERROR(25.5/SUM(BB74:BB75),0)</f>
        <v>2.2173913043478262</v>
      </c>
      <c r="BC85" s="28">
        <f>IFERROR(25.5/SUM(BC74:BC75),0)</f>
        <v>2.2173913043478262</v>
      </c>
      <c r="BD85" s="28">
        <f>IFERROR(28/SUM(BD74:BD75),0)</f>
        <v>2.4347826086956523</v>
      </c>
      <c r="BE85" s="206"/>
      <c r="BF85" s="206"/>
      <c r="BG85" s="206"/>
      <c r="BH85" s="206"/>
      <c r="BO85" s="206"/>
      <c r="BP85" s="206"/>
    </row>
    <row r="86" spans="1:68" outlineLevel="1" x14ac:dyDescent="0.25">
      <c r="A86" s="218" t="s">
        <v>371</v>
      </c>
      <c r="B86" s="218" t="s">
        <v>374</v>
      </c>
      <c r="C86" s="206"/>
      <c r="D86" s="28">
        <v>0</v>
      </c>
      <c r="E86" s="28">
        <v>7</v>
      </c>
      <c r="F86" s="28">
        <v>7</v>
      </c>
      <c r="G86" s="28">
        <v>7</v>
      </c>
      <c r="H86" s="28">
        <v>7</v>
      </c>
      <c r="I86" s="28">
        <v>7</v>
      </c>
      <c r="J86" s="28">
        <v>12</v>
      </c>
      <c r="K86" s="28">
        <v>7</v>
      </c>
      <c r="L86" s="28">
        <v>12</v>
      </c>
      <c r="M86" s="28">
        <v>7</v>
      </c>
      <c r="N86" s="28">
        <v>7</v>
      </c>
      <c r="O86" s="28">
        <v>7</v>
      </c>
      <c r="P86" s="28">
        <v>11</v>
      </c>
      <c r="Q86" s="28">
        <v>7</v>
      </c>
      <c r="R86" s="28">
        <v>11</v>
      </c>
      <c r="S86" s="28">
        <v>7</v>
      </c>
      <c r="T86" s="28">
        <v>11</v>
      </c>
      <c r="U86" s="28">
        <v>7</v>
      </c>
      <c r="V86" s="28">
        <v>7</v>
      </c>
      <c r="W86" s="28">
        <v>11</v>
      </c>
      <c r="X86" s="28">
        <v>7</v>
      </c>
      <c r="Y86" s="28">
        <v>11</v>
      </c>
      <c r="Z86" s="28">
        <v>7</v>
      </c>
      <c r="AA86" s="28">
        <v>11</v>
      </c>
      <c r="AB86" s="28">
        <v>7</v>
      </c>
      <c r="AC86" s="28">
        <v>11</v>
      </c>
      <c r="AD86" s="28">
        <v>7</v>
      </c>
      <c r="AE86" s="28">
        <v>11</v>
      </c>
      <c r="AF86" s="28">
        <v>7</v>
      </c>
      <c r="AG86" s="28">
        <v>7</v>
      </c>
      <c r="AH86" s="28">
        <v>11</v>
      </c>
      <c r="AI86" s="28">
        <v>7</v>
      </c>
      <c r="AJ86" s="28">
        <v>7</v>
      </c>
      <c r="AK86" s="28">
        <v>11</v>
      </c>
      <c r="AL86" s="28">
        <v>7</v>
      </c>
      <c r="AM86" s="28">
        <v>11</v>
      </c>
      <c r="AN86" s="28">
        <v>7</v>
      </c>
      <c r="AO86" s="28">
        <v>7</v>
      </c>
      <c r="AP86" s="28">
        <v>7</v>
      </c>
      <c r="AQ86" s="28">
        <v>11</v>
      </c>
      <c r="AR86" s="28">
        <v>7</v>
      </c>
      <c r="AS86" s="28">
        <v>7</v>
      </c>
      <c r="AT86" s="28">
        <v>7</v>
      </c>
      <c r="AU86" s="28">
        <v>7</v>
      </c>
      <c r="AV86" s="28">
        <v>7</v>
      </c>
      <c r="AW86" s="28">
        <v>7</v>
      </c>
      <c r="AX86" s="28">
        <v>7</v>
      </c>
      <c r="AY86" s="28">
        <v>7</v>
      </c>
      <c r="AZ86" s="28">
        <v>11</v>
      </c>
      <c r="BA86" s="28">
        <v>7</v>
      </c>
      <c r="BB86" s="28">
        <v>11</v>
      </c>
      <c r="BC86" s="28">
        <v>11</v>
      </c>
      <c r="BD86" s="28">
        <v>11</v>
      </c>
      <c r="BE86" s="206"/>
      <c r="BF86" s="206"/>
      <c r="BG86" s="206"/>
      <c r="BH86" s="206"/>
      <c r="BO86" s="206"/>
      <c r="BP86" s="206"/>
    </row>
    <row r="87" spans="1:68" outlineLevel="1" x14ac:dyDescent="0.25">
      <c r="A87" s="218" t="s">
        <v>371</v>
      </c>
      <c r="B87" s="218" t="s">
        <v>375</v>
      </c>
      <c r="C87" s="27" t="s">
        <v>376</v>
      </c>
      <c r="D87" s="28">
        <v>0</v>
      </c>
      <c r="E87" s="30">
        <v>60</v>
      </c>
      <c r="F87" s="30">
        <v>60</v>
      </c>
      <c r="G87" s="30">
        <v>60</v>
      </c>
      <c r="H87" s="30">
        <v>60</v>
      </c>
      <c r="I87" s="30">
        <v>60</v>
      </c>
      <c r="J87" s="30">
        <v>60</v>
      </c>
      <c r="K87" s="30">
        <v>60</v>
      </c>
      <c r="L87" s="30">
        <v>60</v>
      </c>
      <c r="M87" s="30">
        <v>60</v>
      </c>
      <c r="N87" s="30">
        <v>60</v>
      </c>
      <c r="O87" s="30">
        <v>60</v>
      </c>
      <c r="P87" s="30">
        <v>60</v>
      </c>
      <c r="Q87" s="30">
        <v>60</v>
      </c>
      <c r="R87" s="30">
        <v>60</v>
      </c>
      <c r="S87" s="30">
        <v>60</v>
      </c>
      <c r="T87" s="30">
        <v>60</v>
      </c>
      <c r="U87" s="30">
        <v>60</v>
      </c>
      <c r="V87" s="30">
        <v>60</v>
      </c>
      <c r="W87" s="30">
        <v>60</v>
      </c>
      <c r="X87" s="30">
        <v>60</v>
      </c>
      <c r="Y87" s="30">
        <v>60</v>
      </c>
      <c r="Z87" s="30">
        <v>60</v>
      </c>
      <c r="AA87" s="30">
        <v>60</v>
      </c>
      <c r="AB87" s="30">
        <v>60</v>
      </c>
      <c r="AC87" s="30">
        <v>60</v>
      </c>
      <c r="AD87" s="30">
        <v>60</v>
      </c>
      <c r="AE87" s="30">
        <v>60</v>
      </c>
      <c r="AF87" s="30">
        <v>60</v>
      </c>
      <c r="AG87" s="30">
        <v>60</v>
      </c>
      <c r="AH87" s="30">
        <v>60</v>
      </c>
      <c r="AI87" s="30">
        <v>60</v>
      </c>
      <c r="AJ87" s="30">
        <v>60</v>
      </c>
      <c r="AK87" s="30">
        <v>60</v>
      </c>
      <c r="AL87" s="30">
        <v>60</v>
      </c>
      <c r="AM87" s="30">
        <v>60</v>
      </c>
      <c r="AN87" s="30">
        <v>60</v>
      </c>
      <c r="AO87" s="30">
        <v>60</v>
      </c>
      <c r="AP87" s="30">
        <v>60</v>
      </c>
      <c r="AQ87" s="30">
        <v>60</v>
      </c>
      <c r="AR87" s="30">
        <v>60</v>
      </c>
      <c r="AS87" s="30">
        <v>60</v>
      </c>
      <c r="AT87" s="30">
        <v>60</v>
      </c>
      <c r="AU87" s="30">
        <v>60</v>
      </c>
      <c r="AV87" s="30">
        <v>60</v>
      </c>
      <c r="AW87" s="30">
        <v>60</v>
      </c>
      <c r="AX87" s="30">
        <v>60</v>
      </c>
      <c r="AY87" s="30">
        <v>60</v>
      </c>
      <c r="AZ87" s="30">
        <v>60</v>
      </c>
      <c r="BA87" s="30">
        <v>60</v>
      </c>
      <c r="BB87" s="30">
        <v>60</v>
      </c>
      <c r="BC87" s="30">
        <v>60</v>
      </c>
      <c r="BD87" s="30">
        <v>60</v>
      </c>
      <c r="BE87" s="206"/>
      <c r="BF87" s="206"/>
      <c r="BG87" s="206"/>
      <c r="BH87" s="206"/>
      <c r="BO87" s="206"/>
      <c r="BP87" s="206"/>
    </row>
    <row r="88" spans="1:68" outlineLevel="1" x14ac:dyDescent="0.25">
      <c r="A88" s="218" t="s">
        <v>372</v>
      </c>
      <c r="B88" s="213" t="s">
        <v>123</v>
      </c>
      <c r="C88" s="27" t="s">
        <v>124</v>
      </c>
      <c r="D88" s="28">
        <v>0</v>
      </c>
      <c r="E88" s="30">
        <f t="shared" ref="E88:AJ88" si="53">6*52/12</f>
        <v>26</v>
      </c>
      <c r="F88" s="30">
        <f t="shared" si="53"/>
        <v>26</v>
      </c>
      <c r="G88" s="30">
        <f t="shared" si="53"/>
        <v>26</v>
      </c>
      <c r="H88" s="30">
        <f t="shared" si="53"/>
        <v>26</v>
      </c>
      <c r="I88" s="30">
        <f t="shared" si="53"/>
        <v>26</v>
      </c>
      <c r="J88" s="30">
        <f t="shared" si="53"/>
        <v>26</v>
      </c>
      <c r="K88" s="30">
        <f t="shared" si="53"/>
        <v>26</v>
      </c>
      <c r="L88" s="30">
        <f t="shared" si="53"/>
        <v>26</v>
      </c>
      <c r="M88" s="30">
        <f t="shared" si="53"/>
        <v>26</v>
      </c>
      <c r="N88" s="30">
        <f t="shared" si="53"/>
        <v>26</v>
      </c>
      <c r="O88" s="30">
        <f t="shared" si="53"/>
        <v>26</v>
      </c>
      <c r="P88" s="30">
        <f t="shared" si="53"/>
        <v>26</v>
      </c>
      <c r="Q88" s="30">
        <f t="shared" si="53"/>
        <v>26</v>
      </c>
      <c r="R88" s="30">
        <f t="shared" si="53"/>
        <v>26</v>
      </c>
      <c r="S88" s="30">
        <f t="shared" si="53"/>
        <v>26</v>
      </c>
      <c r="T88" s="30">
        <f t="shared" si="53"/>
        <v>26</v>
      </c>
      <c r="U88" s="30">
        <f t="shared" si="53"/>
        <v>26</v>
      </c>
      <c r="V88" s="30">
        <f t="shared" si="53"/>
        <v>26</v>
      </c>
      <c r="W88" s="30">
        <f t="shared" si="53"/>
        <v>26</v>
      </c>
      <c r="X88" s="30">
        <f t="shared" si="53"/>
        <v>26</v>
      </c>
      <c r="Y88" s="30">
        <f t="shared" si="53"/>
        <v>26</v>
      </c>
      <c r="Z88" s="30">
        <f t="shared" si="53"/>
        <v>26</v>
      </c>
      <c r="AA88" s="30">
        <f t="shared" si="53"/>
        <v>26</v>
      </c>
      <c r="AB88" s="30">
        <f t="shared" si="53"/>
        <v>26</v>
      </c>
      <c r="AC88" s="30">
        <f t="shared" si="53"/>
        <v>26</v>
      </c>
      <c r="AD88" s="30">
        <f t="shared" si="53"/>
        <v>26</v>
      </c>
      <c r="AE88" s="30">
        <f t="shared" si="53"/>
        <v>26</v>
      </c>
      <c r="AF88" s="30">
        <f t="shared" si="53"/>
        <v>26</v>
      </c>
      <c r="AG88" s="30">
        <f t="shared" si="53"/>
        <v>26</v>
      </c>
      <c r="AH88" s="30">
        <f t="shared" si="53"/>
        <v>26</v>
      </c>
      <c r="AI88" s="30">
        <f t="shared" si="53"/>
        <v>26</v>
      </c>
      <c r="AJ88" s="30">
        <f t="shared" si="53"/>
        <v>26</v>
      </c>
      <c r="AK88" s="30">
        <f t="shared" ref="AK88:BD88" si="54">6*52/12</f>
        <v>26</v>
      </c>
      <c r="AL88" s="30">
        <f t="shared" si="54"/>
        <v>26</v>
      </c>
      <c r="AM88" s="30">
        <f t="shared" si="54"/>
        <v>26</v>
      </c>
      <c r="AN88" s="30">
        <f t="shared" si="54"/>
        <v>26</v>
      </c>
      <c r="AO88" s="30">
        <f t="shared" si="54"/>
        <v>26</v>
      </c>
      <c r="AP88" s="30">
        <f t="shared" si="54"/>
        <v>26</v>
      </c>
      <c r="AQ88" s="30">
        <f t="shared" si="54"/>
        <v>26</v>
      </c>
      <c r="AR88" s="30">
        <f t="shared" si="54"/>
        <v>26</v>
      </c>
      <c r="AS88" s="30">
        <f t="shared" si="54"/>
        <v>26</v>
      </c>
      <c r="AT88" s="30">
        <f t="shared" si="54"/>
        <v>26</v>
      </c>
      <c r="AU88" s="30">
        <f t="shared" si="54"/>
        <v>26</v>
      </c>
      <c r="AV88" s="30">
        <f t="shared" si="54"/>
        <v>26</v>
      </c>
      <c r="AW88" s="30">
        <f t="shared" si="54"/>
        <v>26</v>
      </c>
      <c r="AX88" s="30">
        <f t="shared" si="54"/>
        <v>26</v>
      </c>
      <c r="AY88" s="30">
        <f t="shared" si="54"/>
        <v>26</v>
      </c>
      <c r="AZ88" s="30">
        <f t="shared" si="54"/>
        <v>26</v>
      </c>
      <c r="BA88" s="30">
        <f t="shared" si="54"/>
        <v>26</v>
      </c>
      <c r="BB88" s="30">
        <f t="shared" si="54"/>
        <v>26</v>
      </c>
      <c r="BC88" s="30">
        <f t="shared" si="54"/>
        <v>26</v>
      </c>
      <c r="BD88" s="30">
        <f t="shared" si="54"/>
        <v>26</v>
      </c>
      <c r="BE88" s="206"/>
      <c r="BF88" s="206"/>
      <c r="BG88" s="206"/>
      <c r="BH88" s="206"/>
      <c r="BO88" s="206"/>
      <c r="BP88" s="206"/>
    </row>
    <row r="89" spans="1:68" outlineLevel="1" x14ac:dyDescent="0.25">
      <c r="A89" s="218" t="s">
        <v>372</v>
      </c>
      <c r="B89" s="213" t="s">
        <v>125</v>
      </c>
      <c r="C89" s="27" t="s">
        <v>392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30">
        <v>21</v>
      </c>
      <c r="J89" s="30">
        <v>0</v>
      </c>
      <c r="K89" s="28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206"/>
      <c r="BF89" s="206"/>
      <c r="BG89" s="206"/>
      <c r="BH89" s="206"/>
      <c r="BO89" s="206"/>
      <c r="BP89" s="206"/>
    </row>
    <row r="90" spans="1:68" outlineLevel="1" x14ac:dyDescent="0.25">
      <c r="A90" s="218" t="s">
        <v>372</v>
      </c>
      <c r="B90" s="219" t="s">
        <v>402</v>
      </c>
      <c r="C90" s="27" t="s">
        <v>403</v>
      </c>
      <c r="D90" s="28">
        <v>0</v>
      </c>
      <c r="E90" s="30">
        <f t="shared" ref="E90:AJ90" si="55">3*52/12</f>
        <v>13</v>
      </c>
      <c r="F90" s="30">
        <f t="shared" si="55"/>
        <v>13</v>
      </c>
      <c r="G90" s="30">
        <f t="shared" si="55"/>
        <v>13</v>
      </c>
      <c r="H90" s="30">
        <f t="shared" si="55"/>
        <v>13</v>
      </c>
      <c r="I90" s="30">
        <f t="shared" si="55"/>
        <v>13</v>
      </c>
      <c r="J90" s="30">
        <f t="shared" si="55"/>
        <v>13</v>
      </c>
      <c r="K90" s="30">
        <f t="shared" si="55"/>
        <v>13</v>
      </c>
      <c r="L90" s="30">
        <f t="shared" si="55"/>
        <v>13</v>
      </c>
      <c r="M90" s="30">
        <f t="shared" si="55"/>
        <v>13</v>
      </c>
      <c r="N90" s="30">
        <f t="shared" si="55"/>
        <v>13</v>
      </c>
      <c r="O90" s="30">
        <f t="shared" si="55"/>
        <v>13</v>
      </c>
      <c r="P90" s="30">
        <f t="shared" si="55"/>
        <v>13</v>
      </c>
      <c r="Q90" s="30">
        <f t="shared" si="55"/>
        <v>13</v>
      </c>
      <c r="R90" s="30">
        <f t="shared" si="55"/>
        <v>13</v>
      </c>
      <c r="S90" s="30">
        <f t="shared" si="55"/>
        <v>13</v>
      </c>
      <c r="T90" s="30">
        <f t="shared" si="55"/>
        <v>13</v>
      </c>
      <c r="U90" s="30">
        <f t="shared" si="55"/>
        <v>13</v>
      </c>
      <c r="V90" s="30">
        <f t="shared" si="55"/>
        <v>13</v>
      </c>
      <c r="W90" s="30">
        <f t="shared" si="55"/>
        <v>13</v>
      </c>
      <c r="X90" s="30">
        <f t="shared" si="55"/>
        <v>13</v>
      </c>
      <c r="Y90" s="30">
        <f t="shared" si="55"/>
        <v>13</v>
      </c>
      <c r="Z90" s="30">
        <f t="shared" si="55"/>
        <v>13</v>
      </c>
      <c r="AA90" s="30">
        <f t="shared" si="55"/>
        <v>13</v>
      </c>
      <c r="AB90" s="30">
        <f t="shared" si="55"/>
        <v>13</v>
      </c>
      <c r="AC90" s="30">
        <f t="shared" si="55"/>
        <v>13</v>
      </c>
      <c r="AD90" s="30">
        <f t="shared" si="55"/>
        <v>13</v>
      </c>
      <c r="AE90" s="30">
        <f t="shared" si="55"/>
        <v>13</v>
      </c>
      <c r="AF90" s="30">
        <f t="shared" si="55"/>
        <v>13</v>
      </c>
      <c r="AG90" s="30">
        <f t="shared" si="55"/>
        <v>13</v>
      </c>
      <c r="AH90" s="30">
        <f t="shared" si="55"/>
        <v>13</v>
      </c>
      <c r="AI90" s="30">
        <f t="shared" si="55"/>
        <v>13</v>
      </c>
      <c r="AJ90" s="30">
        <f t="shared" si="55"/>
        <v>13</v>
      </c>
      <c r="AK90" s="30">
        <f t="shared" ref="AK90:BD90" si="56">3*52/12</f>
        <v>13</v>
      </c>
      <c r="AL90" s="30">
        <f t="shared" si="56"/>
        <v>13</v>
      </c>
      <c r="AM90" s="30">
        <f t="shared" si="56"/>
        <v>13</v>
      </c>
      <c r="AN90" s="30">
        <f t="shared" si="56"/>
        <v>13</v>
      </c>
      <c r="AO90" s="30">
        <f t="shared" si="56"/>
        <v>13</v>
      </c>
      <c r="AP90" s="30">
        <f t="shared" si="56"/>
        <v>13</v>
      </c>
      <c r="AQ90" s="30">
        <f t="shared" si="56"/>
        <v>13</v>
      </c>
      <c r="AR90" s="30">
        <f t="shared" si="56"/>
        <v>13</v>
      </c>
      <c r="AS90" s="30">
        <f t="shared" si="56"/>
        <v>13</v>
      </c>
      <c r="AT90" s="30">
        <f t="shared" si="56"/>
        <v>13</v>
      </c>
      <c r="AU90" s="30">
        <f t="shared" si="56"/>
        <v>13</v>
      </c>
      <c r="AV90" s="30">
        <f t="shared" si="56"/>
        <v>13</v>
      </c>
      <c r="AW90" s="30">
        <f t="shared" si="56"/>
        <v>13</v>
      </c>
      <c r="AX90" s="30">
        <f t="shared" si="56"/>
        <v>13</v>
      </c>
      <c r="AY90" s="30">
        <f t="shared" si="56"/>
        <v>13</v>
      </c>
      <c r="AZ90" s="30">
        <f t="shared" si="56"/>
        <v>13</v>
      </c>
      <c r="BA90" s="30">
        <f t="shared" si="56"/>
        <v>13</v>
      </c>
      <c r="BB90" s="30">
        <f t="shared" si="56"/>
        <v>13</v>
      </c>
      <c r="BC90" s="30">
        <f t="shared" si="56"/>
        <v>13</v>
      </c>
      <c r="BD90" s="30">
        <f t="shared" si="56"/>
        <v>13</v>
      </c>
      <c r="BE90" s="206"/>
      <c r="BF90" s="206"/>
      <c r="BG90" s="206"/>
      <c r="BH90" s="206"/>
      <c r="BO90" s="206"/>
      <c r="BP90" s="206"/>
    </row>
    <row r="91" spans="1:68" outlineLevel="1" x14ac:dyDescent="0.25">
      <c r="A91" s="206" t="str">
        <f>$B$85</f>
        <v>Primary Direct Staff</v>
      </c>
      <c r="B91" s="213" t="s">
        <v>126</v>
      </c>
      <c r="C91" s="27" t="s">
        <v>393</v>
      </c>
      <c r="D91" s="28">
        <v>0</v>
      </c>
      <c r="E91" s="30">
        <v>10</v>
      </c>
      <c r="F91" s="30">
        <v>10</v>
      </c>
      <c r="G91" s="30">
        <v>10</v>
      </c>
      <c r="H91" s="30">
        <v>10</v>
      </c>
      <c r="I91" s="30">
        <v>10</v>
      </c>
      <c r="J91" s="30">
        <v>10</v>
      </c>
      <c r="K91" s="30">
        <v>10</v>
      </c>
      <c r="L91" s="30">
        <v>10</v>
      </c>
      <c r="M91" s="30">
        <v>10</v>
      </c>
      <c r="N91" s="30">
        <v>10</v>
      </c>
      <c r="O91" s="30">
        <v>10</v>
      </c>
      <c r="P91" s="30">
        <v>10</v>
      </c>
      <c r="Q91" s="30">
        <v>10</v>
      </c>
      <c r="R91" s="30">
        <v>10</v>
      </c>
      <c r="S91" s="30">
        <v>10</v>
      </c>
      <c r="T91" s="30">
        <v>10</v>
      </c>
      <c r="U91" s="30">
        <v>10</v>
      </c>
      <c r="V91" s="30">
        <v>10</v>
      </c>
      <c r="W91" s="30">
        <v>10</v>
      </c>
      <c r="X91" s="30">
        <v>10</v>
      </c>
      <c r="Y91" s="30">
        <v>10</v>
      </c>
      <c r="Z91" s="30">
        <v>10</v>
      </c>
      <c r="AA91" s="30">
        <v>10</v>
      </c>
      <c r="AB91" s="30">
        <v>10</v>
      </c>
      <c r="AC91" s="30">
        <v>10</v>
      </c>
      <c r="AD91" s="30">
        <v>10</v>
      </c>
      <c r="AE91" s="30">
        <v>10</v>
      </c>
      <c r="AF91" s="30">
        <v>10</v>
      </c>
      <c r="AG91" s="30">
        <v>10</v>
      </c>
      <c r="AH91" s="30">
        <v>10</v>
      </c>
      <c r="AI91" s="30">
        <v>10</v>
      </c>
      <c r="AJ91" s="30">
        <v>10</v>
      </c>
      <c r="AK91" s="30">
        <v>10</v>
      </c>
      <c r="AL91" s="30">
        <v>10</v>
      </c>
      <c r="AM91" s="30">
        <v>10</v>
      </c>
      <c r="AN91" s="30">
        <v>10</v>
      </c>
      <c r="AO91" s="30">
        <v>10</v>
      </c>
      <c r="AP91" s="30">
        <v>10</v>
      </c>
      <c r="AQ91" s="30">
        <v>10</v>
      </c>
      <c r="AR91" s="30">
        <v>10</v>
      </c>
      <c r="AS91" s="30">
        <v>10</v>
      </c>
      <c r="AT91" s="30">
        <v>10</v>
      </c>
      <c r="AU91" s="30">
        <v>10</v>
      </c>
      <c r="AV91" s="30">
        <v>10</v>
      </c>
      <c r="AW91" s="30">
        <v>10</v>
      </c>
      <c r="AX91" s="30">
        <v>10</v>
      </c>
      <c r="AY91" s="30">
        <v>10</v>
      </c>
      <c r="AZ91" s="30">
        <v>10</v>
      </c>
      <c r="BA91" s="30">
        <v>10</v>
      </c>
      <c r="BB91" s="30">
        <v>10</v>
      </c>
      <c r="BC91" s="30">
        <v>10</v>
      </c>
      <c r="BD91" s="30">
        <v>10</v>
      </c>
      <c r="BE91" s="206"/>
      <c r="BF91" s="206"/>
      <c r="BG91" s="206"/>
      <c r="BH91" s="206"/>
      <c r="BO91" s="206"/>
      <c r="BP91" s="206"/>
    </row>
    <row r="92" spans="1:68" outlineLevel="1" x14ac:dyDescent="0.25">
      <c r="A92" s="206" t="str">
        <f>$B$85</f>
        <v>Primary Direct Staff</v>
      </c>
      <c r="B92" s="213" t="s">
        <v>127</v>
      </c>
      <c r="C92" s="27" t="s">
        <v>394</v>
      </c>
      <c r="D92" s="28">
        <v>0</v>
      </c>
      <c r="E92" s="30">
        <v>20</v>
      </c>
      <c r="F92" s="30">
        <v>20</v>
      </c>
      <c r="G92" s="30">
        <v>20</v>
      </c>
      <c r="H92" s="30">
        <v>20</v>
      </c>
      <c r="I92" s="30">
        <v>20</v>
      </c>
      <c r="J92" s="30">
        <v>20</v>
      </c>
      <c r="K92" s="30">
        <v>20</v>
      </c>
      <c r="L92" s="30">
        <v>20</v>
      </c>
      <c r="M92" s="30">
        <v>20</v>
      </c>
      <c r="N92" s="30">
        <v>20</v>
      </c>
      <c r="O92" s="30">
        <v>20</v>
      </c>
      <c r="P92" s="30">
        <v>20</v>
      </c>
      <c r="Q92" s="30">
        <v>20</v>
      </c>
      <c r="R92" s="30">
        <v>20</v>
      </c>
      <c r="S92" s="30">
        <v>20</v>
      </c>
      <c r="T92" s="30">
        <v>20</v>
      </c>
      <c r="U92" s="30">
        <v>20</v>
      </c>
      <c r="V92" s="30">
        <v>20</v>
      </c>
      <c r="W92" s="30">
        <v>20</v>
      </c>
      <c r="X92" s="30">
        <v>20</v>
      </c>
      <c r="Y92" s="30">
        <v>20</v>
      </c>
      <c r="Z92" s="30">
        <v>20</v>
      </c>
      <c r="AA92" s="30">
        <v>20</v>
      </c>
      <c r="AB92" s="30">
        <v>20</v>
      </c>
      <c r="AC92" s="30">
        <v>20</v>
      </c>
      <c r="AD92" s="30">
        <v>20</v>
      </c>
      <c r="AE92" s="30">
        <v>20</v>
      </c>
      <c r="AF92" s="30">
        <v>20</v>
      </c>
      <c r="AG92" s="30">
        <v>20</v>
      </c>
      <c r="AH92" s="30">
        <v>20</v>
      </c>
      <c r="AI92" s="30">
        <v>20</v>
      </c>
      <c r="AJ92" s="30">
        <v>20</v>
      </c>
      <c r="AK92" s="30">
        <v>20</v>
      </c>
      <c r="AL92" s="30">
        <v>20</v>
      </c>
      <c r="AM92" s="30">
        <v>20</v>
      </c>
      <c r="AN92" s="30">
        <v>20</v>
      </c>
      <c r="AO92" s="30">
        <v>20</v>
      </c>
      <c r="AP92" s="30">
        <v>20</v>
      </c>
      <c r="AQ92" s="30">
        <v>20</v>
      </c>
      <c r="AR92" s="30">
        <v>20</v>
      </c>
      <c r="AS92" s="30">
        <v>20</v>
      </c>
      <c r="AT92" s="30">
        <v>20</v>
      </c>
      <c r="AU92" s="30">
        <v>20</v>
      </c>
      <c r="AV92" s="30">
        <v>20</v>
      </c>
      <c r="AW92" s="30">
        <v>20</v>
      </c>
      <c r="AX92" s="30">
        <v>20</v>
      </c>
      <c r="AY92" s="30">
        <v>20</v>
      </c>
      <c r="AZ92" s="30">
        <v>20</v>
      </c>
      <c r="BA92" s="30">
        <v>20</v>
      </c>
      <c r="BB92" s="30">
        <v>20</v>
      </c>
      <c r="BC92" s="30">
        <v>20</v>
      </c>
      <c r="BD92" s="30">
        <v>20</v>
      </c>
      <c r="BE92" s="206"/>
      <c r="BF92" s="206"/>
      <c r="BG92" s="206"/>
      <c r="BH92" s="206"/>
      <c r="BO92" s="206"/>
      <c r="BP92" s="206"/>
    </row>
    <row r="93" spans="1:68" outlineLevel="1" x14ac:dyDescent="0.25">
      <c r="A93" s="218" t="s">
        <v>371</v>
      </c>
      <c r="B93" s="218" t="s">
        <v>401</v>
      </c>
      <c r="C93" s="27" t="s">
        <v>128</v>
      </c>
      <c r="D93" s="28">
        <v>0</v>
      </c>
      <c r="E93" s="30">
        <v>250</v>
      </c>
      <c r="F93" s="30">
        <v>250</v>
      </c>
      <c r="G93" s="30">
        <v>250</v>
      </c>
      <c r="H93" s="30">
        <v>250</v>
      </c>
      <c r="I93" s="30">
        <v>250</v>
      </c>
      <c r="J93" s="30">
        <v>250</v>
      </c>
      <c r="K93" s="30">
        <v>250</v>
      </c>
      <c r="L93" s="30">
        <v>250</v>
      </c>
      <c r="M93" s="30">
        <v>250</v>
      </c>
      <c r="N93" s="30">
        <v>250</v>
      </c>
      <c r="O93" s="30">
        <v>250</v>
      </c>
      <c r="P93" s="30">
        <v>250</v>
      </c>
      <c r="Q93" s="30">
        <v>250</v>
      </c>
      <c r="R93" s="30">
        <v>250</v>
      </c>
      <c r="S93" s="30">
        <v>250</v>
      </c>
      <c r="T93" s="30">
        <v>250</v>
      </c>
      <c r="U93" s="30">
        <v>250</v>
      </c>
      <c r="V93" s="30">
        <v>250</v>
      </c>
      <c r="W93" s="30">
        <v>250</v>
      </c>
      <c r="X93" s="30">
        <v>250</v>
      </c>
      <c r="Y93" s="30">
        <v>250</v>
      </c>
      <c r="Z93" s="30">
        <v>250</v>
      </c>
      <c r="AA93" s="30">
        <v>250</v>
      </c>
      <c r="AB93" s="30">
        <v>250</v>
      </c>
      <c r="AC93" s="30">
        <v>250</v>
      </c>
      <c r="AD93" s="30">
        <v>250</v>
      </c>
      <c r="AE93" s="30">
        <v>250</v>
      </c>
      <c r="AF93" s="30">
        <v>250</v>
      </c>
      <c r="AG93" s="30">
        <v>250</v>
      </c>
      <c r="AH93" s="30">
        <v>250</v>
      </c>
      <c r="AI93" s="30">
        <v>250</v>
      </c>
      <c r="AJ93" s="30">
        <v>250</v>
      </c>
      <c r="AK93" s="30">
        <v>250</v>
      </c>
      <c r="AL93" s="30">
        <v>250</v>
      </c>
      <c r="AM93" s="30">
        <v>250</v>
      </c>
      <c r="AN93" s="30">
        <v>250</v>
      </c>
      <c r="AO93" s="30">
        <v>250</v>
      </c>
      <c r="AP93" s="30">
        <v>250</v>
      </c>
      <c r="AQ93" s="30">
        <v>250</v>
      </c>
      <c r="AR93" s="30">
        <v>250</v>
      </c>
      <c r="AS93" s="30">
        <v>250</v>
      </c>
      <c r="AT93" s="30">
        <v>250</v>
      </c>
      <c r="AU93" s="30">
        <v>250</v>
      </c>
      <c r="AV93" s="30">
        <v>250</v>
      </c>
      <c r="AW93" s="30">
        <v>250</v>
      </c>
      <c r="AX93" s="30">
        <v>250</v>
      </c>
      <c r="AY93" s="30">
        <v>250</v>
      </c>
      <c r="AZ93" s="30">
        <v>250</v>
      </c>
      <c r="BA93" s="30">
        <v>250</v>
      </c>
      <c r="BB93" s="30">
        <v>250</v>
      </c>
      <c r="BC93" s="30">
        <v>250</v>
      </c>
      <c r="BD93" s="30">
        <v>250</v>
      </c>
      <c r="BE93" s="206"/>
      <c r="BF93" s="206"/>
      <c r="BG93" s="206"/>
      <c r="BH93" s="206"/>
      <c r="BO93" s="206"/>
      <c r="BP93" s="206"/>
    </row>
    <row r="94" spans="1:68" outlineLevel="1" x14ac:dyDescent="0.25">
      <c r="A94" s="218" t="s">
        <v>371</v>
      </c>
      <c r="B94" s="218" t="s">
        <v>400</v>
      </c>
      <c r="C94" s="27"/>
      <c r="D94" s="28">
        <v>0</v>
      </c>
      <c r="E94" s="30">
        <v>250</v>
      </c>
      <c r="F94" s="30">
        <v>250</v>
      </c>
      <c r="G94" s="30">
        <v>250</v>
      </c>
      <c r="H94" s="30">
        <v>250</v>
      </c>
      <c r="I94" s="30">
        <v>250</v>
      </c>
      <c r="J94" s="30">
        <v>250</v>
      </c>
      <c r="K94" s="30">
        <v>250</v>
      </c>
      <c r="L94" s="30">
        <v>250</v>
      </c>
      <c r="M94" s="30">
        <v>250</v>
      </c>
      <c r="N94" s="30">
        <v>250</v>
      </c>
      <c r="O94" s="30">
        <v>250</v>
      </c>
      <c r="P94" s="30">
        <v>250</v>
      </c>
      <c r="Q94" s="30">
        <v>250</v>
      </c>
      <c r="R94" s="30">
        <v>250</v>
      </c>
      <c r="S94" s="30">
        <v>250</v>
      </c>
      <c r="T94" s="30">
        <v>250</v>
      </c>
      <c r="U94" s="30">
        <v>250</v>
      </c>
      <c r="V94" s="30">
        <v>250</v>
      </c>
      <c r="W94" s="30">
        <v>250</v>
      </c>
      <c r="X94" s="30">
        <v>250</v>
      </c>
      <c r="Y94" s="30">
        <v>250</v>
      </c>
      <c r="Z94" s="30">
        <v>250</v>
      </c>
      <c r="AA94" s="30">
        <v>250</v>
      </c>
      <c r="AB94" s="30">
        <v>250</v>
      </c>
      <c r="AC94" s="30">
        <v>250</v>
      </c>
      <c r="AD94" s="30">
        <v>250</v>
      </c>
      <c r="AE94" s="30">
        <v>250</v>
      </c>
      <c r="AF94" s="30">
        <v>250</v>
      </c>
      <c r="AG94" s="30">
        <v>250</v>
      </c>
      <c r="AH94" s="30">
        <v>250</v>
      </c>
      <c r="AI94" s="30">
        <v>250</v>
      </c>
      <c r="AJ94" s="30">
        <v>250</v>
      </c>
      <c r="AK94" s="30">
        <v>250</v>
      </c>
      <c r="AL94" s="30">
        <v>250</v>
      </c>
      <c r="AM94" s="30">
        <v>250</v>
      </c>
      <c r="AN94" s="30">
        <v>250</v>
      </c>
      <c r="AO94" s="30">
        <v>250</v>
      </c>
      <c r="AP94" s="30">
        <v>250</v>
      </c>
      <c r="AQ94" s="30">
        <v>250</v>
      </c>
      <c r="AR94" s="30">
        <v>250</v>
      </c>
      <c r="AS94" s="30">
        <v>250</v>
      </c>
      <c r="AT94" s="30">
        <v>250</v>
      </c>
      <c r="AU94" s="30">
        <v>250</v>
      </c>
      <c r="AV94" s="30">
        <v>250</v>
      </c>
      <c r="AW94" s="30">
        <v>250</v>
      </c>
      <c r="AX94" s="30">
        <v>250</v>
      </c>
      <c r="AY94" s="30">
        <v>250</v>
      </c>
      <c r="AZ94" s="30">
        <v>250</v>
      </c>
      <c r="BA94" s="30">
        <v>250</v>
      </c>
      <c r="BB94" s="30">
        <v>250</v>
      </c>
      <c r="BC94" s="30">
        <v>250</v>
      </c>
      <c r="BD94" s="30">
        <v>250</v>
      </c>
      <c r="BE94" s="206"/>
      <c r="BF94" s="206"/>
      <c r="BG94" s="206"/>
      <c r="BH94" s="206"/>
      <c r="BO94" s="206"/>
      <c r="BP94" s="206"/>
    </row>
    <row r="95" spans="1:68" outlineLevel="1" x14ac:dyDescent="0.25">
      <c r="A95" s="218" t="s">
        <v>371</v>
      </c>
      <c r="B95" s="218" t="s">
        <v>399</v>
      </c>
      <c r="C95" s="29" t="s">
        <v>398</v>
      </c>
      <c r="D95" s="28">
        <v>0</v>
      </c>
      <c r="E95" s="30">
        <v>10</v>
      </c>
      <c r="F95" s="30">
        <v>10</v>
      </c>
      <c r="G95" s="30">
        <v>10</v>
      </c>
      <c r="H95" s="30">
        <v>10</v>
      </c>
      <c r="I95" s="30">
        <v>10</v>
      </c>
      <c r="J95" s="30">
        <v>0</v>
      </c>
      <c r="K95" s="30">
        <v>10</v>
      </c>
      <c r="L95" s="30">
        <v>0</v>
      </c>
      <c r="M95" s="30">
        <v>10</v>
      </c>
      <c r="N95" s="30">
        <v>10</v>
      </c>
      <c r="O95" s="30">
        <v>10</v>
      </c>
      <c r="P95" s="30">
        <v>0</v>
      </c>
      <c r="Q95" s="30">
        <v>10</v>
      </c>
      <c r="R95" s="30">
        <v>0</v>
      </c>
      <c r="S95" s="30">
        <v>10</v>
      </c>
      <c r="T95" s="30">
        <v>0</v>
      </c>
      <c r="U95" s="30">
        <v>10</v>
      </c>
      <c r="V95" s="30">
        <v>10</v>
      </c>
      <c r="W95" s="30">
        <v>0</v>
      </c>
      <c r="X95" s="30">
        <v>10</v>
      </c>
      <c r="Y95" s="30">
        <v>0</v>
      </c>
      <c r="Z95" s="30">
        <v>10</v>
      </c>
      <c r="AA95" s="30">
        <v>0</v>
      </c>
      <c r="AB95" s="30">
        <v>10</v>
      </c>
      <c r="AC95" s="30">
        <v>0</v>
      </c>
      <c r="AD95" s="30">
        <v>10</v>
      </c>
      <c r="AE95" s="30">
        <v>0</v>
      </c>
      <c r="AF95" s="30">
        <v>10</v>
      </c>
      <c r="AG95" s="30">
        <v>10</v>
      </c>
      <c r="AH95" s="30">
        <v>0</v>
      </c>
      <c r="AI95" s="30">
        <v>10</v>
      </c>
      <c r="AJ95" s="30">
        <v>10</v>
      </c>
      <c r="AK95" s="30">
        <v>0</v>
      </c>
      <c r="AL95" s="30">
        <v>10</v>
      </c>
      <c r="AM95" s="30">
        <v>0</v>
      </c>
      <c r="AN95" s="30">
        <v>10</v>
      </c>
      <c r="AO95" s="30">
        <v>10</v>
      </c>
      <c r="AP95" s="30">
        <v>10</v>
      </c>
      <c r="AQ95" s="30">
        <v>0</v>
      </c>
      <c r="AR95" s="30">
        <v>10</v>
      </c>
      <c r="AS95" s="30">
        <v>0</v>
      </c>
      <c r="AT95" s="30">
        <v>10</v>
      </c>
      <c r="AU95" s="30">
        <v>10</v>
      </c>
      <c r="AV95" s="30">
        <v>10</v>
      </c>
      <c r="AW95" s="30">
        <v>10</v>
      </c>
      <c r="AX95" s="30">
        <v>10</v>
      </c>
      <c r="AY95" s="30">
        <v>10</v>
      </c>
      <c r="AZ95" s="30">
        <v>0</v>
      </c>
      <c r="BA95" s="30">
        <v>10</v>
      </c>
      <c r="BB95" s="30">
        <v>0</v>
      </c>
      <c r="BC95" s="30">
        <v>0</v>
      </c>
      <c r="BD95" s="30">
        <v>0</v>
      </c>
      <c r="BE95" s="206"/>
      <c r="BF95" s="206"/>
      <c r="BG95" s="206"/>
      <c r="BH95" s="206"/>
      <c r="BO95" s="206"/>
      <c r="BP95" s="206"/>
    </row>
    <row r="96" spans="1:68" outlineLevel="1" x14ac:dyDescent="0.25">
      <c r="A96" s="218" t="s">
        <v>371</v>
      </c>
      <c r="B96" s="218" t="s">
        <v>395</v>
      </c>
      <c r="C96" s="29" t="s">
        <v>398</v>
      </c>
      <c r="D96" s="84">
        <f>IFERROR(40*(48/52)/SUM(D79:D80),0)+N("35 hours but adjusted to 40 to account for Director of ST")</f>
        <v>0</v>
      </c>
      <c r="E96" s="84">
        <f t="shared" ref="E96:H96" si="57">IFERROR(40*(48/52)/SUM(E79:E80),0)+N("35 hours but adjusted to 40 to account for Director of ST")</f>
        <v>0</v>
      </c>
      <c r="F96" s="84">
        <f t="shared" si="57"/>
        <v>0</v>
      </c>
      <c r="G96" s="84">
        <f t="shared" si="57"/>
        <v>0</v>
      </c>
      <c r="H96" s="84">
        <f t="shared" si="57"/>
        <v>0</v>
      </c>
      <c r="I96" s="84">
        <f t="shared" ref="I96:BD96" si="58">IFERROR(40*(48/52)/SUM(I79:I80),0)+N("35 hours but adjusted to 40 to account for Director of ST")</f>
        <v>41.379310344827587</v>
      </c>
      <c r="J96" s="84">
        <f t="shared" si="58"/>
        <v>0</v>
      </c>
      <c r="K96" s="84">
        <f t="shared" si="58"/>
        <v>41.379310344827587</v>
      </c>
      <c r="L96" s="84">
        <f t="shared" ref="L96" si="59">IFERROR(40*(48/52)/SUM(L79:L80),0)+N("35 hours but adjusted to 40 to account for Director of ST")</f>
        <v>0</v>
      </c>
      <c r="M96" s="84">
        <f t="shared" si="58"/>
        <v>41.379310344827587</v>
      </c>
      <c r="N96" s="84">
        <f t="shared" si="58"/>
        <v>41.379310344827587</v>
      </c>
      <c r="O96" s="84">
        <f t="shared" si="58"/>
        <v>41.379310344827587</v>
      </c>
      <c r="P96" s="84">
        <f t="shared" si="58"/>
        <v>0</v>
      </c>
      <c r="Q96" s="84">
        <f t="shared" si="58"/>
        <v>41.379310344827587</v>
      </c>
      <c r="R96" s="84">
        <f t="shared" si="58"/>
        <v>0</v>
      </c>
      <c r="S96" s="84">
        <f t="shared" si="58"/>
        <v>41.379310344827587</v>
      </c>
      <c r="T96" s="84">
        <f t="shared" si="58"/>
        <v>0</v>
      </c>
      <c r="U96" s="84">
        <f t="shared" si="58"/>
        <v>41.379310344827587</v>
      </c>
      <c r="V96" s="84">
        <f t="shared" si="58"/>
        <v>41.379310344827587</v>
      </c>
      <c r="W96" s="84">
        <f t="shared" si="58"/>
        <v>0</v>
      </c>
      <c r="X96" s="84">
        <f t="shared" si="58"/>
        <v>41.379310344827587</v>
      </c>
      <c r="Y96" s="84">
        <f t="shared" si="58"/>
        <v>0</v>
      </c>
      <c r="Z96" s="84">
        <f t="shared" si="58"/>
        <v>41.379310344827587</v>
      </c>
      <c r="AA96" s="84">
        <f t="shared" si="58"/>
        <v>0</v>
      </c>
      <c r="AB96" s="84">
        <f t="shared" si="58"/>
        <v>41.379310344827587</v>
      </c>
      <c r="AC96" s="84">
        <f t="shared" si="58"/>
        <v>0</v>
      </c>
      <c r="AD96" s="84">
        <f t="shared" si="58"/>
        <v>41.379310344827587</v>
      </c>
      <c r="AE96" s="84">
        <f t="shared" si="58"/>
        <v>0</v>
      </c>
      <c r="AF96" s="84">
        <f t="shared" si="58"/>
        <v>41.379310344827587</v>
      </c>
      <c r="AG96" s="84">
        <f t="shared" si="58"/>
        <v>41.379310344827587</v>
      </c>
      <c r="AH96" s="84">
        <f t="shared" si="58"/>
        <v>0</v>
      </c>
      <c r="AI96" s="84">
        <f t="shared" si="58"/>
        <v>41.379310344827587</v>
      </c>
      <c r="AJ96" s="84">
        <f t="shared" si="58"/>
        <v>41.379310344827587</v>
      </c>
      <c r="AK96" s="84">
        <f t="shared" si="58"/>
        <v>0</v>
      </c>
      <c r="AL96" s="84">
        <f t="shared" si="58"/>
        <v>41.379310344827587</v>
      </c>
      <c r="AM96" s="84">
        <f t="shared" si="58"/>
        <v>0</v>
      </c>
      <c r="AN96" s="84">
        <f t="shared" si="58"/>
        <v>41.379310344827587</v>
      </c>
      <c r="AO96" s="84">
        <f t="shared" si="58"/>
        <v>41.379310344827587</v>
      </c>
      <c r="AP96" s="84">
        <f t="shared" si="58"/>
        <v>41.379310344827587</v>
      </c>
      <c r="AQ96" s="84">
        <f t="shared" si="58"/>
        <v>0</v>
      </c>
      <c r="AR96" s="84">
        <f t="shared" si="58"/>
        <v>41.379310344827587</v>
      </c>
      <c r="AS96" s="178">
        <f>IFERROR(40*(48/52)/SUM(AS79:AS80),0)+N("35 hours but adjusted to 40 to account for Director of ST")</f>
        <v>0</v>
      </c>
      <c r="AT96" s="84">
        <f t="shared" si="58"/>
        <v>41.379310344827587</v>
      </c>
      <c r="AU96" s="84">
        <f t="shared" si="58"/>
        <v>41.379310344827587</v>
      </c>
      <c r="AV96" s="84">
        <f t="shared" si="58"/>
        <v>41.379310344827587</v>
      </c>
      <c r="AW96" s="84">
        <f t="shared" si="58"/>
        <v>41.379310344827587</v>
      </c>
      <c r="AX96" s="84">
        <f t="shared" si="58"/>
        <v>41.379310344827587</v>
      </c>
      <c r="AY96" s="84">
        <f t="shared" si="58"/>
        <v>41.379310344827587</v>
      </c>
      <c r="AZ96" s="84">
        <f t="shared" si="58"/>
        <v>0</v>
      </c>
      <c r="BA96" s="84">
        <f t="shared" si="58"/>
        <v>0</v>
      </c>
      <c r="BB96" s="84">
        <f t="shared" ref="BB96:BC96" si="60">IFERROR(40*(48/52)/SUM(BB79:BB80),0)+N("35 hours but adjusted to 40 to account for Director of ST")</f>
        <v>0</v>
      </c>
      <c r="BC96" s="84">
        <f t="shared" si="60"/>
        <v>0</v>
      </c>
      <c r="BD96" s="84">
        <f t="shared" si="58"/>
        <v>0</v>
      </c>
      <c r="BE96" s="206"/>
      <c r="BF96" s="206"/>
      <c r="BG96" s="206"/>
      <c r="BH96" s="206"/>
      <c r="BO96" s="206"/>
      <c r="BP96" s="206"/>
    </row>
    <row r="97" spans="1:68" outlineLevel="1" x14ac:dyDescent="0.25">
      <c r="A97" s="218" t="s">
        <v>371</v>
      </c>
      <c r="B97" s="218" t="s">
        <v>396</v>
      </c>
      <c r="C97" s="29" t="s">
        <v>398</v>
      </c>
      <c r="D97" s="84">
        <f>IFERROR(40*(48/52)/D82,0)+N("35 hours but adjusted to 40 to account for Director of OT")</f>
        <v>0</v>
      </c>
      <c r="E97" s="84">
        <f t="shared" ref="E97:H97" si="61">IFERROR(40*(48/52)/E82,0)+N("35 hours but adjusted to 40 to account for Director of OT")</f>
        <v>0</v>
      </c>
      <c r="F97" s="84">
        <f t="shared" si="61"/>
        <v>0</v>
      </c>
      <c r="G97" s="84">
        <f t="shared" si="61"/>
        <v>0</v>
      </c>
      <c r="H97" s="84">
        <f t="shared" si="61"/>
        <v>0</v>
      </c>
      <c r="I97" s="84">
        <f t="shared" ref="I97:BD97" si="62">IFERROR(40*(48/52)/I82,0)+N("35 hours but adjusted to 40 to account for Director of OT")</f>
        <v>46.153846153846153</v>
      </c>
      <c r="J97" s="84">
        <f t="shared" si="62"/>
        <v>0</v>
      </c>
      <c r="K97" s="84">
        <f t="shared" si="62"/>
        <v>46.153846153846153</v>
      </c>
      <c r="L97" s="84">
        <f t="shared" ref="L97" si="63">IFERROR(40*(48/52)/L82,0)+N("35 hours but adjusted to 40 to account for Director of OT")</f>
        <v>0</v>
      </c>
      <c r="M97" s="84">
        <f t="shared" si="62"/>
        <v>46.153846153846153</v>
      </c>
      <c r="N97" s="84">
        <f t="shared" si="62"/>
        <v>46.153846153846153</v>
      </c>
      <c r="O97" s="84">
        <f t="shared" si="62"/>
        <v>46.153846153846153</v>
      </c>
      <c r="P97" s="84">
        <f t="shared" si="62"/>
        <v>0</v>
      </c>
      <c r="Q97" s="84">
        <f t="shared" si="62"/>
        <v>46.153846153846153</v>
      </c>
      <c r="R97" s="84">
        <f t="shared" si="62"/>
        <v>0</v>
      </c>
      <c r="S97" s="84">
        <f t="shared" si="62"/>
        <v>46.153846153846153</v>
      </c>
      <c r="T97" s="84">
        <f t="shared" si="62"/>
        <v>0</v>
      </c>
      <c r="U97" s="84">
        <f t="shared" si="62"/>
        <v>46.153846153846153</v>
      </c>
      <c r="V97" s="84">
        <f t="shared" si="62"/>
        <v>46.153846153846153</v>
      </c>
      <c r="W97" s="84">
        <f t="shared" si="62"/>
        <v>0</v>
      </c>
      <c r="X97" s="84">
        <f t="shared" si="62"/>
        <v>46.153846153846153</v>
      </c>
      <c r="Y97" s="84">
        <f t="shared" si="62"/>
        <v>0</v>
      </c>
      <c r="Z97" s="84">
        <f t="shared" si="62"/>
        <v>46.153846153846153</v>
      </c>
      <c r="AA97" s="84">
        <f t="shared" si="62"/>
        <v>0</v>
      </c>
      <c r="AB97" s="84">
        <f t="shared" si="62"/>
        <v>46.153846153846153</v>
      </c>
      <c r="AC97" s="84">
        <f t="shared" si="62"/>
        <v>0</v>
      </c>
      <c r="AD97" s="84">
        <f t="shared" si="62"/>
        <v>46.153846153846153</v>
      </c>
      <c r="AE97" s="84">
        <f t="shared" si="62"/>
        <v>0</v>
      </c>
      <c r="AF97" s="84">
        <f t="shared" si="62"/>
        <v>46.153846153846153</v>
      </c>
      <c r="AG97" s="84">
        <f t="shared" si="62"/>
        <v>46.153846153846153</v>
      </c>
      <c r="AH97" s="84">
        <f t="shared" si="62"/>
        <v>0</v>
      </c>
      <c r="AI97" s="84">
        <f t="shared" si="62"/>
        <v>46.153846153846153</v>
      </c>
      <c r="AJ97" s="84">
        <f t="shared" si="62"/>
        <v>46.153846153846153</v>
      </c>
      <c r="AK97" s="84">
        <f t="shared" si="62"/>
        <v>0</v>
      </c>
      <c r="AL97" s="84">
        <f t="shared" si="62"/>
        <v>46.153846153846153</v>
      </c>
      <c r="AM97" s="84">
        <f t="shared" si="62"/>
        <v>0</v>
      </c>
      <c r="AN97" s="84">
        <f t="shared" si="62"/>
        <v>46.153846153846153</v>
      </c>
      <c r="AO97" s="84">
        <f t="shared" si="62"/>
        <v>46.153846153846153</v>
      </c>
      <c r="AP97" s="84">
        <f t="shared" si="62"/>
        <v>46.153846153846153</v>
      </c>
      <c r="AQ97" s="84">
        <f t="shared" si="62"/>
        <v>0</v>
      </c>
      <c r="AR97" s="84">
        <f t="shared" si="62"/>
        <v>46.153846153846153</v>
      </c>
      <c r="AS97" s="178">
        <f>IFERROR(40*(48/52)/AS82,0)+N("35 hours but adjusted to 40 to account for Director of OT")</f>
        <v>0</v>
      </c>
      <c r="AT97" s="84">
        <f t="shared" si="62"/>
        <v>46.153846153846153</v>
      </c>
      <c r="AU97" s="84">
        <f t="shared" si="62"/>
        <v>46.153846153846153</v>
      </c>
      <c r="AV97" s="84">
        <f t="shared" si="62"/>
        <v>46.153846153846153</v>
      </c>
      <c r="AW97" s="84">
        <f t="shared" si="62"/>
        <v>46.153846153846153</v>
      </c>
      <c r="AX97" s="84">
        <f t="shared" si="62"/>
        <v>46.153846153846153</v>
      </c>
      <c r="AY97" s="84">
        <f t="shared" si="62"/>
        <v>46.153846153846153</v>
      </c>
      <c r="AZ97" s="84">
        <f t="shared" si="62"/>
        <v>0</v>
      </c>
      <c r="BA97" s="84">
        <f t="shared" si="62"/>
        <v>0</v>
      </c>
      <c r="BB97" s="84">
        <f t="shared" ref="BB97:BC97" si="64">IFERROR(40*(48/52)/BB82,0)+N("35 hours but adjusted to 40 to account for Director of OT")</f>
        <v>0</v>
      </c>
      <c r="BC97" s="84">
        <f t="shared" si="64"/>
        <v>0</v>
      </c>
      <c r="BD97" s="84">
        <f t="shared" si="62"/>
        <v>0</v>
      </c>
      <c r="BE97" s="206"/>
      <c r="BF97" s="206"/>
      <c r="BG97" s="206"/>
      <c r="BH97" s="206"/>
      <c r="BO97" s="206"/>
      <c r="BP97" s="206"/>
    </row>
    <row r="98" spans="1:68" outlineLevel="1" x14ac:dyDescent="0.25">
      <c r="A98" s="218" t="s">
        <v>372</v>
      </c>
      <c r="B98" s="166" t="s">
        <v>397</v>
      </c>
      <c r="C98" s="29" t="s">
        <v>398</v>
      </c>
      <c r="D98" s="84">
        <f t="shared" ref="D98:AI98" si="65">IFERROR(42*(40/D81)/(3/D9),0)+N("35 hours but adjusted to 40 to account for Director of Psych")</f>
        <v>0</v>
      </c>
      <c r="E98" s="84">
        <f t="shared" ref="E98:H98" si="66">IFERROR(42*(40/E81)/(3/E9),0)+N("35 hours but adjusted to 40 to account for Director of Psych")</f>
        <v>0</v>
      </c>
      <c r="F98" s="84">
        <f t="shared" si="66"/>
        <v>0</v>
      </c>
      <c r="G98" s="84">
        <f t="shared" si="66"/>
        <v>0</v>
      </c>
      <c r="H98" s="84">
        <f t="shared" si="66"/>
        <v>0</v>
      </c>
      <c r="I98" s="84">
        <f t="shared" si="65"/>
        <v>112</v>
      </c>
      <c r="J98" s="84">
        <f t="shared" si="65"/>
        <v>0</v>
      </c>
      <c r="K98" s="84">
        <f t="shared" si="65"/>
        <v>112</v>
      </c>
      <c r="L98" s="84">
        <f t="shared" ref="L98" si="67">IFERROR(42*(40/L81)/(3/L9),0)+N("35 hours but adjusted to 40 to account for Director of Psych")</f>
        <v>0</v>
      </c>
      <c r="M98" s="84">
        <f t="shared" si="65"/>
        <v>112</v>
      </c>
      <c r="N98" s="84">
        <f t="shared" si="65"/>
        <v>112</v>
      </c>
      <c r="O98" s="84">
        <f t="shared" si="65"/>
        <v>112</v>
      </c>
      <c r="P98" s="84">
        <f t="shared" si="65"/>
        <v>0</v>
      </c>
      <c r="Q98" s="84">
        <f t="shared" si="65"/>
        <v>112</v>
      </c>
      <c r="R98" s="84">
        <f t="shared" si="65"/>
        <v>0</v>
      </c>
      <c r="S98" s="84">
        <f t="shared" si="65"/>
        <v>112</v>
      </c>
      <c r="T98" s="84">
        <f t="shared" si="65"/>
        <v>0</v>
      </c>
      <c r="U98" s="84">
        <f t="shared" si="65"/>
        <v>112</v>
      </c>
      <c r="V98" s="84">
        <f t="shared" si="65"/>
        <v>112</v>
      </c>
      <c r="W98" s="84">
        <f t="shared" si="65"/>
        <v>0</v>
      </c>
      <c r="X98" s="84">
        <f t="shared" si="65"/>
        <v>112</v>
      </c>
      <c r="Y98" s="84">
        <f t="shared" si="65"/>
        <v>0</v>
      </c>
      <c r="Z98" s="84">
        <f t="shared" si="65"/>
        <v>112</v>
      </c>
      <c r="AA98" s="84">
        <f t="shared" si="65"/>
        <v>0</v>
      </c>
      <c r="AB98" s="84">
        <f t="shared" si="65"/>
        <v>112</v>
      </c>
      <c r="AC98" s="84">
        <f t="shared" si="65"/>
        <v>0</v>
      </c>
      <c r="AD98" s="84">
        <f t="shared" si="65"/>
        <v>112</v>
      </c>
      <c r="AE98" s="84">
        <f t="shared" si="65"/>
        <v>0</v>
      </c>
      <c r="AF98" s="84">
        <f t="shared" si="65"/>
        <v>112</v>
      </c>
      <c r="AG98" s="84">
        <f t="shared" si="65"/>
        <v>112</v>
      </c>
      <c r="AH98" s="84">
        <f t="shared" si="65"/>
        <v>0</v>
      </c>
      <c r="AI98" s="84">
        <f t="shared" si="65"/>
        <v>112</v>
      </c>
      <c r="AJ98" s="84">
        <f t="shared" ref="AJ98:BD98" si="68">IFERROR(42*(40/AJ81)/(3/AJ9),0)+N("35 hours but adjusted to 40 to account for Director of Psych")</f>
        <v>112</v>
      </c>
      <c r="AK98" s="84">
        <f t="shared" si="68"/>
        <v>0</v>
      </c>
      <c r="AL98" s="84">
        <f t="shared" si="68"/>
        <v>112</v>
      </c>
      <c r="AM98" s="84">
        <f t="shared" si="68"/>
        <v>0</v>
      </c>
      <c r="AN98" s="84">
        <f t="shared" si="68"/>
        <v>112</v>
      </c>
      <c r="AO98" s="84">
        <f t="shared" si="68"/>
        <v>112</v>
      </c>
      <c r="AP98" s="84">
        <f t="shared" si="68"/>
        <v>112</v>
      </c>
      <c r="AQ98" s="84">
        <f t="shared" si="68"/>
        <v>0</v>
      </c>
      <c r="AR98" s="84">
        <f t="shared" si="68"/>
        <v>112</v>
      </c>
      <c r="AS98" s="178">
        <f>IFERROR(42*(40/AS81)/(3/AS9),0)+N("35 hours but adjusted to 40 to account for Director of Psych")</f>
        <v>0</v>
      </c>
      <c r="AT98" s="84">
        <f t="shared" si="68"/>
        <v>112</v>
      </c>
      <c r="AU98" s="84">
        <f t="shared" si="68"/>
        <v>112</v>
      </c>
      <c r="AV98" s="84">
        <f t="shared" si="68"/>
        <v>140</v>
      </c>
      <c r="AW98" s="84">
        <f t="shared" si="68"/>
        <v>140</v>
      </c>
      <c r="AX98" s="84">
        <f t="shared" si="68"/>
        <v>224</v>
      </c>
      <c r="AY98" s="84">
        <f t="shared" si="68"/>
        <v>224</v>
      </c>
      <c r="AZ98" s="84">
        <f t="shared" si="68"/>
        <v>0</v>
      </c>
      <c r="BA98" s="84">
        <f t="shared" si="68"/>
        <v>0</v>
      </c>
      <c r="BB98" s="84">
        <f t="shared" ref="BB98:BC98" si="69">IFERROR(42*(40/BB81)/(3/BB9),0)+N("35 hours but adjusted to 40 to account for Director of Psych")</f>
        <v>0</v>
      </c>
      <c r="BC98" s="84">
        <f t="shared" si="69"/>
        <v>0</v>
      </c>
      <c r="BD98" s="84">
        <f t="shared" si="68"/>
        <v>0</v>
      </c>
      <c r="BE98" s="206"/>
      <c r="BF98" s="206"/>
      <c r="BG98" s="206"/>
      <c r="BH98" s="206"/>
      <c r="BO98" s="206"/>
      <c r="BP98" s="206"/>
    </row>
    <row r="99" spans="1:68" outlineLevel="1" x14ac:dyDescent="0.25">
      <c r="A99" s="206"/>
      <c r="B99" s="113"/>
      <c r="C99" s="206"/>
      <c r="D99" s="18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178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206"/>
      <c r="BF99" s="206"/>
      <c r="BG99" s="206"/>
      <c r="BH99" s="206"/>
      <c r="BO99" s="206"/>
      <c r="BP99" s="206"/>
    </row>
    <row r="100" spans="1:68" x14ac:dyDescent="0.25">
      <c r="A100" s="206"/>
      <c r="B100" s="206"/>
      <c r="C100" s="18"/>
      <c r="D100" s="18"/>
      <c r="E100" s="18"/>
      <c r="F100" s="18"/>
      <c r="G100" s="18"/>
      <c r="H100" s="18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O100" s="206"/>
      <c r="BP100" s="206"/>
    </row>
    <row r="101" spans="1:68" x14ac:dyDescent="0.25">
      <c r="A101" s="206"/>
      <c r="B101" s="18"/>
      <c r="C101" s="18"/>
      <c r="D101" s="18"/>
      <c r="E101" s="18"/>
      <c r="F101" s="18"/>
      <c r="G101" s="18"/>
      <c r="H101" s="18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  <c r="AB101" s="206"/>
      <c r="AC101" s="206"/>
      <c r="AD101" s="206"/>
      <c r="AE101" s="206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O101" s="206"/>
      <c r="BP101" s="206"/>
    </row>
    <row r="102" spans="1:68" x14ac:dyDescent="0.25">
      <c r="A102" s="206"/>
      <c r="B102" s="18"/>
      <c r="C102" s="18"/>
      <c r="D102" s="18"/>
      <c r="E102" s="18"/>
      <c r="F102" s="18"/>
      <c r="G102" s="18"/>
      <c r="H102" s="18"/>
      <c r="I102" s="206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  <c r="AB102" s="206"/>
      <c r="AC102" s="206"/>
      <c r="AD102" s="206"/>
      <c r="AE102" s="206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O102" s="206"/>
      <c r="BP102" s="206"/>
    </row>
    <row r="103" spans="1:68" x14ac:dyDescent="0.25">
      <c r="A103" s="206"/>
      <c r="B103" s="18"/>
      <c r="C103" s="18"/>
      <c r="D103" s="114" t="str">
        <f>"Primary pay rate adjusted (25% pay increase for Service B hours.)"</f>
        <v>Primary pay rate adjusted (25% pay increase for Service B hours.)</v>
      </c>
      <c r="E103" s="18"/>
      <c r="F103" s="18"/>
      <c r="G103" s="18"/>
      <c r="H103" s="18"/>
      <c r="I103" s="206"/>
      <c r="J103" s="206"/>
      <c r="K103" s="206"/>
      <c r="L103" s="206"/>
      <c r="M103" s="20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  <c r="AB103" s="206"/>
      <c r="AC103" s="206"/>
      <c r="AD103" s="206"/>
      <c r="AE103" s="206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O103" s="206"/>
      <c r="BP103" s="206"/>
    </row>
    <row r="104" spans="1:68" x14ac:dyDescent="0.25">
      <c r="A104" s="206"/>
      <c r="B104" s="23" t="s">
        <v>130</v>
      </c>
      <c r="C104" s="23"/>
      <c r="D104" s="114" t="s">
        <v>406</v>
      </c>
      <c r="E104" s="33"/>
      <c r="F104" s="33"/>
      <c r="G104" s="33"/>
      <c r="H104" s="33"/>
      <c r="I104" s="206"/>
      <c r="J104" s="206"/>
      <c r="K104" s="206"/>
      <c r="L104" s="206"/>
      <c r="M104" s="206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206"/>
      <c r="AC104" s="206"/>
      <c r="AD104" s="206"/>
      <c r="AE104" s="206"/>
      <c r="AF104" s="206"/>
      <c r="AG104" s="206"/>
      <c r="AH104" s="206"/>
      <c r="AI104" s="206"/>
      <c r="AJ104" s="206"/>
      <c r="AK104" s="206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  <c r="BC104" s="206"/>
      <c r="BD104" s="206"/>
      <c r="BE104" s="206"/>
      <c r="BF104" s="206"/>
      <c r="BG104" s="206"/>
      <c r="BH104" s="206"/>
      <c r="BI104" s="2" t="s">
        <v>261</v>
      </c>
      <c r="BO104" s="206"/>
      <c r="BP104" s="206"/>
    </row>
    <row r="105" spans="1:68" outlineLevel="1" x14ac:dyDescent="0.25">
      <c r="A105" s="206"/>
      <c r="B105" s="218" t="s">
        <v>373</v>
      </c>
      <c r="C105" s="24" t="s">
        <v>404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45">
        <v>26</v>
      </c>
      <c r="J105" s="45">
        <v>27</v>
      </c>
      <c r="K105" s="45">
        <v>26</v>
      </c>
      <c r="L105" s="45">
        <v>27</v>
      </c>
      <c r="M105" s="45">
        <v>33</v>
      </c>
      <c r="N105" s="45">
        <v>33</v>
      </c>
      <c r="O105" s="45">
        <v>33</v>
      </c>
      <c r="P105" s="45">
        <v>37</v>
      </c>
      <c r="Q105" s="45">
        <v>33</v>
      </c>
      <c r="R105" s="45">
        <v>36</v>
      </c>
      <c r="S105" s="45">
        <v>33</v>
      </c>
      <c r="T105" s="45">
        <v>36</v>
      </c>
      <c r="U105" s="45">
        <v>33</v>
      </c>
      <c r="V105" s="45">
        <v>33</v>
      </c>
      <c r="W105" s="45">
        <v>36</v>
      </c>
      <c r="X105" s="45">
        <v>33</v>
      </c>
      <c r="Y105" s="45">
        <v>37</v>
      </c>
      <c r="Z105" s="45">
        <v>33</v>
      </c>
      <c r="AA105" s="45">
        <v>37</v>
      </c>
      <c r="AB105" s="45">
        <v>33</v>
      </c>
      <c r="AC105" s="45">
        <v>36</v>
      </c>
      <c r="AD105" s="45">
        <v>33</v>
      </c>
      <c r="AE105" s="45">
        <v>36</v>
      </c>
      <c r="AF105" s="45">
        <v>33</v>
      </c>
      <c r="AG105" s="45">
        <v>33</v>
      </c>
      <c r="AH105" s="45">
        <v>36</v>
      </c>
      <c r="AI105" s="45">
        <v>33</v>
      </c>
      <c r="AJ105" s="45">
        <v>33</v>
      </c>
      <c r="AK105" s="45">
        <v>36</v>
      </c>
      <c r="AL105" s="45">
        <v>33</v>
      </c>
      <c r="AM105" s="45">
        <v>36</v>
      </c>
      <c r="AN105" s="45">
        <v>33</v>
      </c>
      <c r="AO105" s="45">
        <v>33</v>
      </c>
      <c r="AP105" s="45">
        <v>33</v>
      </c>
      <c r="AQ105" s="45">
        <v>36</v>
      </c>
      <c r="AR105" s="45">
        <v>25</v>
      </c>
      <c r="AS105" s="45">
        <v>26.5</v>
      </c>
      <c r="AT105" s="45">
        <v>25</v>
      </c>
      <c r="AU105" s="45">
        <v>25</v>
      </c>
      <c r="AV105" s="45">
        <v>25</v>
      </c>
      <c r="AW105" s="45">
        <v>25</v>
      </c>
      <c r="AX105" s="45">
        <v>25</v>
      </c>
      <c r="AY105" s="45">
        <v>25</v>
      </c>
      <c r="AZ105" s="45">
        <v>26.5</v>
      </c>
      <c r="BA105" s="45">
        <v>25</v>
      </c>
      <c r="BB105" s="45">
        <v>26</v>
      </c>
      <c r="BC105" s="45">
        <v>26</v>
      </c>
      <c r="BD105" s="45">
        <v>26</v>
      </c>
      <c r="BE105" s="206"/>
      <c r="BF105" s="206"/>
      <c r="BG105" s="206"/>
      <c r="BH105" s="206"/>
      <c r="BI105" t="str" cm="1">
        <f t="array" ref="BI105:BI118">Base!B85:B98</f>
        <v>Primary Direct Staff</v>
      </c>
      <c r="BJ105" s="37">
        <v>1</v>
      </c>
      <c r="BK105" s="37">
        <f t="shared" ref="BK105:BL118" si="70">BJ105*1.1</f>
        <v>1.1000000000000001</v>
      </c>
      <c r="BL105" s="37">
        <f t="shared" si="70"/>
        <v>1.2100000000000002</v>
      </c>
      <c r="BN105" s="98" t="s">
        <v>262</v>
      </c>
      <c r="BO105" s="206"/>
      <c r="BP105" s="206"/>
    </row>
    <row r="106" spans="1:68" outlineLevel="1" x14ac:dyDescent="0.25">
      <c r="A106" s="206"/>
      <c r="B106" s="218" t="s">
        <v>395</v>
      </c>
      <c r="C106" s="24" t="s">
        <v>404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75</v>
      </c>
      <c r="J106" s="31">
        <v>75</v>
      </c>
      <c r="K106" s="31">
        <v>75</v>
      </c>
      <c r="L106" s="31">
        <v>75</v>
      </c>
      <c r="M106" s="31">
        <v>85</v>
      </c>
      <c r="N106" s="31">
        <v>85</v>
      </c>
      <c r="O106" s="31">
        <v>85</v>
      </c>
      <c r="P106" s="31">
        <v>85</v>
      </c>
      <c r="Q106" s="31">
        <v>85</v>
      </c>
      <c r="R106" s="31">
        <v>85</v>
      </c>
      <c r="S106" s="31">
        <v>85</v>
      </c>
      <c r="T106" s="31">
        <v>85</v>
      </c>
      <c r="U106" s="31">
        <v>85</v>
      </c>
      <c r="V106" s="31">
        <v>85</v>
      </c>
      <c r="W106" s="31">
        <v>85</v>
      </c>
      <c r="X106" s="31">
        <v>85</v>
      </c>
      <c r="Y106" s="31">
        <v>85</v>
      </c>
      <c r="Z106" s="31">
        <v>85</v>
      </c>
      <c r="AA106" s="31">
        <v>85</v>
      </c>
      <c r="AB106" s="31">
        <v>85</v>
      </c>
      <c r="AC106" s="31">
        <v>85</v>
      </c>
      <c r="AD106" s="31">
        <v>85</v>
      </c>
      <c r="AE106" s="31">
        <v>85</v>
      </c>
      <c r="AF106" s="31">
        <v>85</v>
      </c>
      <c r="AG106" s="31">
        <v>85</v>
      </c>
      <c r="AH106" s="31">
        <v>85</v>
      </c>
      <c r="AI106" s="31">
        <v>85</v>
      </c>
      <c r="AJ106" s="31">
        <v>85</v>
      </c>
      <c r="AK106" s="31">
        <v>85</v>
      </c>
      <c r="AL106" s="31">
        <v>85</v>
      </c>
      <c r="AM106" s="31">
        <v>85</v>
      </c>
      <c r="AN106" s="31">
        <v>85</v>
      </c>
      <c r="AO106" s="31">
        <v>85</v>
      </c>
      <c r="AP106" s="31">
        <v>85</v>
      </c>
      <c r="AQ106" s="31">
        <v>85</v>
      </c>
      <c r="AR106" s="31">
        <v>85</v>
      </c>
      <c r="AS106" s="31">
        <v>85</v>
      </c>
      <c r="AT106" s="31">
        <v>85</v>
      </c>
      <c r="AU106" s="31">
        <v>85</v>
      </c>
      <c r="AV106" s="31">
        <v>85</v>
      </c>
      <c r="AW106" s="31">
        <v>85</v>
      </c>
      <c r="AX106" s="31">
        <v>85</v>
      </c>
      <c r="AY106" s="31">
        <v>85</v>
      </c>
      <c r="AZ106" s="31">
        <v>85</v>
      </c>
      <c r="BA106" s="31">
        <v>85</v>
      </c>
      <c r="BB106" s="31">
        <v>85</v>
      </c>
      <c r="BC106" s="31">
        <v>85</v>
      </c>
      <c r="BD106" s="31">
        <v>85</v>
      </c>
      <c r="BE106" s="206"/>
      <c r="BF106" s="206"/>
      <c r="BG106" s="206"/>
      <c r="BH106" s="206"/>
      <c r="BI106" t="str">
        <v>Secondary Direct Staff</v>
      </c>
      <c r="BJ106" s="37">
        <v>1</v>
      </c>
      <c r="BK106" s="37">
        <f t="shared" si="70"/>
        <v>1.1000000000000001</v>
      </c>
      <c r="BL106" s="37">
        <f t="shared" si="70"/>
        <v>1.2100000000000002</v>
      </c>
      <c r="BO106" s="206"/>
      <c r="BP106" s="206"/>
    </row>
    <row r="107" spans="1:68" outlineLevel="1" x14ac:dyDescent="0.25">
      <c r="A107" s="206"/>
      <c r="B107" s="218" t="s">
        <v>396</v>
      </c>
      <c r="C107" s="24" t="s">
        <v>404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75</v>
      </c>
      <c r="J107" s="31">
        <v>75</v>
      </c>
      <c r="K107" s="31">
        <v>75</v>
      </c>
      <c r="L107" s="31">
        <v>75</v>
      </c>
      <c r="M107" s="31">
        <v>85</v>
      </c>
      <c r="N107" s="31">
        <v>85</v>
      </c>
      <c r="O107" s="31">
        <v>85</v>
      </c>
      <c r="P107" s="31">
        <v>85</v>
      </c>
      <c r="Q107" s="31">
        <v>85</v>
      </c>
      <c r="R107" s="31">
        <v>85</v>
      </c>
      <c r="S107" s="31">
        <v>85</v>
      </c>
      <c r="T107" s="31">
        <v>85</v>
      </c>
      <c r="U107" s="31">
        <v>85</v>
      </c>
      <c r="V107" s="31">
        <v>85</v>
      </c>
      <c r="W107" s="31">
        <v>85</v>
      </c>
      <c r="X107" s="31">
        <v>85</v>
      </c>
      <c r="Y107" s="31">
        <v>85</v>
      </c>
      <c r="Z107" s="31">
        <v>85</v>
      </c>
      <c r="AA107" s="31">
        <v>85</v>
      </c>
      <c r="AB107" s="31">
        <v>85</v>
      </c>
      <c r="AC107" s="31">
        <v>85</v>
      </c>
      <c r="AD107" s="31">
        <v>85</v>
      </c>
      <c r="AE107" s="31">
        <v>85</v>
      </c>
      <c r="AF107" s="31">
        <v>85</v>
      </c>
      <c r="AG107" s="31">
        <v>85</v>
      </c>
      <c r="AH107" s="31">
        <v>85</v>
      </c>
      <c r="AI107" s="31">
        <v>85</v>
      </c>
      <c r="AJ107" s="31">
        <v>85</v>
      </c>
      <c r="AK107" s="31">
        <v>85</v>
      </c>
      <c r="AL107" s="31">
        <v>85</v>
      </c>
      <c r="AM107" s="31">
        <v>85</v>
      </c>
      <c r="AN107" s="31">
        <v>85</v>
      </c>
      <c r="AO107" s="31">
        <v>85</v>
      </c>
      <c r="AP107" s="31">
        <v>85</v>
      </c>
      <c r="AQ107" s="31">
        <v>85</v>
      </c>
      <c r="AR107" s="31">
        <v>85</v>
      </c>
      <c r="AS107" s="31">
        <v>85</v>
      </c>
      <c r="AT107" s="31">
        <v>85</v>
      </c>
      <c r="AU107" s="31">
        <v>85</v>
      </c>
      <c r="AV107" s="31">
        <v>85</v>
      </c>
      <c r="AW107" s="31">
        <v>85</v>
      </c>
      <c r="AX107" s="31">
        <v>85</v>
      </c>
      <c r="AY107" s="31">
        <v>85</v>
      </c>
      <c r="AZ107" s="31">
        <v>85</v>
      </c>
      <c r="BA107" s="31">
        <v>85</v>
      </c>
      <c r="BB107" s="31">
        <v>85</v>
      </c>
      <c r="BC107" s="31">
        <v>85</v>
      </c>
      <c r="BD107" s="31">
        <v>85</v>
      </c>
      <c r="BE107" s="206"/>
      <c r="BF107" s="206"/>
      <c r="BG107" s="206"/>
      <c r="BH107" s="206"/>
      <c r="BI107" t="str">
        <v>Center Manager</v>
      </c>
      <c r="BJ107" s="37">
        <v>1</v>
      </c>
      <c r="BK107" s="37">
        <f t="shared" si="70"/>
        <v>1.1000000000000001</v>
      </c>
      <c r="BL107" s="37">
        <f t="shared" si="70"/>
        <v>1.2100000000000002</v>
      </c>
      <c r="BO107" s="206"/>
      <c r="BP107" s="206"/>
    </row>
    <row r="108" spans="1:68" outlineLevel="1" x14ac:dyDescent="0.25">
      <c r="A108" s="206"/>
      <c r="B108" s="218" t="s">
        <v>373</v>
      </c>
      <c r="C108" s="24" t="s">
        <v>405</v>
      </c>
      <c r="D108" s="41">
        <f>D105*D74</f>
        <v>0</v>
      </c>
      <c r="E108" s="41">
        <f t="shared" ref="E108:H108" si="71">E105*E74</f>
        <v>0</v>
      </c>
      <c r="F108" s="41">
        <f t="shared" si="71"/>
        <v>0</v>
      </c>
      <c r="G108" s="41">
        <f t="shared" si="71"/>
        <v>0</v>
      </c>
      <c r="H108" s="41">
        <f t="shared" si="71"/>
        <v>0</v>
      </c>
      <c r="I108" s="41">
        <f>I105*SUM(I74:I75)*(52/12)*(52/48)</f>
        <v>2929.333333333333</v>
      </c>
      <c r="J108" s="41">
        <f t="shared" ref="J108:BD108" si="72">J105*SUM(J74:J75)*(52/12)*(52/48)</f>
        <v>1457.625</v>
      </c>
      <c r="K108" s="41">
        <f t="shared" si="72"/>
        <v>2929.333333333333</v>
      </c>
      <c r="L108" s="41">
        <f t="shared" si="72"/>
        <v>1457.625</v>
      </c>
      <c r="M108" s="41">
        <f t="shared" si="72"/>
        <v>3717.9999999999991</v>
      </c>
      <c r="N108" s="41">
        <f t="shared" si="72"/>
        <v>3717.9999999999991</v>
      </c>
      <c r="O108" s="41">
        <f t="shared" si="72"/>
        <v>3717.9999999999991</v>
      </c>
      <c r="P108" s="41">
        <f t="shared" si="72"/>
        <v>1910.6388888888887</v>
      </c>
      <c r="Q108" s="41">
        <f t="shared" si="72"/>
        <v>3717.9999999999991</v>
      </c>
      <c r="R108" s="41">
        <f t="shared" si="72"/>
        <v>1943.4999999999995</v>
      </c>
      <c r="S108" s="41">
        <f t="shared" si="72"/>
        <v>3717.9999999999991</v>
      </c>
      <c r="T108" s="41">
        <f t="shared" si="72"/>
        <v>1943.4999999999995</v>
      </c>
      <c r="U108" s="41">
        <f t="shared" si="72"/>
        <v>3717.9999999999991</v>
      </c>
      <c r="V108" s="41">
        <f t="shared" si="72"/>
        <v>3717.9999999999991</v>
      </c>
      <c r="W108" s="41">
        <f t="shared" si="72"/>
        <v>1943.4999999999995</v>
      </c>
      <c r="X108" s="41">
        <f t="shared" si="72"/>
        <v>3717.9999999999991</v>
      </c>
      <c r="Y108" s="41">
        <f t="shared" si="72"/>
        <v>1997.4861111111109</v>
      </c>
      <c r="Z108" s="41">
        <f t="shared" si="72"/>
        <v>3717.9999999999991</v>
      </c>
      <c r="AA108" s="41">
        <f t="shared" si="72"/>
        <v>1997.4861111111109</v>
      </c>
      <c r="AB108" s="41">
        <f t="shared" si="72"/>
        <v>3717.9999999999991</v>
      </c>
      <c r="AC108" s="41">
        <f t="shared" si="72"/>
        <v>1943.4999999999995</v>
      </c>
      <c r="AD108" s="41">
        <f t="shared" si="72"/>
        <v>3717.9999999999991</v>
      </c>
      <c r="AE108" s="41">
        <f t="shared" si="72"/>
        <v>1943.4999999999995</v>
      </c>
      <c r="AF108" s="41">
        <f t="shared" si="72"/>
        <v>3717.9999999999991</v>
      </c>
      <c r="AG108" s="41">
        <f t="shared" si="72"/>
        <v>3717.9999999999991</v>
      </c>
      <c r="AH108" s="41">
        <f t="shared" si="72"/>
        <v>1943.4999999999995</v>
      </c>
      <c r="AI108" s="41">
        <f t="shared" si="72"/>
        <v>3717.9999999999991</v>
      </c>
      <c r="AJ108" s="41">
        <f t="shared" si="72"/>
        <v>3717.9999999999991</v>
      </c>
      <c r="AK108" s="41">
        <f t="shared" si="72"/>
        <v>1943.4999999999995</v>
      </c>
      <c r="AL108" s="41">
        <f t="shared" si="72"/>
        <v>3717.9999999999991</v>
      </c>
      <c r="AM108" s="41">
        <f t="shared" si="72"/>
        <v>1943.4999999999995</v>
      </c>
      <c r="AN108" s="41">
        <f t="shared" si="72"/>
        <v>3717.9999999999991</v>
      </c>
      <c r="AO108" s="41">
        <f t="shared" si="72"/>
        <v>3717.9999999999991</v>
      </c>
      <c r="AP108" s="41">
        <f t="shared" si="72"/>
        <v>3717.9999999999991</v>
      </c>
      <c r="AQ108" s="41">
        <f t="shared" si="72"/>
        <v>1943.4999999999995</v>
      </c>
      <c r="AR108" s="41">
        <f t="shared" si="72"/>
        <v>2816.6666666666665</v>
      </c>
      <c r="AS108" s="41">
        <f t="shared" si="72"/>
        <v>1430.6319444444443</v>
      </c>
      <c r="AT108" s="41">
        <f t="shared" si="72"/>
        <v>2816.6666666666665</v>
      </c>
      <c r="AU108" s="41">
        <f t="shared" si="72"/>
        <v>2816.6666666666665</v>
      </c>
      <c r="AV108" s="41">
        <f t="shared" si="72"/>
        <v>2816.6666666666665</v>
      </c>
      <c r="AW108" s="41">
        <f t="shared" si="72"/>
        <v>2816.6666666666665</v>
      </c>
      <c r="AX108" s="41">
        <f t="shared" si="72"/>
        <v>2816.6666666666665</v>
      </c>
      <c r="AY108" s="41">
        <f t="shared" si="72"/>
        <v>2816.6666666666665</v>
      </c>
      <c r="AZ108" s="41">
        <f t="shared" si="72"/>
        <v>1430.6319444444443</v>
      </c>
      <c r="BA108" s="41">
        <f t="shared" si="72"/>
        <v>2816.6666666666665</v>
      </c>
      <c r="BB108" s="41">
        <f t="shared" si="72"/>
        <v>1403.6388888888887</v>
      </c>
      <c r="BC108" s="41">
        <f t="shared" si="72"/>
        <v>1403.6388888888887</v>
      </c>
      <c r="BD108" s="41">
        <f t="shared" si="72"/>
        <v>1403.6388888888887</v>
      </c>
      <c r="BE108" s="206"/>
      <c r="BF108" s="206"/>
      <c r="BG108" s="206"/>
      <c r="BH108" s="206"/>
      <c r="BI108" t="str">
        <v>Intake</v>
      </c>
      <c r="BJ108" s="37">
        <v>1</v>
      </c>
      <c r="BK108" s="37">
        <f t="shared" si="70"/>
        <v>1.1000000000000001</v>
      </c>
      <c r="BL108" s="37">
        <f t="shared" si="70"/>
        <v>1.2100000000000002</v>
      </c>
      <c r="BO108" s="206"/>
      <c r="BP108" s="206"/>
    </row>
    <row r="109" spans="1:68" outlineLevel="1" x14ac:dyDescent="0.25">
      <c r="A109" s="206"/>
      <c r="B109" s="218" t="s">
        <v>374</v>
      </c>
      <c r="C109" s="23"/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f>(92000+96000)/2/12</f>
        <v>7833.333333333333</v>
      </c>
      <c r="J109" s="31">
        <f>(85000+98000)/2/12</f>
        <v>7625</v>
      </c>
      <c r="K109" s="31">
        <f>(92000+100000)/2/12</f>
        <v>8000</v>
      </c>
      <c r="L109" s="31">
        <f>(85000+98000)/2/12</f>
        <v>7625</v>
      </c>
      <c r="M109" s="31">
        <f t="shared" ref="M109:AQ109" si="73">(92000+105000)/2/12</f>
        <v>8208.3333333333339</v>
      </c>
      <c r="N109" s="31">
        <f t="shared" si="73"/>
        <v>8208.3333333333339</v>
      </c>
      <c r="O109" s="31">
        <f t="shared" si="73"/>
        <v>8208.3333333333339</v>
      </c>
      <c r="P109" s="31">
        <f t="shared" si="73"/>
        <v>8208.3333333333339</v>
      </c>
      <c r="Q109" s="31">
        <f t="shared" si="73"/>
        <v>8208.3333333333339</v>
      </c>
      <c r="R109" s="31">
        <f t="shared" si="73"/>
        <v>8208.3333333333339</v>
      </c>
      <c r="S109" s="31">
        <f t="shared" si="73"/>
        <v>8208.3333333333339</v>
      </c>
      <c r="T109" s="31">
        <f t="shared" si="73"/>
        <v>8208.3333333333339</v>
      </c>
      <c r="U109" s="31">
        <f t="shared" si="73"/>
        <v>8208.3333333333339</v>
      </c>
      <c r="V109" s="31">
        <f t="shared" si="73"/>
        <v>8208.3333333333339</v>
      </c>
      <c r="W109" s="31">
        <f t="shared" si="73"/>
        <v>8208.3333333333339</v>
      </c>
      <c r="X109" s="31">
        <f t="shared" si="73"/>
        <v>8208.3333333333339</v>
      </c>
      <c r="Y109" s="31">
        <f t="shared" si="73"/>
        <v>8208.3333333333339</v>
      </c>
      <c r="Z109" s="31">
        <f t="shared" si="73"/>
        <v>8208.3333333333339</v>
      </c>
      <c r="AA109" s="31">
        <f t="shared" si="73"/>
        <v>8208.3333333333339</v>
      </c>
      <c r="AB109" s="31">
        <f t="shared" si="73"/>
        <v>8208.3333333333339</v>
      </c>
      <c r="AC109" s="31">
        <f t="shared" si="73"/>
        <v>8208.3333333333339</v>
      </c>
      <c r="AD109" s="31">
        <f t="shared" si="73"/>
        <v>8208.3333333333339</v>
      </c>
      <c r="AE109" s="31">
        <f t="shared" si="73"/>
        <v>8208.3333333333339</v>
      </c>
      <c r="AF109" s="31">
        <f t="shared" si="73"/>
        <v>8208.3333333333339</v>
      </c>
      <c r="AG109" s="31">
        <f t="shared" si="73"/>
        <v>8208.3333333333339</v>
      </c>
      <c r="AH109" s="31">
        <f t="shared" si="73"/>
        <v>8208.3333333333339</v>
      </c>
      <c r="AI109" s="31">
        <f t="shared" si="73"/>
        <v>8208.3333333333339</v>
      </c>
      <c r="AJ109" s="31">
        <f t="shared" si="73"/>
        <v>8208.3333333333339</v>
      </c>
      <c r="AK109" s="31">
        <f t="shared" si="73"/>
        <v>8208.3333333333339</v>
      </c>
      <c r="AL109" s="31">
        <f t="shared" si="73"/>
        <v>8208.3333333333339</v>
      </c>
      <c r="AM109" s="31">
        <f t="shared" si="73"/>
        <v>8208.3333333333339</v>
      </c>
      <c r="AN109" s="31">
        <f t="shared" si="73"/>
        <v>8208.3333333333339</v>
      </c>
      <c r="AO109" s="31">
        <f t="shared" si="73"/>
        <v>8208.3333333333339</v>
      </c>
      <c r="AP109" s="31">
        <f t="shared" si="73"/>
        <v>8208.3333333333339</v>
      </c>
      <c r="AQ109" s="31">
        <f t="shared" si="73"/>
        <v>8208.3333333333339</v>
      </c>
      <c r="AR109" s="31">
        <f>(92000+100000)/2/12</f>
        <v>8000</v>
      </c>
      <c r="AS109" s="31">
        <f>(92000+100000)/2/12</f>
        <v>8000</v>
      </c>
      <c r="AT109" s="31">
        <f>(92000+100000)/2/12</f>
        <v>8000</v>
      </c>
      <c r="AU109" s="31">
        <f>(92000+100000)/2/12</f>
        <v>8000</v>
      </c>
      <c r="AV109" s="31">
        <f>(90000+95000)/2/12</f>
        <v>7708.333333333333</v>
      </c>
      <c r="AW109" s="31">
        <f>(90000+95000)/2/12</f>
        <v>7708.333333333333</v>
      </c>
      <c r="AX109" s="31">
        <f>(90000+95000)/2/12</f>
        <v>7708.333333333333</v>
      </c>
      <c r="AY109" s="31">
        <f>(90000+95000)/2/12</f>
        <v>7708.333333333333</v>
      </c>
      <c r="AZ109" s="31">
        <f>(80000+92000)/2/12</f>
        <v>7166.666666666667</v>
      </c>
      <c r="BA109" s="31">
        <f>(80000+90000)/2/12</f>
        <v>7083.333333333333</v>
      </c>
      <c r="BB109" s="31">
        <f>(80000+95000)/2/12</f>
        <v>7291.666666666667</v>
      </c>
      <c r="BC109" s="31">
        <f>(80000+95000)/2/12</f>
        <v>7291.666666666667</v>
      </c>
      <c r="BD109" s="31">
        <f>(80000+95000)/2/12</f>
        <v>7291.666666666667</v>
      </c>
      <c r="BE109" s="206"/>
      <c r="BF109" s="206"/>
      <c r="BG109" s="206"/>
      <c r="BH109" s="206"/>
      <c r="BI109" t="str">
        <v>Scheduler</v>
      </c>
      <c r="BJ109" s="37">
        <v>1</v>
      </c>
      <c r="BK109" s="37">
        <f t="shared" si="70"/>
        <v>1.1000000000000001</v>
      </c>
      <c r="BL109" s="37">
        <f t="shared" si="70"/>
        <v>1.2100000000000002</v>
      </c>
      <c r="BO109" s="206"/>
      <c r="BP109" s="206"/>
    </row>
    <row r="110" spans="1:68" outlineLevel="1" x14ac:dyDescent="0.25">
      <c r="A110" s="206"/>
      <c r="B110" s="218" t="s">
        <v>375</v>
      </c>
      <c r="C110" s="23"/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f>90000/12</f>
        <v>7500</v>
      </c>
      <c r="J110" s="31">
        <f t="shared" ref="J110:L110" si="74">90000/12</f>
        <v>7500</v>
      </c>
      <c r="K110" s="31">
        <f t="shared" si="74"/>
        <v>7500</v>
      </c>
      <c r="L110" s="31">
        <f t="shared" si="74"/>
        <v>7500</v>
      </c>
      <c r="M110" s="31">
        <f t="shared" ref="M110:BD110" si="75">100000/12</f>
        <v>8333.3333333333339</v>
      </c>
      <c r="N110" s="31">
        <f t="shared" si="75"/>
        <v>8333.3333333333339</v>
      </c>
      <c r="O110" s="31">
        <f t="shared" si="75"/>
        <v>8333.3333333333339</v>
      </c>
      <c r="P110" s="31">
        <f t="shared" si="75"/>
        <v>8333.3333333333339</v>
      </c>
      <c r="Q110" s="31">
        <f t="shared" si="75"/>
        <v>8333.3333333333339</v>
      </c>
      <c r="R110" s="31">
        <f t="shared" si="75"/>
        <v>8333.3333333333339</v>
      </c>
      <c r="S110" s="31">
        <f t="shared" si="75"/>
        <v>8333.3333333333339</v>
      </c>
      <c r="T110" s="31">
        <f t="shared" si="75"/>
        <v>8333.3333333333339</v>
      </c>
      <c r="U110" s="31">
        <f t="shared" si="75"/>
        <v>8333.3333333333339</v>
      </c>
      <c r="V110" s="31">
        <f t="shared" si="75"/>
        <v>8333.3333333333339</v>
      </c>
      <c r="W110" s="31">
        <f t="shared" si="75"/>
        <v>8333.3333333333339</v>
      </c>
      <c r="X110" s="31">
        <f t="shared" si="75"/>
        <v>8333.3333333333339</v>
      </c>
      <c r="Y110" s="31">
        <f t="shared" si="75"/>
        <v>8333.3333333333339</v>
      </c>
      <c r="Z110" s="31">
        <f t="shared" si="75"/>
        <v>8333.3333333333339</v>
      </c>
      <c r="AA110" s="31">
        <f t="shared" si="75"/>
        <v>8333.3333333333339</v>
      </c>
      <c r="AB110" s="31">
        <f t="shared" si="75"/>
        <v>8333.3333333333339</v>
      </c>
      <c r="AC110" s="31">
        <f t="shared" si="75"/>
        <v>8333.3333333333339</v>
      </c>
      <c r="AD110" s="31">
        <f t="shared" si="75"/>
        <v>8333.3333333333339</v>
      </c>
      <c r="AE110" s="31">
        <f t="shared" si="75"/>
        <v>8333.3333333333339</v>
      </c>
      <c r="AF110" s="31">
        <f t="shared" si="75"/>
        <v>8333.3333333333339</v>
      </c>
      <c r="AG110" s="31">
        <f t="shared" si="75"/>
        <v>8333.3333333333339</v>
      </c>
      <c r="AH110" s="31">
        <f t="shared" si="75"/>
        <v>8333.3333333333339</v>
      </c>
      <c r="AI110" s="31">
        <f t="shared" si="75"/>
        <v>8333.3333333333339</v>
      </c>
      <c r="AJ110" s="31">
        <f t="shared" si="75"/>
        <v>8333.3333333333339</v>
      </c>
      <c r="AK110" s="31">
        <f t="shared" si="75"/>
        <v>8333.3333333333339</v>
      </c>
      <c r="AL110" s="31">
        <f t="shared" si="75"/>
        <v>8333.3333333333339</v>
      </c>
      <c r="AM110" s="31">
        <f t="shared" si="75"/>
        <v>8333.3333333333339</v>
      </c>
      <c r="AN110" s="31">
        <f t="shared" si="75"/>
        <v>8333.3333333333339</v>
      </c>
      <c r="AO110" s="31">
        <f t="shared" si="75"/>
        <v>8333.3333333333339</v>
      </c>
      <c r="AP110" s="31">
        <f t="shared" si="75"/>
        <v>8333.3333333333339</v>
      </c>
      <c r="AQ110" s="31">
        <f t="shared" si="75"/>
        <v>8333.3333333333339</v>
      </c>
      <c r="AR110" s="31">
        <f t="shared" ref="AR110:AU110" si="76">90000/12</f>
        <v>7500</v>
      </c>
      <c r="AS110" s="31">
        <f>90000/12</f>
        <v>7500</v>
      </c>
      <c r="AT110" s="31">
        <f t="shared" si="76"/>
        <v>7500</v>
      </c>
      <c r="AU110" s="31">
        <f t="shared" si="76"/>
        <v>7500</v>
      </c>
      <c r="AV110" s="31">
        <f t="shared" si="75"/>
        <v>8333.3333333333339</v>
      </c>
      <c r="AW110" s="31">
        <f t="shared" si="75"/>
        <v>8333.3333333333339</v>
      </c>
      <c r="AX110" s="31">
        <f t="shared" si="75"/>
        <v>8333.3333333333339</v>
      </c>
      <c r="AY110" s="31">
        <f t="shared" si="75"/>
        <v>8333.3333333333339</v>
      </c>
      <c r="AZ110" s="31">
        <f t="shared" si="75"/>
        <v>8333.3333333333339</v>
      </c>
      <c r="BA110" s="31">
        <f t="shared" si="75"/>
        <v>8333.3333333333339</v>
      </c>
      <c r="BB110" s="31">
        <f t="shared" si="75"/>
        <v>8333.3333333333339</v>
      </c>
      <c r="BC110" s="31">
        <f t="shared" si="75"/>
        <v>8333.3333333333339</v>
      </c>
      <c r="BD110" s="31">
        <f t="shared" si="75"/>
        <v>8333.3333333333339</v>
      </c>
      <c r="BE110" s="206"/>
      <c r="BF110" s="206"/>
      <c r="BG110" s="206"/>
      <c r="BH110" s="206"/>
      <c r="BI110" t="str">
        <v>Initial Consultation Expert</v>
      </c>
      <c r="BJ110" s="37">
        <v>1</v>
      </c>
      <c r="BK110" s="37">
        <f t="shared" si="70"/>
        <v>1.1000000000000001</v>
      </c>
      <c r="BL110" s="37">
        <f t="shared" si="70"/>
        <v>1.2100000000000002</v>
      </c>
      <c r="BO110" s="206"/>
      <c r="BP110" s="206"/>
    </row>
    <row r="111" spans="1:68" outlineLevel="1" x14ac:dyDescent="0.25">
      <c r="A111" s="206"/>
      <c r="B111" s="206" t="s">
        <v>123</v>
      </c>
      <c r="C111" s="23"/>
      <c r="D111" s="31">
        <v>0</v>
      </c>
      <c r="E111" s="31">
        <v>0</v>
      </c>
      <c r="F111" s="31">
        <v>0</v>
      </c>
      <c r="G111" s="31">
        <v>0</v>
      </c>
      <c r="H111" s="31">
        <v>0</v>
      </c>
      <c r="I111" s="31">
        <v>4167</v>
      </c>
      <c r="J111" s="31">
        <v>4166.666666666667</v>
      </c>
      <c r="K111" s="31">
        <v>4166.666666666667</v>
      </c>
      <c r="L111" s="31">
        <v>4166.666666666667</v>
      </c>
      <c r="M111" s="31">
        <v>5416.666666666667</v>
      </c>
      <c r="N111" s="31">
        <v>5416.666666666667</v>
      </c>
      <c r="O111" s="31">
        <v>5416.666666666667</v>
      </c>
      <c r="P111" s="31">
        <v>5416.666666666667</v>
      </c>
      <c r="Q111" s="31">
        <v>5416.666666666667</v>
      </c>
      <c r="R111" s="31">
        <v>5416.666666666667</v>
      </c>
      <c r="S111" s="31">
        <v>5416.666666666667</v>
      </c>
      <c r="T111" s="31">
        <v>5416.666666666667</v>
      </c>
      <c r="U111" s="31">
        <v>5416.666666666667</v>
      </c>
      <c r="V111" s="31">
        <v>5416.666666666667</v>
      </c>
      <c r="W111" s="31">
        <v>5416.666666666667</v>
      </c>
      <c r="X111" s="31">
        <v>5416.666666666667</v>
      </c>
      <c r="Y111" s="31">
        <v>5416.666666666667</v>
      </c>
      <c r="Z111" s="31">
        <v>5416.666666666667</v>
      </c>
      <c r="AA111" s="31">
        <v>5416.666666666667</v>
      </c>
      <c r="AB111" s="31">
        <v>5416.666666666667</v>
      </c>
      <c r="AC111" s="31">
        <v>5416.666666666667</v>
      </c>
      <c r="AD111" s="31">
        <v>5416.666666666667</v>
      </c>
      <c r="AE111" s="31">
        <v>5416.666666666667</v>
      </c>
      <c r="AF111" s="31">
        <v>5416.666666666667</v>
      </c>
      <c r="AG111" s="31">
        <v>5416.666666666667</v>
      </c>
      <c r="AH111" s="31">
        <v>5416.666666666667</v>
      </c>
      <c r="AI111" s="31">
        <v>5416.666666666667</v>
      </c>
      <c r="AJ111" s="31">
        <v>5416.666666666667</v>
      </c>
      <c r="AK111" s="31">
        <v>5416.666666666667</v>
      </c>
      <c r="AL111" s="31">
        <v>5416.666666666667</v>
      </c>
      <c r="AM111" s="31">
        <v>5416.666666666667</v>
      </c>
      <c r="AN111" s="31">
        <v>5416.666666666667</v>
      </c>
      <c r="AO111" s="31">
        <v>5416.666666666667</v>
      </c>
      <c r="AP111" s="31">
        <v>5416.666666666667</v>
      </c>
      <c r="AQ111" s="31">
        <v>5416.666666666667</v>
      </c>
      <c r="AR111" s="31">
        <v>4167</v>
      </c>
      <c r="AS111" s="31">
        <v>4167</v>
      </c>
      <c r="AT111" s="31">
        <v>4167</v>
      </c>
      <c r="AU111" s="31">
        <v>4167</v>
      </c>
      <c r="AV111" s="31">
        <v>4166.666666666667</v>
      </c>
      <c r="AW111" s="31">
        <v>4166.666666666667</v>
      </c>
      <c r="AX111" s="31">
        <v>4166.666666666667</v>
      </c>
      <c r="AY111" s="31">
        <v>4166.666666666667</v>
      </c>
      <c r="AZ111" s="31">
        <v>4166.666666666667</v>
      </c>
      <c r="BA111" s="31">
        <v>4166.666666666667</v>
      </c>
      <c r="BB111" s="31">
        <v>4166.666666666667</v>
      </c>
      <c r="BC111" s="31">
        <v>4166.666666666667</v>
      </c>
      <c r="BD111" s="31">
        <v>4166.666666666667</v>
      </c>
      <c r="BE111" s="206"/>
      <c r="BF111" s="206"/>
      <c r="BG111" s="206"/>
      <c r="BH111" s="206"/>
      <c r="BI111" t="str">
        <v>Trainer</v>
      </c>
      <c r="BJ111" s="37">
        <v>1</v>
      </c>
      <c r="BK111" s="37">
        <f t="shared" si="70"/>
        <v>1.1000000000000001</v>
      </c>
      <c r="BL111" s="37">
        <f t="shared" si="70"/>
        <v>1.2100000000000002</v>
      </c>
      <c r="BO111" s="206"/>
      <c r="BP111" s="206"/>
    </row>
    <row r="112" spans="1:68" outlineLevel="1" x14ac:dyDescent="0.25">
      <c r="A112" s="206"/>
      <c r="B112" s="206" t="s">
        <v>125</v>
      </c>
      <c r="C112" s="23"/>
      <c r="D112" s="31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4167</v>
      </c>
      <c r="J112" s="31">
        <v>4166.666666666667</v>
      </c>
      <c r="K112" s="31">
        <v>4166.666666666667</v>
      </c>
      <c r="L112" s="31">
        <v>4166.666666666667</v>
      </c>
      <c r="M112" s="31">
        <v>5000</v>
      </c>
      <c r="N112" s="31">
        <v>5000</v>
      </c>
      <c r="O112" s="31">
        <v>5000</v>
      </c>
      <c r="P112" s="31">
        <v>5000</v>
      </c>
      <c r="Q112" s="31">
        <v>5000</v>
      </c>
      <c r="R112" s="31">
        <v>5000</v>
      </c>
      <c r="S112" s="31">
        <v>5000</v>
      </c>
      <c r="T112" s="31">
        <v>5000</v>
      </c>
      <c r="U112" s="31">
        <v>5000</v>
      </c>
      <c r="V112" s="31">
        <v>5000</v>
      </c>
      <c r="W112" s="31">
        <v>5000</v>
      </c>
      <c r="X112" s="31">
        <v>5000</v>
      </c>
      <c r="Y112" s="31">
        <v>5000</v>
      </c>
      <c r="Z112" s="31">
        <v>5000</v>
      </c>
      <c r="AA112" s="31">
        <v>5000</v>
      </c>
      <c r="AB112" s="31">
        <v>5000</v>
      </c>
      <c r="AC112" s="31">
        <v>5000</v>
      </c>
      <c r="AD112" s="31">
        <v>5000</v>
      </c>
      <c r="AE112" s="31">
        <v>5000</v>
      </c>
      <c r="AF112" s="31">
        <v>5000</v>
      </c>
      <c r="AG112" s="31">
        <v>5000</v>
      </c>
      <c r="AH112" s="31">
        <v>5000</v>
      </c>
      <c r="AI112" s="31">
        <v>5000</v>
      </c>
      <c r="AJ112" s="31">
        <v>5000</v>
      </c>
      <c r="AK112" s="31">
        <v>5000</v>
      </c>
      <c r="AL112" s="31">
        <v>5000</v>
      </c>
      <c r="AM112" s="31">
        <v>5000</v>
      </c>
      <c r="AN112" s="31">
        <v>5000</v>
      </c>
      <c r="AO112" s="31">
        <v>5000</v>
      </c>
      <c r="AP112" s="31">
        <v>5000</v>
      </c>
      <c r="AQ112" s="31">
        <v>5000</v>
      </c>
      <c r="AR112" s="31">
        <v>4167</v>
      </c>
      <c r="AS112" s="31">
        <v>4167</v>
      </c>
      <c r="AT112" s="31">
        <v>4167</v>
      </c>
      <c r="AU112" s="31">
        <v>4167</v>
      </c>
      <c r="AV112" s="31">
        <v>4166.666666666667</v>
      </c>
      <c r="AW112" s="31">
        <v>4166.666666666667</v>
      </c>
      <c r="AX112" s="31">
        <v>4166.666666666667</v>
      </c>
      <c r="AY112" s="31">
        <v>4166.666666666667</v>
      </c>
      <c r="AZ112" s="31">
        <v>4166.666666666667</v>
      </c>
      <c r="BA112" s="31">
        <v>4166.666666666667</v>
      </c>
      <c r="BB112" s="31">
        <v>4166.666666666667</v>
      </c>
      <c r="BC112" s="31">
        <v>4166.666666666667</v>
      </c>
      <c r="BD112" s="31">
        <v>4166.666666666667</v>
      </c>
      <c r="BE112" s="206"/>
      <c r="BF112" s="206"/>
      <c r="BG112" s="206"/>
      <c r="BH112" s="206"/>
      <c r="BI112" t="str">
        <v>Recruiter</v>
      </c>
      <c r="BJ112" s="37">
        <v>1</v>
      </c>
      <c r="BK112" s="37">
        <f t="shared" si="70"/>
        <v>1.1000000000000001</v>
      </c>
      <c r="BL112" s="37">
        <f t="shared" si="70"/>
        <v>1.2100000000000002</v>
      </c>
      <c r="BO112" s="206"/>
      <c r="BP112" s="206"/>
    </row>
    <row r="113" spans="1:68" outlineLevel="1" x14ac:dyDescent="0.25">
      <c r="A113" s="206"/>
      <c r="B113" s="206" t="s">
        <v>402</v>
      </c>
      <c r="C113" s="23"/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f>(90000+105000)/2/12</f>
        <v>8125</v>
      </c>
      <c r="J113" s="31">
        <f>(90000+105000)/2/12</f>
        <v>8125</v>
      </c>
      <c r="K113" s="31">
        <f>(90000+105000)/2/12</f>
        <v>8125</v>
      </c>
      <c r="L113" s="31">
        <f>(90000+105000)/2/12</f>
        <v>8125</v>
      </c>
      <c r="M113" s="31">
        <f t="shared" ref="M113:AQ113" si="77">(90000+110000)/2/12</f>
        <v>8333.3333333333339</v>
      </c>
      <c r="N113" s="31">
        <f t="shared" si="77"/>
        <v>8333.3333333333339</v>
      </c>
      <c r="O113" s="31">
        <f t="shared" si="77"/>
        <v>8333.3333333333339</v>
      </c>
      <c r="P113" s="31">
        <f t="shared" si="77"/>
        <v>8333.3333333333339</v>
      </c>
      <c r="Q113" s="31">
        <f t="shared" si="77"/>
        <v>8333.3333333333339</v>
      </c>
      <c r="R113" s="31">
        <f t="shared" si="77"/>
        <v>8333.3333333333339</v>
      </c>
      <c r="S113" s="31">
        <f t="shared" si="77"/>
        <v>8333.3333333333339</v>
      </c>
      <c r="T113" s="31">
        <f t="shared" si="77"/>
        <v>8333.3333333333339</v>
      </c>
      <c r="U113" s="31">
        <f t="shared" si="77"/>
        <v>8333.3333333333339</v>
      </c>
      <c r="V113" s="31">
        <f t="shared" si="77"/>
        <v>8333.3333333333339</v>
      </c>
      <c r="W113" s="31">
        <f t="shared" si="77"/>
        <v>8333.3333333333339</v>
      </c>
      <c r="X113" s="31">
        <f t="shared" si="77"/>
        <v>8333.3333333333339</v>
      </c>
      <c r="Y113" s="31">
        <f t="shared" si="77"/>
        <v>8333.3333333333339</v>
      </c>
      <c r="Z113" s="31">
        <f t="shared" si="77"/>
        <v>8333.3333333333339</v>
      </c>
      <c r="AA113" s="31">
        <f t="shared" si="77"/>
        <v>8333.3333333333339</v>
      </c>
      <c r="AB113" s="31">
        <f t="shared" si="77"/>
        <v>8333.3333333333339</v>
      </c>
      <c r="AC113" s="31">
        <f t="shared" si="77"/>
        <v>8333.3333333333339</v>
      </c>
      <c r="AD113" s="31">
        <f t="shared" si="77"/>
        <v>8333.3333333333339</v>
      </c>
      <c r="AE113" s="31">
        <f t="shared" si="77"/>
        <v>8333.3333333333339</v>
      </c>
      <c r="AF113" s="31">
        <f t="shared" si="77"/>
        <v>8333.3333333333339</v>
      </c>
      <c r="AG113" s="31">
        <f t="shared" si="77"/>
        <v>8333.3333333333339</v>
      </c>
      <c r="AH113" s="31">
        <f t="shared" si="77"/>
        <v>8333.3333333333339</v>
      </c>
      <c r="AI113" s="31">
        <f t="shared" si="77"/>
        <v>8333.3333333333339</v>
      </c>
      <c r="AJ113" s="31">
        <f t="shared" si="77"/>
        <v>8333.3333333333339</v>
      </c>
      <c r="AK113" s="31">
        <f t="shared" si="77"/>
        <v>8333.3333333333339</v>
      </c>
      <c r="AL113" s="31">
        <f t="shared" si="77"/>
        <v>8333.3333333333339</v>
      </c>
      <c r="AM113" s="31">
        <f t="shared" si="77"/>
        <v>8333.3333333333339</v>
      </c>
      <c r="AN113" s="31">
        <f t="shared" si="77"/>
        <v>8333.3333333333339</v>
      </c>
      <c r="AO113" s="31">
        <f t="shared" si="77"/>
        <v>8333.3333333333339</v>
      </c>
      <c r="AP113" s="31">
        <f t="shared" si="77"/>
        <v>8333.3333333333339</v>
      </c>
      <c r="AQ113" s="31">
        <f t="shared" si="77"/>
        <v>8333.3333333333339</v>
      </c>
      <c r="AR113" s="31">
        <f>(90000+105000)/2/12</f>
        <v>8125</v>
      </c>
      <c r="AS113" s="31">
        <f>(90000+105000)/2/12</f>
        <v>8125</v>
      </c>
      <c r="AT113" s="31">
        <f>(90000+105000)/2/12</f>
        <v>8125</v>
      </c>
      <c r="AU113" s="31">
        <f>(90000+105000)/2/12</f>
        <v>8125</v>
      </c>
      <c r="AV113" s="31">
        <f>(90000+100000)/2/12</f>
        <v>7916.666666666667</v>
      </c>
      <c r="AW113" s="31">
        <f>(90000+100000)/2/12</f>
        <v>7916.666666666667</v>
      </c>
      <c r="AX113" s="31">
        <f>(90000+100000)/2/12</f>
        <v>7916.666666666667</v>
      </c>
      <c r="AY113" s="31">
        <f>(90000+100000)/2/12</f>
        <v>7916.666666666667</v>
      </c>
      <c r="AZ113" s="31">
        <f>(90000+100000)/2/12</f>
        <v>7916.666666666667</v>
      </c>
      <c r="BA113" s="31">
        <f>(95000+100000)/2/12</f>
        <v>8125</v>
      </c>
      <c r="BB113" s="31">
        <f>(95000+100000)/2/12</f>
        <v>8125</v>
      </c>
      <c r="BC113" s="31">
        <f>(95000+100000)/2/12</f>
        <v>8125</v>
      </c>
      <c r="BD113" s="31">
        <f>(95000+100000)/2/12</f>
        <v>8125</v>
      </c>
      <c r="BE113" s="206"/>
      <c r="BF113" s="206"/>
      <c r="BG113" s="206"/>
      <c r="BH113" s="206"/>
      <c r="BI113" t="str">
        <v>Center Director / Remote Site Director</v>
      </c>
      <c r="BJ113" s="37">
        <v>1</v>
      </c>
      <c r="BK113" s="37">
        <f t="shared" si="70"/>
        <v>1.1000000000000001</v>
      </c>
      <c r="BL113" s="37">
        <f t="shared" si="70"/>
        <v>1.2100000000000002</v>
      </c>
      <c r="BO113" s="206"/>
      <c r="BP113" s="206"/>
    </row>
    <row r="114" spans="1:68" outlineLevel="1" x14ac:dyDescent="0.25">
      <c r="A114" s="206"/>
      <c r="B114" s="206" t="s">
        <v>126</v>
      </c>
      <c r="C114" s="23"/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4583</v>
      </c>
      <c r="J114" s="31">
        <v>4583.333333333333</v>
      </c>
      <c r="K114" s="31">
        <v>4583.333333333333</v>
      </c>
      <c r="L114" s="31">
        <v>4583.333333333333</v>
      </c>
      <c r="M114" s="31">
        <v>5250</v>
      </c>
      <c r="N114" s="31">
        <v>5250</v>
      </c>
      <c r="O114" s="31">
        <v>5250</v>
      </c>
      <c r="P114" s="31">
        <v>5250</v>
      </c>
      <c r="Q114" s="31">
        <v>5250</v>
      </c>
      <c r="R114" s="31">
        <v>5250</v>
      </c>
      <c r="S114" s="31">
        <v>5250</v>
      </c>
      <c r="T114" s="31">
        <v>5250</v>
      </c>
      <c r="U114" s="31">
        <v>5250</v>
      </c>
      <c r="V114" s="31">
        <v>5250</v>
      </c>
      <c r="W114" s="31">
        <v>5250</v>
      </c>
      <c r="X114" s="31">
        <v>5250</v>
      </c>
      <c r="Y114" s="31">
        <v>5250</v>
      </c>
      <c r="Z114" s="31">
        <v>5250</v>
      </c>
      <c r="AA114" s="31">
        <v>5250</v>
      </c>
      <c r="AB114" s="31">
        <v>5250</v>
      </c>
      <c r="AC114" s="31">
        <v>5250</v>
      </c>
      <c r="AD114" s="31">
        <v>5250</v>
      </c>
      <c r="AE114" s="31">
        <v>5250</v>
      </c>
      <c r="AF114" s="31">
        <v>5250</v>
      </c>
      <c r="AG114" s="31">
        <v>5250</v>
      </c>
      <c r="AH114" s="31">
        <v>5250</v>
      </c>
      <c r="AI114" s="31">
        <v>5250</v>
      </c>
      <c r="AJ114" s="31">
        <v>5250</v>
      </c>
      <c r="AK114" s="31">
        <v>5250</v>
      </c>
      <c r="AL114" s="31">
        <v>5250</v>
      </c>
      <c r="AM114" s="31">
        <v>5250</v>
      </c>
      <c r="AN114" s="31">
        <v>5250</v>
      </c>
      <c r="AO114" s="31">
        <v>5250</v>
      </c>
      <c r="AP114" s="31">
        <v>5250</v>
      </c>
      <c r="AQ114" s="31">
        <v>5250</v>
      </c>
      <c r="AR114" s="31">
        <v>4583</v>
      </c>
      <c r="AS114" s="31">
        <v>4583</v>
      </c>
      <c r="AT114" s="31">
        <v>4583</v>
      </c>
      <c r="AU114" s="31">
        <v>4583</v>
      </c>
      <c r="AV114" s="31">
        <v>4583.333333333333</v>
      </c>
      <c r="AW114" s="31">
        <v>4583.333333333333</v>
      </c>
      <c r="AX114" s="31">
        <v>4583.333333333333</v>
      </c>
      <c r="AY114" s="31">
        <v>4583.333333333333</v>
      </c>
      <c r="AZ114" s="31">
        <v>4583.333333333333</v>
      </c>
      <c r="BA114" s="31">
        <v>4583.333333333333</v>
      </c>
      <c r="BB114" s="31">
        <v>4583.333333333333</v>
      </c>
      <c r="BC114" s="31">
        <v>4583.333333333333</v>
      </c>
      <c r="BD114" s="31">
        <v>4583.333333333333</v>
      </c>
      <c r="BE114" s="206"/>
      <c r="BF114" s="206"/>
      <c r="BG114" s="206"/>
      <c r="BH114" s="206"/>
      <c r="BI114" t="str">
        <v>Center Marketing Outreach</v>
      </c>
      <c r="BJ114" s="37">
        <v>1</v>
      </c>
      <c r="BK114" s="37">
        <f t="shared" si="70"/>
        <v>1.1000000000000001</v>
      </c>
      <c r="BL114" s="37">
        <f t="shared" si="70"/>
        <v>1.2100000000000002</v>
      </c>
      <c r="BO114" s="206"/>
      <c r="BP114" s="206"/>
    </row>
    <row r="115" spans="1:68" outlineLevel="1" x14ac:dyDescent="0.25">
      <c r="A115" s="206"/>
      <c r="B115" s="206" t="s">
        <v>127</v>
      </c>
      <c r="C115" s="23"/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4583</v>
      </c>
      <c r="J115" s="31">
        <v>4583.333333333333</v>
      </c>
      <c r="K115" s="31">
        <v>4583.333333333333</v>
      </c>
      <c r="L115" s="31">
        <v>4583.333333333333</v>
      </c>
      <c r="M115" s="31">
        <v>5500</v>
      </c>
      <c r="N115" s="31">
        <v>5500</v>
      </c>
      <c r="O115" s="31">
        <v>5500</v>
      </c>
      <c r="P115" s="31">
        <v>5500</v>
      </c>
      <c r="Q115" s="31">
        <v>5500</v>
      </c>
      <c r="R115" s="31">
        <v>5500</v>
      </c>
      <c r="S115" s="31">
        <v>5500</v>
      </c>
      <c r="T115" s="31">
        <v>5500</v>
      </c>
      <c r="U115" s="31">
        <v>5500</v>
      </c>
      <c r="V115" s="31">
        <v>5500</v>
      </c>
      <c r="W115" s="31">
        <v>5500</v>
      </c>
      <c r="X115" s="31">
        <v>5500</v>
      </c>
      <c r="Y115" s="31">
        <v>5500</v>
      </c>
      <c r="Z115" s="31">
        <v>5500</v>
      </c>
      <c r="AA115" s="31">
        <v>5500</v>
      </c>
      <c r="AB115" s="31">
        <v>5500</v>
      </c>
      <c r="AC115" s="31">
        <v>5500</v>
      </c>
      <c r="AD115" s="31">
        <v>5500</v>
      </c>
      <c r="AE115" s="31">
        <v>5500</v>
      </c>
      <c r="AF115" s="31">
        <v>5500</v>
      </c>
      <c r="AG115" s="31">
        <v>5500</v>
      </c>
      <c r="AH115" s="31">
        <v>5500</v>
      </c>
      <c r="AI115" s="31">
        <v>5500</v>
      </c>
      <c r="AJ115" s="31">
        <v>5500</v>
      </c>
      <c r="AK115" s="31">
        <v>5500</v>
      </c>
      <c r="AL115" s="31">
        <v>5500</v>
      </c>
      <c r="AM115" s="31">
        <v>5500</v>
      </c>
      <c r="AN115" s="31">
        <v>5500</v>
      </c>
      <c r="AO115" s="31">
        <v>5500</v>
      </c>
      <c r="AP115" s="31">
        <v>5500</v>
      </c>
      <c r="AQ115" s="31">
        <v>5500</v>
      </c>
      <c r="AR115" s="31">
        <v>4583</v>
      </c>
      <c r="AS115" s="31">
        <v>4583</v>
      </c>
      <c r="AT115" s="31">
        <v>4583</v>
      </c>
      <c r="AU115" s="31">
        <v>4583</v>
      </c>
      <c r="AV115" s="31">
        <v>4583.333333333333</v>
      </c>
      <c r="AW115" s="31">
        <v>4583.333333333333</v>
      </c>
      <c r="AX115" s="31">
        <v>4583.333333333333</v>
      </c>
      <c r="AY115" s="31">
        <v>4583.333333333333</v>
      </c>
      <c r="AZ115" s="31">
        <v>4583.333333333333</v>
      </c>
      <c r="BA115" s="31">
        <v>4583.333333333333</v>
      </c>
      <c r="BB115" s="31">
        <v>4583.333333333333</v>
      </c>
      <c r="BC115" s="31">
        <v>4583.333333333333</v>
      </c>
      <c r="BD115" s="31">
        <v>4583.333333333333</v>
      </c>
      <c r="BE115" s="206"/>
      <c r="BF115" s="206"/>
      <c r="BG115" s="206"/>
      <c r="BH115" s="206"/>
      <c r="BI115" t="str">
        <v>Primary Direct Staff Lead</v>
      </c>
      <c r="BJ115" s="37">
        <v>1</v>
      </c>
      <c r="BK115" s="37">
        <f t="shared" si="70"/>
        <v>1.1000000000000001</v>
      </c>
      <c r="BL115" s="37">
        <f t="shared" si="70"/>
        <v>1.2100000000000002</v>
      </c>
      <c r="BO115" s="206"/>
      <c r="BP115" s="206"/>
    </row>
    <row r="116" spans="1:68" outlineLevel="1" x14ac:dyDescent="0.25">
      <c r="A116" s="206"/>
      <c r="B116" s="206" t="s">
        <v>401</v>
      </c>
      <c r="C116" s="23"/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8333</v>
      </c>
      <c r="J116" s="31">
        <v>8333.3333333333339</v>
      </c>
      <c r="K116" s="31">
        <v>8333.3333333333339</v>
      </c>
      <c r="L116" s="31">
        <v>8333.3333333333339</v>
      </c>
      <c r="M116" s="31">
        <v>9166.6666666666661</v>
      </c>
      <c r="N116" s="31">
        <v>9166.6666666666661</v>
      </c>
      <c r="O116" s="31">
        <v>9166.6666666666661</v>
      </c>
      <c r="P116" s="31">
        <v>9166.6666666666661</v>
      </c>
      <c r="Q116" s="31">
        <v>9166.6666666666661</v>
      </c>
      <c r="R116" s="31">
        <v>9166.6666666666661</v>
      </c>
      <c r="S116" s="31">
        <v>9166.6666666666661</v>
      </c>
      <c r="T116" s="31">
        <v>9166.6666666666661</v>
      </c>
      <c r="U116" s="31">
        <v>9166.6666666666661</v>
      </c>
      <c r="V116" s="31">
        <v>9166.6666666666661</v>
      </c>
      <c r="W116" s="31">
        <v>9166.6666666666661</v>
      </c>
      <c r="X116" s="31">
        <v>9166.6666666666661</v>
      </c>
      <c r="Y116" s="31">
        <v>9166.6666666666661</v>
      </c>
      <c r="Z116" s="31">
        <v>9166.6666666666661</v>
      </c>
      <c r="AA116" s="31">
        <v>9166.6666666666661</v>
      </c>
      <c r="AB116" s="31">
        <v>9166.6666666666661</v>
      </c>
      <c r="AC116" s="31">
        <v>9166.6666666666661</v>
      </c>
      <c r="AD116" s="31">
        <v>9166.6666666666661</v>
      </c>
      <c r="AE116" s="31">
        <v>9166.6666666666661</v>
      </c>
      <c r="AF116" s="31">
        <v>9166.6666666666661</v>
      </c>
      <c r="AG116" s="31">
        <v>9166.6666666666661</v>
      </c>
      <c r="AH116" s="31">
        <v>9166.6666666666661</v>
      </c>
      <c r="AI116" s="31">
        <v>9166.6666666666661</v>
      </c>
      <c r="AJ116" s="31">
        <v>9166.6666666666661</v>
      </c>
      <c r="AK116" s="31">
        <v>9166.6666666666661</v>
      </c>
      <c r="AL116" s="31">
        <v>9166.6666666666661</v>
      </c>
      <c r="AM116" s="31">
        <v>9166.6666666666661</v>
      </c>
      <c r="AN116" s="31">
        <v>9166.6666666666661</v>
      </c>
      <c r="AO116" s="31">
        <v>9166.6666666666661</v>
      </c>
      <c r="AP116" s="31">
        <v>9166.6666666666661</v>
      </c>
      <c r="AQ116" s="31">
        <v>9166.6666666666661</v>
      </c>
      <c r="AR116" s="31">
        <v>8333</v>
      </c>
      <c r="AS116" s="31">
        <v>8333</v>
      </c>
      <c r="AT116" s="31">
        <v>8333</v>
      </c>
      <c r="AU116" s="31">
        <v>8333</v>
      </c>
      <c r="AV116" s="31">
        <v>7916.666666666667</v>
      </c>
      <c r="AW116" s="31">
        <v>7916.666666666667</v>
      </c>
      <c r="AX116" s="31">
        <v>7916.666666666667</v>
      </c>
      <c r="AY116" s="31">
        <v>7916.666666666667</v>
      </c>
      <c r="AZ116" s="31">
        <v>7916.666666666667</v>
      </c>
      <c r="BA116" s="31">
        <v>7916.666666666667</v>
      </c>
      <c r="BB116" s="31">
        <v>8125</v>
      </c>
      <c r="BC116" s="31">
        <v>8125</v>
      </c>
      <c r="BD116" s="31">
        <v>8125</v>
      </c>
      <c r="BE116" s="206"/>
      <c r="BF116" s="206"/>
      <c r="BG116" s="206"/>
      <c r="BH116" s="206"/>
      <c r="BI116" t="str">
        <v>Tertiary Direct Staff</v>
      </c>
      <c r="BJ116" s="37">
        <v>1</v>
      </c>
      <c r="BK116" s="37">
        <f t="shared" si="70"/>
        <v>1.1000000000000001</v>
      </c>
      <c r="BL116" s="37">
        <f t="shared" si="70"/>
        <v>1.2100000000000002</v>
      </c>
      <c r="BO116" s="206"/>
      <c r="BP116" s="206"/>
    </row>
    <row r="117" spans="1:68" outlineLevel="1" x14ac:dyDescent="0.25">
      <c r="A117" s="206"/>
      <c r="B117" s="206" t="s">
        <v>400</v>
      </c>
      <c r="C117" s="23"/>
      <c r="D117" s="31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f>95000/12</f>
        <v>7916.666666666667</v>
      </c>
      <c r="J117" s="31">
        <f t="shared" ref="J117:L117" si="78">95000/12</f>
        <v>7916.666666666667</v>
      </c>
      <c r="K117" s="31">
        <f t="shared" si="78"/>
        <v>7916.666666666667</v>
      </c>
      <c r="L117" s="31">
        <f t="shared" si="78"/>
        <v>7916.666666666667</v>
      </c>
      <c r="M117" s="31">
        <f t="shared" ref="M117:BD117" si="79">100000/12</f>
        <v>8333.3333333333339</v>
      </c>
      <c r="N117" s="31">
        <f t="shared" si="79"/>
        <v>8333.3333333333339</v>
      </c>
      <c r="O117" s="31">
        <f t="shared" si="79"/>
        <v>8333.3333333333339</v>
      </c>
      <c r="P117" s="31">
        <f t="shared" si="79"/>
        <v>8333.3333333333339</v>
      </c>
      <c r="Q117" s="31">
        <f t="shared" si="79"/>
        <v>8333.3333333333339</v>
      </c>
      <c r="R117" s="31">
        <f t="shared" si="79"/>
        <v>8333.3333333333339</v>
      </c>
      <c r="S117" s="31">
        <f t="shared" si="79"/>
        <v>8333.3333333333339</v>
      </c>
      <c r="T117" s="31">
        <f t="shared" si="79"/>
        <v>8333.3333333333339</v>
      </c>
      <c r="U117" s="31">
        <f t="shared" si="79"/>
        <v>8333.3333333333339</v>
      </c>
      <c r="V117" s="31">
        <f t="shared" si="79"/>
        <v>8333.3333333333339</v>
      </c>
      <c r="W117" s="31">
        <f t="shared" si="79"/>
        <v>8333.3333333333339</v>
      </c>
      <c r="X117" s="31">
        <f t="shared" si="79"/>
        <v>8333.3333333333339</v>
      </c>
      <c r="Y117" s="31">
        <f t="shared" si="79"/>
        <v>8333.3333333333339</v>
      </c>
      <c r="Z117" s="31">
        <f t="shared" si="79"/>
        <v>8333.3333333333339</v>
      </c>
      <c r="AA117" s="31">
        <f t="shared" si="79"/>
        <v>8333.3333333333339</v>
      </c>
      <c r="AB117" s="31">
        <f t="shared" si="79"/>
        <v>8333.3333333333339</v>
      </c>
      <c r="AC117" s="31">
        <f t="shared" si="79"/>
        <v>8333.3333333333339</v>
      </c>
      <c r="AD117" s="31">
        <f t="shared" si="79"/>
        <v>8333.3333333333339</v>
      </c>
      <c r="AE117" s="31">
        <f t="shared" si="79"/>
        <v>8333.3333333333339</v>
      </c>
      <c r="AF117" s="31">
        <f t="shared" si="79"/>
        <v>8333.3333333333339</v>
      </c>
      <c r="AG117" s="31">
        <f t="shared" si="79"/>
        <v>8333.3333333333339</v>
      </c>
      <c r="AH117" s="31">
        <f t="shared" si="79"/>
        <v>8333.3333333333339</v>
      </c>
      <c r="AI117" s="31">
        <f t="shared" si="79"/>
        <v>8333.3333333333339</v>
      </c>
      <c r="AJ117" s="31">
        <f t="shared" si="79"/>
        <v>8333.3333333333339</v>
      </c>
      <c r="AK117" s="31">
        <f t="shared" si="79"/>
        <v>8333.3333333333339</v>
      </c>
      <c r="AL117" s="31">
        <f t="shared" si="79"/>
        <v>8333.3333333333339</v>
      </c>
      <c r="AM117" s="31">
        <f t="shared" si="79"/>
        <v>8333.3333333333339</v>
      </c>
      <c r="AN117" s="31">
        <f t="shared" si="79"/>
        <v>8333.3333333333339</v>
      </c>
      <c r="AO117" s="31">
        <f t="shared" si="79"/>
        <v>8333.3333333333339</v>
      </c>
      <c r="AP117" s="31">
        <f t="shared" si="79"/>
        <v>8333.3333333333339</v>
      </c>
      <c r="AQ117" s="31">
        <f t="shared" si="79"/>
        <v>8333.3333333333339</v>
      </c>
      <c r="AR117" s="31">
        <f t="shared" ref="AR117:AU117" si="80">95000/12</f>
        <v>7916.666666666667</v>
      </c>
      <c r="AS117" s="31">
        <f>95000/12</f>
        <v>7916.666666666667</v>
      </c>
      <c r="AT117" s="31">
        <f t="shared" si="80"/>
        <v>7916.666666666667</v>
      </c>
      <c r="AU117" s="31">
        <f t="shared" si="80"/>
        <v>7916.666666666667</v>
      </c>
      <c r="AV117" s="31">
        <f t="shared" si="79"/>
        <v>8333.3333333333339</v>
      </c>
      <c r="AW117" s="31">
        <f t="shared" si="79"/>
        <v>8333.3333333333339</v>
      </c>
      <c r="AX117" s="31">
        <f t="shared" si="79"/>
        <v>8333.3333333333339</v>
      </c>
      <c r="AY117" s="31">
        <f t="shared" si="79"/>
        <v>8333.3333333333339</v>
      </c>
      <c r="AZ117" s="31">
        <f t="shared" si="79"/>
        <v>8333.3333333333339</v>
      </c>
      <c r="BA117" s="31">
        <f t="shared" si="79"/>
        <v>8333.3333333333339</v>
      </c>
      <c r="BB117" s="31">
        <f t="shared" si="79"/>
        <v>8333.3333333333339</v>
      </c>
      <c r="BC117" s="31">
        <f t="shared" si="79"/>
        <v>8333.3333333333339</v>
      </c>
      <c r="BD117" s="31">
        <f t="shared" si="79"/>
        <v>8333.3333333333339</v>
      </c>
      <c r="BE117" s="206"/>
      <c r="BF117" s="206"/>
      <c r="BG117" s="206"/>
      <c r="BH117" s="206"/>
      <c r="BI117" t="str">
        <v>Quinary Direct Staff</v>
      </c>
      <c r="BJ117" s="37">
        <v>1</v>
      </c>
      <c r="BK117" s="37">
        <f t="shared" si="70"/>
        <v>1.1000000000000001</v>
      </c>
      <c r="BL117" s="37">
        <f t="shared" si="70"/>
        <v>1.2100000000000002</v>
      </c>
      <c r="BO117" s="206"/>
      <c r="BP117" s="206"/>
    </row>
    <row r="118" spans="1:68" outlineLevel="1" x14ac:dyDescent="0.25">
      <c r="A118" s="206"/>
      <c r="B118" s="206" t="s">
        <v>399</v>
      </c>
      <c r="C118" s="23"/>
      <c r="D118" s="31">
        <v>0</v>
      </c>
      <c r="E118" s="31">
        <v>0</v>
      </c>
      <c r="F118" s="31">
        <v>0</v>
      </c>
      <c r="G118" s="31">
        <v>0</v>
      </c>
      <c r="H118" s="31">
        <v>0</v>
      </c>
      <c r="I118" s="31">
        <f t="shared" ref="I118:BD118" si="81">55000/12</f>
        <v>4583.333333333333</v>
      </c>
      <c r="J118" s="31">
        <f t="shared" si="81"/>
        <v>4583.333333333333</v>
      </c>
      <c r="K118" s="31">
        <f t="shared" si="81"/>
        <v>4583.333333333333</v>
      </c>
      <c r="L118" s="31">
        <f t="shared" si="81"/>
        <v>4583.333333333333</v>
      </c>
      <c r="M118" s="31">
        <v>5350</v>
      </c>
      <c r="N118" s="31">
        <v>5350</v>
      </c>
      <c r="O118" s="31">
        <v>5350</v>
      </c>
      <c r="P118" s="31">
        <v>5350</v>
      </c>
      <c r="Q118" s="31">
        <v>5350</v>
      </c>
      <c r="R118" s="31">
        <v>5350</v>
      </c>
      <c r="S118" s="31">
        <v>5350</v>
      </c>
      <c r="T118" s="31">
        <v>5350</v>
      </c>
      <c r="U118" s="31">
        <v>5350</v>
      </c>
      <c r="V118" s="31">
        <v>5350</v>
      </c>
      <c r="W118" s="31">
        <v>5350</v>
      </c>
      <c r="X118" s="31">
        <v>5350</v>
      </c>
      <c r="Y118" s="31">
        <v>5350</v>
      </c>
      <c r="Z118" s="31">
        <v>5350</v>
      </c>
      <c r="AA118" s="31">
        <v>5350</v>
      </c>
      <c r="AB118" s="31">
        <v>5350</v>
      </c>
      <c r="AC118" s="31">
        <v>5350</v>
      </c>
      <c r="AD118" s="31">
        <v>5350</v>
      </c>
      <c r="AE118" s="31">
        <v>5350</v>
      </c>
      <c r="AF118" s="31">
        <v>5350</v>
      </c>
      <c r="AG118" s="31">
        <v>5350</v>
      </c>
      <c r="AH118" s="31">
        <v>5350</v>
      </c>
      <c r="AI118" s="31">
        <v>5350</v>
      </c>
      <c r="AJ118" s="31">
        <v>5350</v>
      </c>
      <c r="AK118" s="31">
        <v>5350</v>
      </c>
      <c r="AL118" s="31">
        <v>5350</v>
      </c>
      <c r="AM118" s="31">
        <v>5350</v>
      </c>
      <c r="AN118" s="31">
        <v>5350</v>
      </c>
      <c r="AO118" s="31">
        <v>5350</v>
      </c>
      <c r="AP118" s="31">
        <v>5350</v>
      </c>
      <c r="AQ118" s="31">
        <v>5350</v>
      </c>
      <c r="AR118" s="31">
        <f t="shared" si="81"/>
        <v>4583.333333333333</v>
      </c>
      <c r="AS118" s="31">
        <f>55000/12</f>
        <v>4583.333333333333</v>
      </c>
      <c r="AT118" s="31">
        <f t="shared" si="81"/>
        <v>4583.333333333333</v>
      </c>
      <c r="AU118" s="31">
        <f t="shared" si="81"/>
        <v>4583.333333333333</v>
      </c>
      <c r="AV118" s="31">
        <f t="shared" si="81"/>
        <v>4583.333333333333</v>
      </c>
      <c r="AW118" s="31">
        <f t="shared" si="81"/>
        <v>4583.333333333333</v>
      </c>
      <c r="AX118" s="31">
        <f t="shared" si="81"/>
        <v>4583.333333333333</v>
      </c>
      <c r="AY118" s="31">
        <f t="shared" si="81"/>
        <v>4583.333333333333</v>
      </c>
      <c r="AZ118" s="31">
        <f t="shared" si="81"/>
        <v>4583.333333333333</v>
      </c>
      <c r="BA118" s="31">
        <f t="shared" si="81"/>
        <v>4583.333333333333</v>
      </c>
      <c r="BB118" s="31">
        <f t="shared" si="81"/>
        <v>4583.333333333333</v>
      </c>
      <c r="BC118" s="31">
        <f t="shared" si="81"/>
        <v>4583.333333333333</v>
      </c>
      <c r="BD118" s="31">
        <f t="shared" si="81"/>
        <v>4583.333333333333</v>
      </c>
      <c r="BE118" s="206"/>
      <c r="BF118" s="206"/>
      <c r="BG118" s="206"/>
      <c r="BH118" s="206"/>
      <c r="BI118" t="str">
        <v>Quaternary Direct Staff</v>
      </c>
      <c r="BJ118" s="37">
        <v>1</v>
      </c>
      <c r="BK118" s="37">
        <f t="shared" si="70"/>
        <v>1.1000000000000001</v>
      </c>
      <c r="BL118" s="37">
        <f t="shared" si="70"/>
        <v>1.2100000000000002</v>
      </c>
      <c r="BO118" s="206"/>
      <c r="BP118" s="206"/>
    </row>
    <row r="119" spans="1:68" outlineLevel="1" x14ac:dyDescent="0.25">
      <c r="A119" s="206"/>
      <c r="B119" s="206" t="s">
        <v>395</v>
      </c>
      <c r="C119" s="24" t="s">
        <v>405</v>
      </c>
      <c r="D119" s="41">
        <f>D106*SUM(D79:D80)</f>
        <v>0</v>
      </c>
      <c r="E119" s="41">
        <f t="shared" ref="E119:H119" si="82">E106*SUM(E79:E80)</f>
        <v>0</v>
      </c>
      <c r="F119" s="41">
        <f t="shared" si="82"/>
        <v>0</v>
      </c>
      <c r="G119" s="41">
        <f t="shared" si="82"/>
        <v>0</v>
      </c>
      <c r="H119" s="41">
        <f t="shared" si="82"/>
        <v>0</v>
      </c>
      <c r="I119" s="41">
        <f>I106*35*(48/52)*(52/12)</f>
        <v>10500</v>
      </c>
      <c r="J119" s="41">
        <f t="shared" ref="J119:BD119" si="83">J106*35*(48/52)*(52/12)</f>
        <v>10500</v>
      </c>
      <c r="K119" s="41">
        <f t="shared" si="83"/>
        <v>10500</v>
      </c>
      <c r="L119" s="41">
        <f t="shared" ref="L119" si="84">L106*35*(48/52)*(52/12)</f>
        <v>10500</v>
      </c>
      <c r="M119" s="41">
        <f t="shared" si="83"/>
        <v>11900</v>
      </c>
      <c r="N119" s="41">
        <f t="shared" si="83"/>
        <v>11900</v>
      </c>
      <c r="O119" s="41">
        <f t="shared" si="83"/>
        <v>11900</v>
      </c>
      <c r="P119" s="41">
        <f t="shared" si="83"/>
        <v>11900</v>
      </c>
      <c r="Q119" s="41">
        <f t="shared" si="83"/>
        <v>11900</v>
      </c>
      <c r="R119" s="41">
        <f t="shared" si="83"/>
        <v>11900</v>
      </c>
      <c r="S119" s="41">
        <f t="shared" si="83"/>
        <v>11900</v>
      </c>
      <c r="T119" s="41">
        <f t="shared" si="83"/>
        <v>11900</v>
      </c>
      <c r="U119" s="41">
        <f t="shared" si="83"/>
        <v>11900</v>
      </c>
      <c r="V119" s="41">
        <f t="shared" si="83"/>
        <v>11900</v>
      </c>
      <c r="W119" s="41">
        <f t="shared" si="83"/>
        <v>11900</v>
      </c>
      <c r="X119" s="41">
        <f t="shared" si="83"/>
        <v>11900</v>
      </c>
      <c r="Y119" s="41">
        <f t="shared" si="83"/>
        <v>11900</v>
      </c>
      <c r="Z119" s="41">
        <f t="shared" si="83"/>
        <v>11900</v>
      </c>
      <c r="AA119" s="41">
        <f t="shared" si="83"/>
        <v>11900</v>
      </c>
      <c r="AB119" s="41">
        <f t="shared" si="83"/>
        <v>11900</v>
      </c>
      <c r="AC119" s="41">
        <f t="shared" si="83"/>
        <v>11900</v>
      </c>
      <c r="AD119" s="41">
        <f t="shared" si="83"/>
        <v>11900</v>
      </c>
      <c r="AE119" s="41">
        <f t="shared" si="83"/>
        <v>11900</v>
      </c>
      <c r="AF119" s="41">
        <f t="shared" si="83"/>
        <v>11900</v>
      </c>
      <c r="AG119" s="41">
        <f t="shared" si="83"/>
        <v>11900</v>
      </c>
      <c r="AH119" s="41">
        <f t="shared" si="83"/>
        <v>11900</v>
      </c>
      <c r="AI119" s="41">
        <f t="shared" si="83"/>
        <v>11900</v>
      </c>
      <c r="AJ119" s="41">
        <f t="shared" si="83"/>
        <v>11900</v>
      </c>
      <c r="AK119" s="41">
        <f t="shared" si="83"/>
        <v>11900</v>
      </c>
      <c r="AL119" s="41">
        <f t="shared" si="83"/>
        <v>11900</v>
      </c>
      <c r="AM119" s="41">
        <f t="shared" si="83"/>
        <v>11900</v>
      </c>
      <c r="AN119" s="41">
        <f t="shared" si="83"/>
        <v>11900</v>
      </c>
      <c r="AO119" s="41">
        <f t="shared" si="83"/>
        <v>11900</v>
      </c>
      <c r="AP119" s="41">
        <f t="shared" si="83"/>
        <v>11900</v>
      </c>
      <c r="AQ119" s="41">
        <f t="shared" si="83"/>
        <v>11900</v>
      </c>
      <c r="AR119" s="41">
        <f t="shared" si="83"/>
        <v>11900</v>
      </c>
      <c r="AS119" s="179">
        <f>AS106*35*(48/52)*(52/12)</f>
        <v>11900</v>
      </c>
      <c r="AT119" s="41">
        <f t="shared" si="83"/>
        <v>11900</v>
      </c>
      <c r="AU119" s="41">
        <f t="shared" si="83"/>
        <v>11900</v>
      </c>
      <c r="AV119" s="41">
        <f t="shared" si="83"/>
        <v>11900</v>
      </c>
      <c r="AW119" s="41">
        <f t="shared" si="83"/>
        <v>11900</v>
      </c>
      <c r="AX119" s="41">
        <f t="shared" si="83"/>
        <v>11900</v>
      </c>
      <c r="AY119" s="41">
        <f t="shared" si="83"/>
        <v>11900</v>
      </c>
      <c r="AZ119" s="41">
        <f t="shared" si="83"/>
        <v>11900</v>
      </c>
      <c r="BA119" s="41">
        <f t="shared" si="83"/>
        <v>11900</v>
      </c>
      <c r="BB119" s="41">
        <f t="shared" ref="BB119:BC119" si="85">BB106*35*(48/52)*(52/12)</f>
        <v>11900</v>
      </c>
      <c r="BC119" s="41">
        <f t="shared" si="85"/>
        <v>11900</v>
      </c>
      <c r="BD119" s="41">
        <f t="shared" si="83"/>
        <v>11900</v>
      </c>
      <c r="BE119" s="206"/>
      <c r="BF119" s="206"/>
      <c r="BG119" s="206"/>
      <c r="BH119" s="206"/>
      <c r="BO119" s="206"/>
      <c r="BP119" s="206"/>
    </row>
    <row r="120" spans="1:68" outlineLevel="1" x14ac:dyDescent="0.25">
      <c r="A120" s="206"/>
      <c r="B120" s="206" t="s">
        <v>396</v>
      </c>
      <c r="C120" s="24" t="s">
        <v>405</v>
      </c>
      <c r="D120" s="41">
        <f>D107*D82</f>
        <v>0</v>
      </c>
      <c r="E120" s="41">
        <f t="shared" ref="E120:H120" si="86">E107*E82</f>
        <v>0</v>
      </c>
      <c r="F120" s="41">
        <f t="shared" si="86"/>
        <v>0</v>
      </c>
      <c r="G120" s="41">
        <f t="shared" si="86"/>
        <v>0</v>
      </c>
      <c r="H120" s="41">
        <f t="shared" si="86"/>
        <v>0</v>
      </c>
      <c r="I120" s="41">
        <f>I107*35*(48/52)*(52/12)</f>
        <v>10500</v>
      </c>
      <c r="J120" s="41">
        <f t="shared" ref="J120:BD120" si="87">J107*35*(48/52)*(52/12)</f>
        <v>10500</v>
      </c>
      <c r="K120" s="41">
        <f t="shared" si="87"/>
        <v>10500</v>
      </c>
      <c r="L120" s="41">
        <f t="shared" ref="L120" si="88">L107*35*(48/52)*(52/12)</f>
        <v>10500</v>
      </c>
      <c r="M120" s="41">
        <f t="shared" si="87"/>
        <v>11900</v>
      </c>
      <c r="N120" s="41">
        <f t="shared" si="87"/>
        <v>11900</v>
      </c>
      <c r="O120" s="41">
        <f t="shared" si="87"/>
        <v>11900</v>
      </c>
      <c r="P120" s="41">
        <f t="shared" si="87"/>
        <v>11900</v>
      </c>
      <c r="Q120" s="41">
        <f t="shared" si="87"/>
        <v>11900</v>
      </c>
      <c r="R120" s="41">
        <f t="shared" si="87"/>
        <v>11900</v>
      </c>
      <c r="S120" s="41">
        <f t="shared" si="87"/>
        <v>11900</v>
      </c>
      <c r="T120" s="41">
        <f t="shared" si="87"/>
        <v>11900</v>
      </c>
      <c r="U120" s="41">
        <f t="shared" si="87"/>
        <v>11900</v>
      </c>
      <c r="V120" s="41">
        <f t="shared" si="87"/>
        <v>11900</v>
      </c>
      <c r="W120" s="41">
        <f t="shared" si="87"/>
        <v>11900</v>
      </c>
      <c r="X120" s="41">
        <f t="shared" si="87"/>
        <v>11900</v>
      </c>
      <c r="Y120" s="41">
        <f t="shared" si="87"/>
        <v>11900</v>
      </c>
      <c r="Z120" s="41">
        <f t="shared" si="87"/>
        <v>11900</v>
      </c>
      <c r="AA120" s="41">
        <f t="shared" si="87"/>
        <v>11900</v>
      </c>
      <c r="AB120" s="41">
        <f t="shared" si="87"/>
        <v>11900</v>
      </c>
      <c r="AC120" s="41">
        <f t="shared" si="87"/>
        <v>11900</v>
      </c>
      <c r="AD120" s="41">
        <f t="shared" si="87"/>
        <v>11900</v>
      </c>
      <c r="AE120" s="41">
        <f t="shared" si="87"/>
        <v>11900</v>
      </c>
      <c r="AF120" s="41">
        <f t="shared" si="87"/>
        <v>11900</v>
      </c>
      <c r="AG120" s="41">
        <f t="shared" si="87"/>
        <v>11900</v>
      </c>
      <c r="AH120" s="41">
        <f t="shared" si="87"/>
        <v>11900</v>
      </c>
      <c r="AI120" s="41">
        <f t="shared" si="87"/>
        <v>11900</v>
      </c>
      <c r="AJ120" s="41">
        <f t="shared" si="87"/>
        <v>11900</v>
      </c>
      <c r="AK120" s="41">
        <f t="shared" si="87"/>
        <v>11900</v>
      </c>
      <c r="AL120" s="41">
        <f t="shared" si="87"/>
        <v>11900</v>
      </c>
      <c r="AM120" s="41">
        <f t="shared" si="87"/>
        <v>11900</v>
      </c>
      <c r="AN120" s="41">
        <f t="shared" si="87"/>
        <v>11900</v>
      </c>
      <c r="AO120" s="41">
        <f t="shared" si="87"/>
        <v>11900</v>
      </c>
      <c r="AP120" s="41">
        <f t="shared" si="87"/>
        <v>11900</v>
      </c>
      <c r="AQ120" s="41">
        <f t="shared" si="87"/>
        <v>11900</v>
      </c>
      <c r="AR120" s="41">
        <f t="shared" si="87"/>
        <v>11900</v>
      </c>
      <c r="AS120" s="179">
        <f>AS107*35*(48/52)*(52/12)</f>
        <v>11900</v>
      </c>
      <c r="AT120" s="41">
        <f t="shared" si="87"/>
        <v>11900</v>
      </c>
      <c r="AU120" s="41">
        <f t="shared" si="87"/>
        <v>11900</v>
      </c>
      <c r="AV120" s="41">
        <f t="shared" si="87"/>
        <v>11900</v>
      </c>
      <c r="AW120" s="41">
        <f t="shared" si="87"/>
        <v>11900</v>
      </c>
      <c r="AX120" s="41">
        <f t="shared" si="87"/>
        <v>11900</v>
      </c>
      <c r="AY120" s="41">
        <f t="shared" si="87"/>
        <v>11900</v>
      </c>
      <c r="AZ120" s="41">
        <f t="shared" si="87"/>
        <v>11900</v>
      </c>
      <c r="BA120" s="41">
        <f t="shared" si="87"/>
        <v>11900</v>
      </c>
      <c r="BB120" s="41">
        <f t="shared" ref="BB120:BC120" si="89">BB107*35*(48/52)*(52/12)</f>
        <v>11900</v>
      </c>
      <c r="BC120" s="41">
        <f t="shared" si="89"/>
        <v>11900</v>
      </c>
      <c r="BD120" s="41">
        <f t="shared" si="87"/>
        <v>11900</v>
      </c>
      <c r="BE120" s="206"/>
      <c r="BF120" s="206"/>
      <c r="BG120" s="206"/>
      <c r="BH120" s="206"/>
      <c r="BO120" s="206"/>
      <c r="BP120" s="206"/>
    </row>
    <row r="121" spans="1:68" outlineLevel="1" x14ac:dyDescent="0.25">
      <c r="A121" s="206"/>
      <c r="B121" s="206" t="s">
        <v>397</v>
      </c>
      <c r="C121" s="23"/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f t="shared" ref="I121:BD121" si="90">150000/12</f>
        <v>12500</v>
      </c>
      <c r="J121" s="31">
        <f t="shared" si="90"/>
        <v>12500</v>
      </c>
      <c r="K121" s="31">
        <f t="shared" si="90"/>
        <v>12500</v>
      </c>
      <c r="L121" s="31">
        <f t="shared" si="90"/>
        <v>12500</v>
      </c>
      <c r="M121" s="31">
        <f t="shared" si="90"/>
        <v>12500</v>
      </c>
      <c r="N121" s="31">
        <f t="shared" si="90"/>
        <v>12500</v>
      </c>
      <c r="O121" s="31">
        <f t="shared" si="90"/>
        <v>12500</v>
      </c>
      <c r="P121" s="31">
        <f t="shared" si="90"/>
        <v>12500</v>
      </c>
      <c r="Q121" s="31">
        <f t="shared" si="90"/>
        <v>12500</v>
      </c>
      <c r="R121" s="31">
        <f t="shared" si="90"/>
        <v>12500</v>
      </c>
      <c r="S121" s="31">
        <f t="shared" si="90"/>
        <v>12500</v>
      </c>
      <c r="T121" s="31">
        <f t="shared" si="90"/>
        <v>12500</v>
      </c>
      <c r="U121" s="31">
        <f t="shared" si="90"/>
        <v>12500</v>
      </c>
      <c r="V121" s="31">
        <f t="shared" si="90"/>
        <v>12500</v>
      </c>
      <c r="W121" s="31">
        <f t="shared" si="90"/>
        <v>12500</v>
      </c>
      <c r="X121" s="31">
        <f t="shared" si="90"/>
        <v>12500</v>
      </c>
      <c r="Y121" s="31">
        <f t="shared" si="90"/>
        <v>12500</v>
      </c>
      <c r="Z121" s="31">
        <f t="shared" si="90"/>
        <v>12500</v>
      </c>
      <c r="AA121" s="31">
        <f t="shared" si="90"/>
        <v>12500</v>
      </c>
      <c r="AB121" s="31">
        <f t="shared" si="90"/>
        <v>12500</v>
      </c>
      <c r="AC121" s="31">
        <f t="shared" si="90"/>
        <v>12500</v>
      </c>
      <c r="AD121" s="31">
        <f t="shared" si="90"/>
        <v>12500</v>
      </c>
      <c r="AE121" s="31">
        <f t="shared" si="90"/>
        <v>12500</v>
      </c>
      <c r="AF121" s="31">
        <f t="shared" si="90"/>
        <v>12500</v>
      </c>
      <c r="AG121" s="31">
        <f t="shared" si="90"/>
        <v>12500</v>
      </c>
      <c r="AH121" s="31">
        <f t="shared" si="90"/>
        <v>12500</v>
      </c>
      <c r="AI121" s="31">
        <f t="shared" si="90"/>
        <v>12500</v>
      </c>
      <c r="AJ121" s="31">
        <f t="shared" si="90"/>
        <v>12500</v>
      </c>
      <c r="AK121" s="31">
        <f t="shared" si="90"/>
        <v>12500</v>
      </c>
      <c r="AL121" s="31">
        <f t="shared" si="90"/>
        <v>12500</v>
      </c>
      <c r="AM121" s="31">
        <f t="shared" si="90"/>
        <v>12500</v>
      </c>
      <c r="AN121" s="31">
        <f t="shared" si="90"/>
        <v>12500</v>
      </c>
      <c r="AO121" s="31">
        <f t="shared" si="90"/>
        <v>12500</v>
      </c>
      <c r="AP121" s="31">
        <f t="shared" si="90"/>
        <v>12500</v>
      </c>
      <c r="AQ121" s="31">
        <f t="shared" si="90"/>
        <v>12500</v>
      </c>
      <c r="AR121" s="31">
        <f t="shared" si="90"/>
        <v>12500</v>
      </c>
      <c r="AS121" s="31">
        <f>150000/12</f>
        <v>12500</v>
      </c>
      <c r="AT121" s="31">
        <f t="shared" si="90"/>
        <v>12500</v>
      </c>
      <c r="AU121" s="31">
        <f t="shared" si="90"/>
        <v>12500</v>
      </c>
      <c r="AV121" s="31">
        <f t="shared" si="90"/>
        <v>12500</v>
      </c>
      <c r="AW121" s="31">
        <f t="shared" si="90"/>
        <v>12500</v>
      </c>
      <c r="AX121" s="31">
        <f t="shared" si="90"/>
        <v>12500</v>
      </c>
      <c r="AY121" s="31">
        <f t="shared" si="90"/>
        <v>12500</v>
      </c>
      <c r="AZ121" s="31">
        <f t="shared" si="90"/>
        <v>12500</v>
      </c>
      <c r="BA121" s="31">
        <f t="shared" si="90"/>
        <v>12500</v>
      </c>
      <c r="BB121" s="31">
        <f t="shared" si="90"/>
        <v>12500</v>
      </c>
      <c r="BC121" s="31">
        <f t="shared" si="90"/>
        <v>12500</v>
      </c>
      <c r="BD121" s="31">
        <f t="shared" si="90"/>
        <v>12500</v>
      </c>
      <c r="BE121" s="206"/>
      <c r="BF121" s="206"/>
      <c r="BG121" s="206"/>
      <c r="BH121" s="206"/>
      <c r="BO121" s="206"/>
      <c r="BP121" s="206"/>
    </row>
    <row r="122" spans="1:68" outlineLevel="1" x14ac:dyDescent="0.25">
      <c r="A122" s="206"/>
      <c r="B122" s="206"/>
      <c r="C122" s="206"/>
      <c r="D122" s="206"/>
      <c r="E122" s="206"/>
      <c r="F122" s="206"/>
      <c r="G122" s="206"/>
      <c r="H122" s="206"/>
      <c r="I122" s="214"/>
      <c r="J122" s="206"/>
      <c r="K122" s="206"/>
      <c r="L122" s="206"/>
      <c r="M122" s="206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206"/>
      <c r="AI122" s="206"/>
      <c r="AJ122" s="206"/>
      <c r="AK122" s="206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  <c r="BC122" s="206"/>
      <c r="BD122" s="206"/>
      <c r="BE122" s="206"/>
      <c r="BF122" s="206"/>
      <c r="BG122" s="206"/>
      <c r="BH122" s="206"/>
      <c r="BO122" s="206"/>
      <c r="BP122" s="206"/>
    </row>
    <row r="123" spans="1:68" x14ac:dyDescent="0.25">
      <c r="A123" s="206"/>
      <c r="B123" s="80"/>
      <c r="C123" s="206"/>
      <c r="D123" s="206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206"/>
      <c r="AI123" s="206"/>
      <c r="AJ123" s="206"/>
      <c r="AK123" s="206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  <c r="BC123" s="206"/>
      <c r="BD123" s="206"/>
      <c r="BE123" s="206"/>
      <c r="BF123" s="206"/>
      <c r="BG123" s="206"/>
      <c r="BH123" s="206"/>
      <c r="BO123" s="206"/>
      <c r="BP123" s="206"/>
    </row>
    <row r="124" spans="1:68" x14ac:dyDescent="0.25">
      <c r="A124" s="206"/>
      <c r="B124" s="206" t="s">
        <v>131</v>
      </c>
      <c r="C124" s="206"/>
      <c r="D124" s="46">
        <v>0.16</v>
      </c>
      <c r="E124" s="46">
        <v>0.16</v>
      </c>
      <c r="F124" s="46">
        <v>0.16</v>
      </c>
      <c r="G124" s="46">
        <v>0.16</v>
      </c>
      <c r="H124" s="46">
        <v>0.16</v>
      </c>
      <c r="I124" s="46">
        <v>0.16</v>
      </c>
      <c r="J124" s="46">
        <v>0.16</v>
      </c>
      <c r="K124" s="46">
        <v>0.16</v>
      </c>
      <c r="L124" s="46">
        <v>0.16</v>
      </c>
      <c r="M124" s="46">
        <v>0.16</v>
      </c>
      <c r="N124" s="46">
        <v>0.16</v>
      </c>
      <c r="O124" s="46">
        <v>0.16</v>
      </c>
      <c r="P124" s="46">
        <v>0.16</v>
      </c>
      <c r="Q124" s="46">
        <v>0.16</v>
      </c>
      <c r="R124" s="46">
        <v>0.16</v>
      </c>
      <c r="S124" s="46">
        <v>0.16</v>
      </c>
      <c r="T124" s="46">
        <v>0.16</v>
      </c>
      <c r="U124" s="46">
        <v>0.16</v>
      </c>
      <c r="V124" s="46">
        <v>0.16</v>
      </c>
      <c r="W124" s="46">
        <v>0.16</v>
      </c>
      <c r="X124" s="46">
        <v>0.16</v>
      </c>
      <c r="Y124" s="46">
        <v>0.16</v>
      </c>
      <c r="Z124" s="46">
        <v>0.16</v>
      </c>
      <c r="AA124" s="46">
        <v>0.16</v>
      </c>
      <c r="AB124" s="46">
        <v>0.16</v>
      </c>
      <c r="AC124" s="46">
        <v>0.16</v>
      </c>
      <c r="AD124" s="46">
        <v>0.16</v>
      </c>
      <c r="AE124" s="46">
        <v>0.16</v>
      </c>
      <c r="AF124" s="46">
        <v>0.16</v>
      </c>
      <c r="AG124" s="46">
        <v>0.16</v>
      </c>
      <c r="AH124" s="46">
        <v>0.16</v>
      </c>
      <c r="AI124" s="46">
        <v>0.16</v>
      </c>
      <c r="AJ124" s="46">
        <v>0.16</v>
      </c>
      <c r="AK124" s="46">
        <v>0.16</v>
      </c>
      <c r="AL124" s="46">
        <v>0.16</v>
      </c>
      <c r="AM124" s="46">
        <v>0.16</v>
      </c>
      <c r="AN124" s="46">
        <v>0.16</v>
      </c>
      <c r="AO124" s="46">
        <v>0.16</v>
      </c>
      <c r="AP124" s="46">
        <v>0.16</v>
      </c>
      <c r="AQ124" s="46">
        <v>0.16</v>
      </c>
      <c r="AR124" s="46">
        <v>0.16</v>
      </c>
      <c r="AS124" s="46">
        <v>0.16</v>
      </c>
      <c r="AT124" s="46">
        <v>0.16</v>
      </c>
      <c r="AU124" s="46">
        <v>0.16</v>
      </c>
      <c r="AV124" s="46">
        <v>0.16</v>
      </c>
      <c r="AW124" s="46">
        <v>0.16</v>
      </c>
      <c r="AX124" s="46">
        <v>0.16</v>
      </c>
      <c r="AY124" s="46">
        <v>0.16</v>
      </c>
      <c r="AZ124" s="46">
        <v>0.16</v>
      </c>
      <c r="BA124" s="46">
        <v>0.16</v>
      </c>
      <c r="BB124" s="46">
        <v>0.16</v>
      </c>
      <c r="BC124" s="46">
        <v>0.16</v>
      </c>
      <c r="BD124" s="46">
        <v>0.16</v>
      </c>
      <c r="BE124" s="206"/>
      <c r="BF124" s="206"/>
      <c r="BG124" s="206"/>
      <c r="BH124" s="206"/>
      <c r="BO124" s="206"/>
      <c r="BP124" s="206"/>
    </row>
    <row r="125" spans="1:68" x14ac:dyDescent="0.25">
      <c r="A125" s="206"/>
      <c r="B125" s="206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  <c r="AD125" s="206"/>
      <c r="AE125" s="206"/>
      <c r="AF125" s="206"/>
      <c r="AG125" s="206"/>
      <c r="AH125" s="206"/>
      <c r="AI125" s="206"/>
      <c r="AJ125" s="206"/>
      <c r="AK125" s="206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  <c r="BC125" s="206"/>
      <c r="BD125" s="206"/>
      <c r="BE125" s="206"/>
      <c r="BF125" s="206"/>
      <c r="BG125" s="206"/>
      <c r="BH125" s="206"/>
      <c r="BO125" s="206"/>
      <c r="BP125" s="206"/>
    </row>
    <row r="126" spans="1:68" x14ac:dyDescent="0.25">
      <c r="A126" s="206"/>
      <c r="B126" s="23" t="s">
        <v>132</v>
      </c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  <c r="AD126" s="206"/>
      <c r="AE126" s="206"/>
      <c r="AF126" s="206"/>
      <c r="AG126" s="206"/>
      <c r="AH126" s="206"/>
      <c r="AI126" s="206"/>
      <c r="AJ126" s="206"/>
      <c r="AK126" s="206"/>
      <c r="AL126" s="206"/>
      <c r="AM126" s="206"/>
      <c r="AN126" s="206"/>
      <c r="AO126" s="206"/>
      <c r="AP126" s="206"/>
      <c r="AQ126" s="206"/>
      <c r="AR126" s="206"/>
      <c r="AS126" s="206"/>
      <c r="AT126" s="206"/>
      <c r="AU126" s="206"/>
      <c r="AV126" s="206"/>
      <c r="AW126" s="206"/>
      <c r="AX126" s="206"/>
      <c r="AY126" s="206"/>
      <c r="AZ126" s="206"/>
      <c r="BA126" s="206"/>
      <c r="BB126" s="206"/>
      <c r="BC126" s="206"/>
      <c r="BD126" s="206"/>
      <c r="BE126" s="206"/>
      <c r="BF126" s="206"/>
      <c r="BG126" s="206"/>
      <c r="BH126" s="206"/>
      <c r="BO126" s="206"/>
      <c r="BP126" s="206"/>
    </row>
    <row r="127" spans="1:68" x14ac:dyDescent="0.25">
      <c r="A127" s="206"/>
      <c r="B127" s="34" t="s">
        <v>28</v>
      </c>
      <c r="C127" s="206"/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14292.37</v>
      </c>
      <c r="J127" s="31">
        <v>0</v>
      </c>
      <c r="K127" s="31">
        <v>4890.43</v>
      </c>
      <c r="L127" s="31">
        <v>0</v>
      </c>
      <c r="M127" s="31">
        <v>18750</v>
      </c>
      <c r="N127" s="31">
        <v>10000</v>
      </c>
      <c r="O127" s="31">
        <v>15000</v>
      </c>
      <c r="P127" s="31">
        <v>0</v>
      </c>
      <c r="Q127" s="31">
        <v>22411.49</v>
      </c>
      <c r="R127" s="31">
        <v>0</v>
      </c>
      <c r="S127" s="31">
        <v>15000</v>
      </c>
      <c r="T127" s="31">
        <v>0</v>
      </c>
      <c r="U127" s="31">
        <v>15000</v>
      </c>
      <c r="V127" s="31">
        <v>15000</v>
      </c>
      <c r="W127" s="31">
        <v>0</v>
      </c>
      <c r="X127" s="31">
        <v>15000</v>
      </c>
      <c r="Y127" s="31">
        <v>0</v>
      </c>
      <c r="Z127" s="31">
        <v>15000</v>
      </c>
      <c r="AA127" s="31">
        <v>0</v>
      </c>
      <c r="AB127" s="31">
        <v>15000</v>
      </c>
      <c r="AC127" s="31">
        <v>0</v>
      </c>
      <c r="AD127" s="31">
        <v>15000</v>
      </c>
      <c r="AE127" s="31">
        <v>0</v>
      </c>
      <c r="AF127" s="31">
        <v>15000</v>
      </c>
      <c r="AG127" s="31">
        <v>15000</v>
      </c>
      <c r="AH127" s="31">
        <v>0</v>
      </c>
      <c r="AI127" s="31">
        <v>15000</v>
      </c>
      <c r="AJ127" s="31">
        <v>15000</v>
      </c>
      <c r="AK127" s="31">
        <v>0</v>
      </c>
      <c r="AL127" s="31">
        <v>15000</v>
      </c>
      <c r="AM127" s="31">
        <v>0</v>
      </c>
      <c r="AN127" s="31">
        <v>15000</v>
      </c>
      <c r="AO127" s="31">
        <v>15000</v>
      </c>
      <c r="AP127" s="31">
        <v>15000</v>
      </c>
      <c r="AQ127" s="31">
        <v>0</v>
      </c>
      <c r="AR127" s="31">
        <v>14292.37</v>
      </c>
      <c r="AS127" s="31">
        <v>0</v>
      </c>
      <c r="AT127" s="31">
        <v>14292.37</v>
      </c>
      <c r="AU127" s="31">
        <v>14292.37</v>
      </c>
      <c r="AV127" s="31">
        <v>6713</v>
      </c>
      <c r="AW127" s="31">
        <v>6713</v>
      </c>
      <c r="AX127" s="31">
        <v>6713</v>
      </c>
      <c r="AY127" s="31">
        <v>6713</v>
      </c>
      <c r="AZ127" s="31">
        <v>0</v>
      </c>
      <c r="BA127" s="31">
        <v>6713</v>
      </c>
      <c r="BB127" s="31">
        <v>0</v>
      </c>
      <c r="BC127" s="31">
        <v>0</v>
      </c>
      <c r="BD127" s="31">
        <v>0</v>
      </c>
      <c r="BE127" s="206"/>
      <c r="BF127" s="206"/>
      <c r="BG127" s="206"/>
      <c r="BH127" s="206"/>
      <c r="BI127" s="34" t="s">
        <v>28</v>
      </c>
      <c r="BJ127" s="37">
        <v>1</v>
      </c>
      <c r="BK127" s="37">
        <f>BJ127*1.03</f>
        <v>1.03</v>
      </c>
      <c r="BL127" s="37">
        <f>BK127*1.03</f>
        <v>1.0609</v>
      </c>
      <c r="BO127" s="206"/>
      <c r="BP127" s="206"/>
    </row>
    <row r="128" spans="1:68" x14ac:dyDescent="0.25">
      <c r="A128" s="206"/>
      <c r="B128" s="34" t="s">
        <v>31</v>
      </c>
      <c r="C128" s="206"/>
      <c r="D128" s="215">
        <f>SUM(D129:D134)</f>
        <v>0</v>
      </c>
      <c r="E128" s="215">
        <f t="shared" ref="E128:H128" si="91">SUM(E129:E134)</f>
        <v>0</v>
      </c>
      <c r="F128" s="215">
        <f t="shared" si="91"/>
        <v>0</v>
      </c>
      <c r="G128" s="215">
        <f t="shared" si="91"/>
        <v>0</v>
      </c>
      <c r="H128" s="215">
        <f t="shared" si="91"/>
        <v>0</v>
      </c>
      <c r="I128" s="215">
        <f t="shared" ref="I128:BD128" si="92">SUM(I129:I134)</f>
        <v>4200</v>
      </c>
      <c r="J128" s="215">
        <f t="shared" si="92"/>
        <v>0</v>
      </c>
      <c r="K128" s="215">
        <f t="shared" si="92"/>
        <v>5361.26</v>
      </c>
      <c r="L128" s="215">
        <f t="shared" ref="L128" si="93">SUM(L129:L134)</f>
        <v>0</v>
      </c>
      <c r="M128" s="215">
        <f t="shared" si="92"/>
        <v>6000</v>
      </c>
      <c r="N128" s="215">
        <f t="shared" si="92"/>
        <v>8400</v>
      </c>
      <c r="O128" s="215">
        <f t="shared" si="92"/>
        <v>8700</v>
      </c>
      <c r="P128" s="215">
        <f t="shared" si="92"/>
        <v>0</v>
      </c>
      <c r="Q128" s="215">
        <f t="shared" si="92"/>
        <v>7661.67</v>
      </c>
      <c r="R128" s="215">
        <f t="shared" si="92"/>
        <v>0</v>
      </c>
      <c r="S128" s="215">
        <f t="shared" ref="S128" si="94">SUM(S129:S134)</f>
        <v>8700</v>
      </c>
      <c r="T128" s="215">
        <f t="shared" ref="T128:V128" si="95">SUM(T129:T134)</f>
        <v>0</v>
      </c>
      <c r="U128" s="215">
        <f t="shared" si="95"/>
        <v>8700</v>
      </c>
      <c r="V128" s="215">
        <f t="shared" si="95"/>
        <v>8700</v>
      </c>
      <c r="W128" s="215">
        <f t="shared" ref="W128:X128" si="96">SUM(W129:W134)</f>
        <v>0</v>
      </c>
      <c r="X128" s="215">
        <f t="shared" si="96"/>
        <v>8700</v>
      </c>
      <c r="Y128" s="215">
        <f t="shared" ref="Y128:Z128" si="97">SUM(Y129:Y134)</f>
        <v>0</v>
      </c>
      <c r="Z128" s="215">
        <f t="shared" si="97"/>
        <v>8700</v>
      </c>
      <c r="AA128" s="215">
        <f t="shared" ref="AA128:AQ128" si="98">SUM(AA129:AA134)</f>
        <v>0</v>
      </c>
      <c r="AB128" s="215">
        <f t="shared" si="98"/>
        <v>8700</v>
      </c>
      <c r="AC128" s="215">
        <f t="shared" si="98"/>
        <v>0</v>
      </c>
      <c r="AD128" s="215">
        <f t="shared" si="98"/>
        <v>8700</v>
      </c>
      <c r="AE128" s="215">
        <f t="shared" si="98"/>
        <v>0</v>
      </c>
      <c r="AF128" s="215">
        <f t="shared" si="98"/>
        <v>8700</v>
      </c>
      <c r="AG128" s="215">
        <f t="shared" si="98"/>
        <v>8700</v>
      </c>
      <c r="AH128" s="215">
        <f t="shared" si="98"/>
        <v>0</v>
      </c>
      <c r="AI128" s="215">
        <f t="shared" si="98"/>
        <v>7700</v>
      </c>
      <c r="AJ128" s="215">
        <f t="shared" si="98"/>
        <v>7700</v>
      </c>
      <c r="AK128" s="215">
        <f t="shared" si="98"/>
        <v>0</v>
      </c>
      <c r="AL128" s="215">
        <f t="shared" si="98"/>
        <v>7700</v>
      </c>
      <c r="AM128" s="215">
        <f t="shared" si="98"/>
        <v>0</v>
      </c>
      <c r="AN128" s="215">
        <f t="shared" si="98"/>
        <v>7700</v>
      </c>
      <c r="AO128" s="215">
        <f t="shared" si="98"/>
        <v>7700</v>
      </c>
      <c r="AP128" s="215">
        <f t="shared" si="98"/>
        <v>7700</v>
      </c>
      <c r="AQ128" s="215">
        <f t="shared" si="98"/>
        <v>0</v>
      </c>
      <c r="AR128" s="215">
        <f t="shared" ref="AR128:AU128" si="99">SUM(AR129:AR134)</f>
        <v>5700</v>
      </c>
      <c r="AS128" s="215">
        <f>SUM(AS129:AS134)</f>
        <v>0</v>
      </c>
      <c r="AT128" s="215">
        <f t="shared" si="99"/>
        <v>5700</v>
      </c>
      <c r="AU128" s="215">
        <f t="shared" si="99"/>
        <v>5700</v>
      </c>
      <c r="AV128" s="215">
        <f t="shared" ref="AV128:AX128" si="100">SUM(AV129:AV134)</f>
        <v>5600</v>
      </c>
      <c r="AW128" s="215">
        <f t="shared" si="100"/>
        <v>5600</v>
      </c>
      <c r="AX128" s="215">
        <f t="shared" si="100"/>
        <v>5600</v>
      </c>
      <c r="AY128" s="215">
        <f t="shared" si="92"/>
        <v>5600</v>
      </c>
      <c r="AZ128" s="215">
        <f t="shared" si="92"/>
        <v>0</v>
      </c>
      <c r="BA128" s="215">
        <f t="shared" si="92"/>
        <v>4600</v>
      </c>
      <c r="BB128" s="215">
        <f t="shared" ref="BB128:BC128" si="101">SUM(BB129:BB134)</f>
        <v>0</v>
      </c>
      <c r="BC128" s="215">
        <f t="shared" si="101"/>
        <v>0</v>
      </c>
      <c r="BD128" s="215">
        <f t="shared" si="92"/>
        <v>0</v>
      </c>
      <c r="BE128" s="206"/>
      <c r="BF128" s="206"/>
      <c r="BG128" s="206"/>
      <c r="BH128" s="206"/>
      <c r="BI128" s="34" t="s">
        <v>31</v>
      </c>
      <c r="BO128" s="206"/>
      <c r="BP128" s="206"/>
    </row>
    <row r="129" spans="1:68" outlineLevel="1" x14ac:dyDescent="0.25">
      <c r="A129" s="206"/>
      <c r="B129" s="208" t="s">
        <v>133</v>
      </c>
      <c r="C129" s="206"/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500</v>
      </c>
      <c r="J129" s="31">
        <v>0</v>
      </c>
      <c r="K129" s="31">
        <v>0</v>
      </c>
      <c r="L129" s="31">
        <v>0</v>
      </c>
      <c r="M129" s="31">
        <v>0</v>
      </c>
      <c r="N129" s="31">
        <v>700</v>
      </c>
      <c r="O129" s="31">
        <v>700</v>
      </c>
      <c r="P129" s="31">
        <v>0</v>
      </c>
      <c r="Q129" s="31">
        <v>0</v>
      </c>
      <c r="R129" s="31">
        <v>0</v>
      </c>
      <c r="S129" s="31">
        <v>700</v>
      </c>
      <c r="T129" s="31">
        <v>0</v>
      </c>
      <c r="U129" s="31">
        <v>700</v>
      </c>
      <c r="V129" s="31">
        <v>700</v>
      </c>
      <c r="W129" s="31">
        <v>0</v>
      </c>
      <c r="X129" s="31">
        <v>700</v>
      </c>
      <c r="Y129" s="31">
        <v>0</v>
      </c>
      <c r="Z129" s="31">
        <v>700</v>
      </c>
      <c r="AA129" s="31">
        <v>0</v>
      </c>
      <c r="AB129" s="31">
        <v>700</v>
      </c>
      <c r="AC129" s="31">
        <v>0</v>
      </c>
      <c r="AD129" s="31">
        <v>700</v>
      </c>
      <c r="AE129" s="31">
        <v>0</v>
      </c>
      <c r="AF129" s="31">
        <v>700</v>
      </c>
      <c r="AG129" s="31">
        <v>700</v>
      </c>
      <c r="AH129" s="31">
        <v>0</v>
      </c>
      <c r="AI129" s="31">
        <v>700</v>
      </c>
      <c r="AJ129" s="31">
        <v>700</v>
      </c>
      <c r="AK129" s="31">
        <v>0</v>
      </c>
      <c r="AL129" s="31">
        <v>700</v>
      </c>
      <c r="AM129" s="31">
        <v>0</v>
      </c>
      <c r="AN129" s="31">
        <v>700</v>
      </c>
      <c r="AO129" s="31">
        <v>700</v>
      </c>
      <c r="AP129" s="31">
        <v>700</v>
      </c>
      <c r="AQ129" s="31">
        <v>0</v>
      </c>
      <c r="AR129" s="31">
        <v>500</v>
      </c>
      <c r="AS129" s="31">
        <v>0</v>
      </c>
      <c r="AT129" s="31">
        <v>500</v>
      </c>
      <c r="AU129" s="31">
        <v>500</v>
      </c>
      <c r="AV129" s="31">
        <v>500</v>
      </c>
      <c r="AW129" s="31">
        <v>500</v>
      </c>
      <c r="AX129" s="31">
        <v>500</v>
      </c>
      <c r="AY129" s="31">
        <v>500</v>
      </c>
      <c r="AZ129" s="31">
        <v>0</v>
      </c>
      <c r="BA129" s="31">
        <v>500</v>
      </c>
      <c r="BB129" s="31">
        <v>0</v>
      </c>
      <c r="BC129" s="31">
        <v>0</v>
      </c>
      <c r="BD129" s="31">
        <v>0</v>
      </c>
      <c r="BE129" s="206"/>
      <c r="BF129" s="206"/>
      <c r="BG129" s="206"/>
      <c r="BH129" s="206"/>
      <c r="BI129" s="208" t="s">
        <v>133</v>
      </c>
      <c r="BJ129" s="37">
        <v>1</v>
      </c>
      <c r="BK129" s="37">
        <f>BJ129*1.04</f>
        <v>1.04</v>
      </c>
      <c r="BL129" s="37">
        <f>BK129*1.04</f>
        <v>1.0816000000000001</v>
      </c>
      <c r="BO129" s="206"/>
      <c r="BP129" s="206"/>
    </row>
    <row r="130" spans="1:68" outlineLevel="1" x14ac:dyDescent="0.25">
      <c r="A130" s="206"/>
      <c r="B130" s="208" t="s">
        <v>134</v>
      </c>
      <c r="C130" s="206"/>
      <c r="D130" s="31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1053.07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 s="31">
        <v>0</v>
      </c>
      <c r="W130" s="31">
        <v>0</v>
      </c>
      <c r="X130" s="31">
        <v>0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0</v>
      </c>
      <c r="AN130" s="31">
        <v>0</v>
      </c>
      <c r="AO130" s="31">
        <v>0</v>
      </c>
      <c r="AP130" s="31">
        <v>0</v>
      </c>
      <c r="AQ130" s="31">
        <v>0</v>
      </c>
      <c r="AR130" s="31">
        <v>0</v>
      </c>
      <c r="AS130" s="31">
        <v>0</v>
      </c>
      <c r="AT130" s="31">
        <v>0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206"/>
      <c r="BF130" s="206"/>
      <c r="BG130" s="206"/>
      <c r="BH130" s="206"/>
      <c r="BI130" s="208" t="s">
        <v>134</v>
      </c>
      <c r="BJ130" s="37">
        <v>1</v>
      </c>
      <c r="BK130" s="37">
        <f t="shared" ref="BK130:BL134" si="102">BJ130*1.02</f>
        <v>1.02</v>
      </c>
      <c r="BL130" s="37">
        <f t="shared" si="102"/>
        <v>1.0404</v>
      </c>
      <c r="BO130" s="206"/>
      <c r="BP130" s="206"/>
    </row>
    <row r="131" spans="1:68" outlineLevel="1" x14ac:dyDescent="0.25">
      <c r="A131" s="206"/>
      <c r="B131" s="208" t="s">
        <v>135</v>
      </c>
      <c r="C131" s="206"/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808.19</v>
      </c>
      <c r="L131" s="31">
        <v>0</v>
      </c>
      <c r="M131" s="31">
        <v>0</v>
      </c>
      <c r="N131" s="31">
        <v>2000</v>
      </c>
      <c r="O131" s="31">
        <v>2000</v>
      </c>
      <c r="P131" s="31">
        <v>0</v>
      </c>
      <c r="Q131" s="31">
        <v>2761.67</v>
      </c>
      <c r="R131" s="31">
        <v>0</v>
      </c>
      <c r="S131" s="31">
        <v>2000</v>
      </c>
      <c r="T131" s="31">
        <v>0</v>
      </c>
      <c r="U131" s="31">
        <v>2000</v>
      </c>
      <c r="V131" s="31">
        <v>2000</v>
      </c>
      <c r="W131" s="31">
        <v>0</v>
      </c>
      <c r="X131" s="31">
        <v>2000</v>
      </c>
      <c r="Y131" s="31">
        <v>0</v>
      </c>
      <c r="Z131" s="31">
        <v>2000</v>
      </c>
      <c r="AA131" s="31">
        <v>0</v>
      </c>
      <c r="AB131" s="31">
        <v>2000</v>
      </c>
      <c r="AC131" s="31">
        <v>0</v>
      </c>
      <c r="AD131" s="31">
        <v>2000</v>
      </c>
      <c r="AE131" s="31">
        <v>0</v>
      </c>
      <c r="AF131" s="31">
        <v>2000</v>
      </c>
      <c r="AG131" s="31">
        <v>2000</v>
      </c>
      <c r="AH131" s="31">
        <v>0</v>
      </c>
      <c r="AI131" s="31">
        <v>1500</v>
      </c>
      <c r="AJ131" s="31">
        <v>1500</v>
      </c>
      <c r="AK131" s="31">
        <v>0</v>
      </c>
      <c r="AL131" s="31">
        <v>1500</v>
      </c>
      <c r="AM131" s="31">
        <v>0</v>
      </c>
      <c r="AN131" s="31">
        <v>1500</v>
      </c>
      <c r="AO131" s="31">
        <v>1500</v>
      </c>
      <c r="AP131" s="31">
        <v>1500</v>
      </c>
      <c r="AQ131" s="31">
        <v>0</v>
      </c>
      <c r="AR131" s="31">
        <v>500</v>
      </c>
      <c r="AS131" s="31">
        <v>0</v>
      </c>
      <c r="AT131" s="31">
        <v>500</v>
      </c>
      <c r="AU131" s="31">
        <v>500</v>
      </c>
      <c r="AV131" s="31">
        <v>1000</v>
      </c>
      <c r="AW131" s="31">
        <v>1000</v>
      </c>
      <c r="AX131" s="31">
        <v>1000</v>
      </c>
      <c r="AY131" s="31">
        <v>1000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206"/>
      <c r="BF131" s="206"/>
      <c r="BG131" s="206"/>
      <c r="BH131" s="206"/>
      <c r="BI131" s="208" t="s">
        <v>135</v>
      </c>
      <c r="BJ131" s="37">
        <v>1</v>
      </c>
      <c r="BK131" s="37">
        <f t="shared" si="102"/>
        <v>1.02</v>
      </c>
      <c r="BL131" s="37">
        <f t="shared" si="102"/>
        <v>1.0404</v>
      </c>
      <c r="BO131" s="206"/>
      <c r="BP131" s="206"/>
    </row>
    <row r="132" spans="1:68" outlineLevel="1" x14ac:dyDescent="0.25">
      <c r="A132" s="206"/>
      <c r="B132" s="208" t="s">
        <v>136</v>
      </c>
      <c r="C132" s="206"/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1200</v>
      </c>
      <c r="J132" s="31">
        <v>0</v>
      </c>
      <c r="K132" s="31">
        <v>1200</v>
      </c>
      <c r="L132" s="31">
        <v>0</v>
      </c>
      <c r="M132" s="31">
        <v>2000</v>
      </c>
      <c r="N132" s="31">
        <v>2000</v>
      </c>
      <c r="O132" s="31">
        <v>2000</v>
      </c>
      <c r="P132" s="31">
        <v>0</v>
      </c>
      <c r="Q132" s="31">
        <v>1200</v>
      </c>
      <c r="R132" s="31">
        <v>0</v>
      </c>
      <c r="S132" s="31">
        <v>2000</v>
      </c>
      <c r="T132" s="31">
        <v>0</v>
      </c>
      <c r="U132" s="31">
        <v>2000</v>
      </c>
      <c r="V132" s="31">
        <v>2000</v>
      </c>
      <c r="W132" s="31">
        <v>0</v>
      </c>
      <c r="X132" s="31">
        <v>2000</v>
      </c>
      <c r="Y132" s="31">
        <v>0</v>
      </c>
      <c r="Z132" s="31">
        <v>2000</v>
      </c>
      <c r="AA132" s="31">
        <v>0</v>
      </c>
      <c r="AB132" s="31">
        <v>2000</v>
      </c>
      <c r="AC132" s="31">
        <v>0</v>
      </c>
      <c r="AD132" s="31">
        <v>2000</v>
      </c>
      <c r="AE132" s="31">
        <v>0</v>
      </c>
      <c r="AF132" s="31">
        <v>2000</v>
      </c>
      <c r="AG132" s="31">
        <v>2000</v>
      </c>
      <c r="AH132" s="31">
        <v>0</v>
      </c>
      <c r="AI132" s="31">
        <v>1500</v>
      </c>
      <c r="AJ132" s="31">
        <v>1500</v>
      </c>
      <c r="AK132" s="31">
        <v>0</v>
      </c>
      <c r="AL132" s="31">
        <v>1500</v>
      </c>
      <c r="AM132" s="31">
        <v>0</v>
      </c>
      <c r="AN132" s="31">
        <v>1500</v>
      </c>
      <c r="AO132" s="31">
        <v>1500</v>
      </c>
      <c r="AP132" s="31">
        <v>1500</v>
      </c>
      <c r="AQ132" s="31">
        <v>0</v>
      </c>
      <c r="AR132" s="31">
        <v>1200</v>
      </c>
      <c r="AS132" s="31">
        <v>0</v>
      </c>
      <c r="AT132" s="31">
        <v>1200</v>
      </c>
      <c r="AU132" s="31">
        <v>1200</v>
      </c>
      <c r="AV132" s="31">
        <v>800</v>
      </c>
      <c r="AW132" s="31">
        <v>800</v>
      </c>
      <c r="AX132" s="31">
        <v>800</v>
      </c>
      <c r="AY132" s="31">
        <v>800</v>
      </c>
      <c r="AZ132" s="31">
        <v>0</v>
      </c>
      <c r="BA132" s="31">
        <v>800</v>
      </c>
      <c r="BB132" s="31">
        <v>0</v>
      </c>
      <c r="BC132" s="31">
        <v>0</v>
      </c>
      <c r="BD132" s="31">
        <v>0</v>
      </c>
      <c r="BE132" s="206"/>
      <c r="BF132" s="206"/>
      <c r="BG132" s="206"/>
      <c r="BH132" s="206"/>
      <c r="BI132" s="208" t="s">
        <v>136</v>
      </c>
      <c r="BJ132" s="37">
        <v>1</v>
      </c>
      <c r="BK132" s="37">
        <f t="shared" si="102"/>
        <v>1.02</v>
      </c>
      <c r="BL132" s="37">
        <f t="shared" si="102"/>
        <v>1.0404</v>
      </c>
      <c r="BO132" s="206"/>
      <c r="BP132" s="206"/>
    </row>
    <row r="133" spans="1:68" outlineLevel="1" x14ac:dyDescent="0.25">
      <c r="A133" s="206"/>
      <c r="B133" s="208" t="s">
        <v>137</v>
      </c>
      <c r="C133" s="206"/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1000</v>
      </c>
      <c r="J133" s="31">
        <v>0</v>
      </c>
      <c r="K133" s="31">
        <v>800</v>
      </c>
      <c r="L133" s="31">
        <v>0</v>
      </c>
      <c r="M133" s="31">
        <v>1500</v>
      </c>
      <c r="N133" s="31">
        <v>1200</v>
      </c>
      <c r="O133" s="31">
        <v>1500</v>
      </c>
      <c r="P133" s="31">
        <v>0</v>
      </c>
      <c r="Q133" s="31">
        <v>1200</v>
      </c>
      <c r="R133" s="31">
        <v>0</v>
      </c>
      <c r="S133" s="31">
        <v>1500</v>
      </c>
      <c r="T133" s="31">
        <v>0</v>
      </c>
      <c r="U133" s="31">
        <v>1500</v>
      </c>
      <c r="V133" s="31">
        <v>1500</v>
      </c>
      <c r="W133" s="31">
        <v>0</v>
      </c>
      <c r="X133" s="31">
        <v>1500</v>
      </c>
      <c r="Y133" s="31">
        <v>0</v>
      </c>
      <c r="Z133" s="31">
        <v>1500</v>
      </c>
      <c r="AA133" s="31">
        <v>0</v>
      </c>
      <c r="AB133" s="31">
        <v>1500</v>
      </c>
      <c r="AC133" s="31">
        <v>0</v>
      </c>
      <c r="AD133" s="31">
        <v>1500</v>
      </c>
      <c r="AE133" s="31">
        <v>0</v>
      </c>
      <c r="AF133" s="31">
        <v>1500</v>
      </c>
      <c r="AG133" s="31">
        <v>1500</v>
      </c>
      <c r="AH133" s="31">
        <v>0</v>
      </c>
      <c r="AI133" s="31">
        <v>1500</v>
      </c>
      <c r="AJ133" s="31">
        <v>1500</v>
      </c>
      <c r="AK133" s="31">
        <v>0</v>
      </c>
      <c r="AL133" s="31">
        <v>1500</v>
      </c>
      <c r="AM133" s="31">
        <v>0</v>
      </c>
      <c r="AN133" s="31">
        <v>1500</v>
      </c>
      <c r="AO133" s="31">
        <v>1500</v>
      </c>
      <c r="AP133" s="31">
        <v>1500</v>
      </c>
      <c r="AQ133" s="31">
        <v>0</v>
      </c>
      <c r="AR133" s="31">
        <v>1000</v>
      </c>
      <c r="AS133" s="31">
        <v>0</v>
      </c>
      <c r="AT133" s="31">
        <v>1000</v>
      </c>
      <c r="AU133" s="31">
        <v>1000</v>
      </c>
      <c r="AV133" s="31">
        <v>800</v>
      </c>
      <c r="AW133" s="31">
        <v>800</v>
      </c>
      <c r="AX133" s="31">
        <v>800</v>
      </c>
      <c r="AY133" s="31">
        <v>800</v>
      </c>
      <c r="AZ133" s="31">
        <v>0</v>
      </c>
      <c r="BA133" s="31">
        <v>800</v>
      </c>
      <c r="BB133" s="31">
        <v>0</v>
      </c>
      <c r="BC133" s="31">
        <v>0</v>
      </c>
      <c r="BD133" s="31">
        <v>0</v>
      </c>
      <c r="BE133" s="206"/>
      <c r="BF133" s="206"/>
      <c r="BG133" s="206"/>
      <c r="BH133" s="206"/>
      <c r="BI133" s="208" t="s">
        <v>137</v>
      </c>
      <c r="BJ133" s="37">
        <v>1</v>
      </c>
      <c r="BK133" s="37">
        <f t="shared" si="102"/>
        <v>1.02</v>
      </c>
      <c r="BL133" s="37">
        <f t="shared" si="102"/>
        <v>1.0404</v>
      </c>
      <c r="BO133" s="206"/>
      <c r="BP133" s="206"/>
    </row>
    <row r="134" spans="1:68" outlineLevel="1" x14ac:dyDescent="0.25">
      <c r="A134" s="206"/>
      <c r="B134" s="208" t="s">
        <v>138</v>
      </c>
      <c r="C134" s="206"/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1">
        <v>1500</v>
      </c>
      <c r="J134" s="31">
        <v>0</v>
      </c>
      <c r="K134" s="31">
        <v>1500</v>
      </c>
      <c r="L134" s="31">
        <v>0</v>
      </c>
      <c r="M134" s="31">
        <v>2500</v>
      </c>
      <c r="N134" s="31">
        <v>2500</v>
      </c>
      <c r="O134" s="31">
        <v>2500</v>
      </c>
      <c r="P134" s="31">
        <v>0</v>
      </c>
      <c r="Q134" s="31">
        <v>2500</v>
      </c>
      <c r="R134" s="31">
        <v>0</v>
      </c>
      <c r="S134" s="31">
        <v>2500</v>
      </c>
      <c r="T134" s="31">
        <v>0</v>
      </c>
      <c r="U134" s="31">
        <v>2500</v>
      </c>
      <c r="V134" s="31">
        <v>2500</v>
      </c>
      <c r="W134" s="31">
        <v>0</v>
      </c>
      <c r="X134" s="31">
        <v>2500</v>
      </c>
      <c r="Y134" s="31">
        <v>0</v>
      </c>
      <c r="Z134" s="31">
        <v>2500</v>
      </c>
      <c r="AA134" s="31">
        <v>0</v>
      </c>
      <c r="AB134" s="31">
        <v>2500</v>
      </c>
      <c r="AC134" s="31">
        <v>0</v>
      </c>
      <c r="AD134" s="31">
        <v>2500</v>
      </c>
      <c r="AE134" s="31">
        <v>0</v>
      </c>
      <c r="AF134" s="31">
        <v>2500</v>
      </c>
      <c r="AG134" s="31">
        <v>2500</v>
      </c>
      <c r="AH134" s="31">
        <v>0</v>
      </c>
      <c r="AI134" s="31">
        <v>2500</v>
      </c>
      <c r="AJ134" s="31">
        <v>2500</v>
      </c>
      <c r="AK134" s="31">
        <v>0</v>
      </c>
      <c r="AL134" s="31">
        <v>2500</v>
      </c>
      <c r="AM134" s="31">
        <v>0</v>
      </c>
      <c r="AN134" s="31">
        <v>2500</v>
      </c>
      <c r="AO134" s="31">
        <v>2500</v>
      </c>
      <c r="AP134" s="31">
        <v>2500</v>
      </c>
      <c r="AQ134" s="31">
        <v>0</v>
      </c>
      <c r="AR134" s="31">
        <v>2500</v>
      </c>
      <c r="AS134" s="31">
        <v>0</v>
      </c>
      <c r="AT134" s="31">
        <v>2500</v>
      </c>
      <c r="AU134" s="31">
        <v>2500</v>
      </c>
      <c r="AV134" s="31">
        <v>2500</v>
      </c>
      <c r="AW134" s="31">
        <v>2500</v>
      </c>
      <c r="AX134" s="31">
        <v>2500</v>
      </c>
      <c r="AY134" s="31">
        <v>2500</v>
      </c>
      <c r="AZ134" s="31">
        <v>0</v>
      </c>
      <c r="BA134" s="31">
        <v>2500</v>
      </c>
      <c r="BB134" s="31">
        <v>0</v>
      </c>
      <c r="BC134" s="31">
        <v>0</v>
      </c>
      <c r="BD134" s="31">
        <v>0</v>
      </c>
      <c r="BE134" s="206"/>
      <c r="BF134" s="206"/>
      <c r="BG134" s="206"/>
      <c r="BH134" s="206"/>
      <c r="BI134" s="208" t="s">
        <v>138</v>
      </c>
      <c r="BJ134" s="37">
        <v>1</v>
      </c>
      <c r="BK134" s="37">
        <f t="shared" si="102"/>
        <v>1.02</v>
      </c>
      <c r="BL134" s="37">
        <f t="shared" si="102"/>
        <v>1.0404</v>
      </c>
      <c r="BO134" s="206"/>
      <c r="BP134" s="206"/>
    </row>
    <row r="135" spans="1:68" x14ac:dyDescent="0.25">
      <c r="A135" s="206"/>
      <c r="B135" s="34" t="s">
        <v>37</v>
      </c>
      <c r="C135" s="206"/>
      <c r="D135" s="215">
        <f>SUM(D136:D139)</f>
        <v>36000</v>
      </c>
      <c r="E135" s="215">
        <f>SUM(E136:E139)</f>
        <v>0</v>
      </c>
      <c r="F135" s="215">
        <f>SUM(F136:F139)</f>
        <v>0</v>
      </c>
      <c r="G135" s="215">
        <f>SUM(G136:G139)</f>
        <v>0</v>
      </c>
      <c r="H135" s="215">
        <f>SUM(H136:H139)</f>
        <v>0</v>
      </c>
      <c r="I135" s="215">
        <f t="shared" ref="I135:BD135" si="103">SUM(I136:I139)</f>
        <v>4250</v>
      </c>
      <c r="J135" s="215">
        <f t="shared" si="103"/>
        <v>0</v>
      </c>
      <c r="K135" s="215">
        <f t="shared" si="103"/>
        <v>4250</v>
      </c>
      <c r="L135" s="215">
        <f t="shared" ref="L135" si="104">SUM(L136:L139)</f>
        <v>0</v>
      </c>
      <c r="M135" s="215">
        <f t="shared" si="103"/>
        <v>7500</v>
      </c>
      <c r="N135" s="215">
        <f t="shared" si="103"/>
        <v>7500</v>
      </c>
      <c r="O135" s="215">
        <f t="shared" si="103"/>
        <v>7500</v>
      </c>
      <c r="P135" s="215">
        <f t="shared" si="103"/>
        <v>0</v>
      </c>
      <c r="Q135" s="215">
        <f t="shared" si="103"/>
        <v>7500</v>
      </c>
      <c r="R135" s="215">
        <f t="shared" si="103"/>
        <v>0</v>
      </c>
      <c r="S135" s="215">
        <f t="shared" ref="S135:T135" si="105">SUM(S136:S139)</f>
        <v>7500</v>
      </c>
      <c r="T135" s="215">
        <f t="shared" si="105"/>
        <v>0</v>
      </c>
      <c r="U135" s="215">
        <f t="shared" ref="U135" si="106">SUM(U136:U139)</f>
        <v>7500</v>
      </c>
      <c r="V135" s="215">
        <f t="shared" ref="V135:AH135" si="107">SUM(V136:V139)</f>
        <v>7500</v>
      </c>
      <c r="W135" s="215">
        <f t="shared" si="107"/>
        <v>0</v>
      </c>
      <c r="X135" s="215">
        <f t="shared" ref="X135:Y135" si="108">SUM(X136:X139)</f>
        <v>7500</v>
      </c>
      <c r="Y135" s="215">
        <f t="shared" si="108"/>
        <v>0</v>
      </c>
      <c r="Z135" s="215">
        <f t="shared" ref="Z135:AA135" si="109">SUM(Z136:Z139)</f>
        <v>7500</v>
      </c>
      <c r="AA135" s="215">
        <f t="shared" si="109"/>
        <v>0</v>
      </c>
      <c r="AB135" s="215">
        <f t="shared" si="107"/>
        <v>7500</v>
      </c>
      <c r="AC135" s="215">
        <f t="shared" si="107"/>
        <v>0</v>
      </c>
      <c r="AD135" s="215">
        <f t="shared" ref="AD135:AE135" si="110">SUM(AD136:AD139)</f>
        <v>6500</v>
      </c>
      <c r="AE135" s="215">
        <f t="shared" si="110"/>
        <v>0</v>
      </c>
      <c r="AF135" s="215">
        <f t="shared" si="107"/>
        <v>6500</v>
      </c>
      <c r="AG135" s="215">
        <f t="shared" si="107"/>
        <v>6500</v>
      </c>
      <c r="AH135" s="215">
        <f t="shared" si="107"/>
        <v>0</v>
      </c>
      <c r="AI135" s="215">
        <f t="shared" ref="AI135" si="111">SUM(AI136:AI139)</f>
        <v>6500</v>
      </c>
      <c r="AJ135" s="215">
        <f t="shared" ref="AJ135:AP135" si="112">SUM(AJ136:AJ139)</f>
        <v>6500</v>
      </c>
      <c r="AK135" s="215">
        <f t="shared" si="112"/>
        <v>0</v>
      </c>
      <c r="AL135" s="215">
        <f t="shared" si="112"/>
        <v>6500</v>
      </c>
      <c r="AM135" s="215">
        <f t="shared" si="112"/>
        <v>0</v>
      </c>
      <c r="AN135" s="215">
        <f t="shared" si="112"/>
        <v>6500</v>
      </c>
      <c r="AO135" s="215">
        <f t="shared" si="112"/>
        <v>6500</v>
      </c>
      <c r="AP135" s="215">
        <f t="shared" si="112"/>
        <v>6500</v>
      </c>
      <c r="AQ135" s="215">
        <f t="shared" ref="AQ135:AU135" si="113">SUM(AQ136:AQ139)</f>
        <v>0</v>
      </c>
      <c r="AR135" s="215">
        <f t="shared" si="113"/>
        <v>4250</v>
      </c>
      <c r="AS135" s="215">
        <f>SUM(AS136:AS139)</f>
        <v>0</v>
      </c>
      <c r="AT135" s="215">
        <f t="shared" si="113"/>
        <v>4250</v>
      </c>
      <c r="AU135" s="215">
        <f t="shared" si="113"/>
        <v>4250</v>
      </c>
      <c r="AV135" s="215">
        <f t="shared" ref="AV135:AX135" si="114">SUM(AV136:AV139)</f>
        <v>6000</v>
      </c>
      <c r="AW135" s="215">
        <f t="shared" si="114"/>
        <v>6000</v>
      </c>
      <c r="AX135" s="215">
        <f t="shared" si="114"/>
        <v>6000</v>
      </c>
      <c r="AY135" s="215">
        <f t="shared" si="103"/>
        <v>6000</v>
      </c>
      <c r="AZ135" s="215">
        <f t="shared" si="103"/>
        <v>0</v>
      </c>
      <c r="BA135" s="215">
        <f t="shared" si="103"/>
        <v>4500</v>
      </c>
      <c r="BB135" s="215">
        <f t="shared" ref="BB135:BC135" si="115">SUM(BB136:BB139)</f>
        <v>4500</v>
      </c>
      <c r="BC135" s="215">
        <f t="shared" si="115"/>
        <v>4500</v>
      </c>
      <c r="BD135" s="215">
        <f t="shared" si="103"/>
        <v>4500</v>
      </c>
      <c r="BE135" s="206"/>
      <c r="BF135" s="206"/>
      <c r="BG135" s="206"/>
      <c r="BH135" s="206"/>
      <c r="BI135" s="34" t="s">
        <v>37</v>
      </c>
      <c r="BO135" s="206"/>
      <c r="BP135" s="206"/>
    </row>
    <row r="136" spans="1:68" outlineLevel="1" x14ac:dyDescent="0.25">
      <c r="A136" s="206"/>
      <c r="B136" s="208" t="s">
        <v>139</v>
      </c>
      <c r="C136" s="206"/>
      <c r="D136" s="31">
        <v>35000</v>
      </c>
      <c r="E136" s="31">
        <v>0</v>
      </c>
      <c r="F136" s="31">
        <v>0</v>
      </c>
      <c r="G136" s="31">
        <v>0</v>
      </c>
      <c r="H136" s="31">
        <v>0</v>
      </c>
      <c r="I136" s="31">
        <v>2000</v>
      </c>
      <c r="J136" s="31">
        <v>0</v>
      </c>
      <c r="K136" s="31">
        <v>2000</v>
      </c>
      <c r="L136" s="31">
        <v>0</v>
      </c>
      <c r="M136" s="31">
        <v>3000</v>
      </c>
      <c r="N136" s="31">
        <v>3000</v>
      </c>
      <c r="O136" s="31">
        <v>3000</v>
      </c>
      <c r="P136" s="31">
        <v>0</v>
      </c>
      <c r="Q136" s="31">
        <v>3000</v>
      </c>
      <c r="R136" s="31">
        <v>0</v>
      </c>
      <c r="S136" s="31">
        <v>3000</v>
      </c>
      <c r="T136" s="31">
        <v>0</v>
      </c>
      <c r="U136" s="31">
        <v>3000</v>
      </c>
      <c r="V136" s="31">
        <v>3000</v>
      </c>
      <c r="W136" s="31">
        <v>0</v>
      </c>
      <c r="X136" s="31">
        <v>3000</v>
      </c>
      <c r="Y136" s="31">
        <v>0</v>
      </c>
      <c r="Z136" s="31">
        <v>3000</v>
      </c>
      <c r="AA136" s="31">
        <v>0</v>
      </c>
      <c r="AB136" s="31">
        <v>3000</v>
      </c>
      <c r="AC136" s="31">
        <v>0</v>
      </c>
      <c r="AD136" s="31">
        <v>2000</v>
      </c>
      <c r="AE136" s="31">
        <v>0</v>
      </c>
      <c r="AF136" s="31">
        <v>2000</v>
      </c>
      <c r="AG136" s="31">
        <v>2000</v>
      </c>
      <c r="AH136" s="31">
        <v>0</v>
      </c>
      <c r="AI136" s="31">
        <v>2000</v>
      </c>
      <c r="AJ136" s="31">
        <v>2000</v>
      </c>
      <c r="AK136" s="31">
        <v>0</v>
      </c>
      <c r="AL136" s="31">
        <v>2000</v>
      </c>
      <c r="AM136" s="31">
        <v>0</v>
      </c>
      <c r="AN136" s="31">
        <v>2000</v>
      </c>
      <c r="AO136" s="31">
        <v>2000</v>
      </c>
      <c r="AP136" s="31">
        <v>2000</v>
      </c>
      <c r="AQ136" s="31">
        <v>0</v>
      </c>
      <c r="AR136" s="31">
        <v>2000</v>
      </c>
      <c r="AS136" s="31">
        <v>0</v>
      </c>
      <c r="AT136" s="31">
        <v>2000</v>
      </c>
      <c r="AU136" s="31">
        <v>2000</v>
      </c>
      <c r="AV136" s="31">
        <v>2000</v>
      </c>
      <c r="AW136" s="31">
        <v>2000</v>
      </c>
      <c r="AX136" s="31">
        <v>2000</v>
      </c>
      <c r="AY136" s="31">
        <v>2000</v>
      </c>
      <c r="AZ136" s="31">
        <v>0</v>
      </c>
      <c r="BA136" s="31">
        <v>1000</v>
      </c>
      <c r="BB136" s="31">
        <v>1000</v>
      </c>
      <c r="BC136" s="31">
        <v>1000</v>
      </c>
      <c r="BD136" s="31">
        <v>1000</v>
      </c>
      <c r="BE136" s="206"/>
      <c r="BF136" s="206"/>
      <c r="BG136" s="206"/>
      <c r="BH136" s="206"/>
      <c r="BI136" s="208" t="s">
        <v>263</v>
      </c>
      <c r="BJ136" s="37">
        <v>1</v>
      </c>
      <c r="BK136" s="37">
        <f t="shared" ref="BK136:BL139" si="116">BJ136*1.02</f>
        <v>1.02</v>
      </c>
      <c r="BL136" s="37">
        <f t="shared" si="116"/>
        <v>1.0404</v>
      </c>
      <c r="BO136" s="206"/>
      <c r="BP136" s="206"/>
    </row>
    <row r="137" spans="1:68" outlineLevel="1" x14ac:dyDescent="0.25">
      <c r="A137" s="206"/>
      <c r="B137" s="208" t="s">
        <v>140</v>
      </c>
      <c r="C137" s="206" t="s">
        <v>141</v>
      </c>
      <c r="D137" s="31">
        <v>1000</v>
      </c>
      <c r="E137" s="31">
        <v>0</v>
      </c>
      <c r="F137" s="31">
        <v>0</v>
      </c>
      <c r="G137" s="31">
        <v>0</v>
      </c>
      <c r="H137" s="31">
        <v>0</v>
      </c>
      <c r="I137" s="31">
        <v>750</v>
      </c>
      <c r="J137" s="31">
        <v>0</v>
      </c>
      <c r="K137" s="31">
        <v>750</v>
      </c>
      <c r="L137" s="31">
        <v>0</v>
      </c>
      <c r="M137" s="31">
        <v>1500</v>
      </c>
      <c r="N137" s="31">
        <v>1500</v>
      </c>
      <c r="O137" s="31">
        <v>1500</v>
      </c>
      <c r="P137" s="31">
        <v>0</v>
      </c>
      <c r="Q137" s="31">
        <v>1500</v>
      </c>
      <c r="R137" s="31">
        <v>0</v>
      </c>
      <c r="S137" s="31">
        <v>1500</v>
      </c>
      <c r="T137" s="31">
        <v>0</v>
      </c>
      <c r="U137" s="31">
        <v>1500</v>
      </c>
      <c r="V137" s="31">
        <v>1500</v>
      </c>
      <c r="W137" s="31">
        <v>0</v>
      </c>
      <c r="X137" s="31">
        <v>1500</v>
      </c>
      <c r="Y137" s="31">
        <v>0</v>
      </c>
      <c r="Z137" s="31">
        <v>1500</v>
      </c>
      <c r="AA137" s="31">
        <v>0</v>
      </c>
      <c r="AB137" s="31">
        <v>1500</v>
      </c>
      <c r="AC137" s="31">
        <v>0</v>
      </c>
      <c r="AD137" s="31">
        <v>1500</v>
      </c>
      <c r="AE137" s="31">
        <v>0</v>
      </c>
      <c r="AF137" s="31">
        <v>1500</v>
      </c>
      <c r="AG137" s="31">
        <v>1500</v>
      </c>
      <c r="AH137" s="31">
        <v>0</v>
      </c>
      <c r="AI137" s="31">
        <v>1500</v>
      </c>
      <c r="AJ137" s="31">
        <v>1500</v>
      </c>
      <c r="AK137" s="31">
        <v>0</v>
      </c>
      <c r="AL137" s="31">
        <v>1500</v>
      </c>
      <c r="AM137" s="31">
        <v>0</v>
      </c>
      <c r="AN137" s="31">
        <v>1500</v>
      </c>
      <c r="AO137" s="31">
        <v>1500</v>
      </c>
      <c r="AP137" s="31">
        <v>1500</v>
      </c>
      <c r="AQ137" s="31">
        <v>0</v>
      </c>
      <c r="AR137" s="31">
        <v>750</v>
      </c>
      <c r="AS137" s="31">
        <v>0</v>
      </c>
      <c r="AT137" s="31">
        <v>750</v>
      </c>
      <c r="AU137" s="31">
        <v>750</v>
      </c>
      <c r="AV137" s="31">
        <v>1000</v>
      </c>
      <c r="AW137" s="31">
        <v>1000</v>
      </c>
      <c r="AX137" s="31">
        <v>1000</v>
      </c>
      <c r="AY137" s="31">
        <v>1000</v>
      </c>
      <c r="AZ137" s="31">
        <v>0</v>
      </c>
      <c r="BA137" s="31">
        <v>500</v>
      </c>
      <c r="BB137" s="31">
        <v>500</v>
      </c>
      <c r="BC137" s="31">
        <v>500</v>
      </c>
      <c r="BD137" s="31">
        <v>500</v>
      </c>
      <c r="BE137" s="206"/>
      <c r="BF137" s="206"/>
      <c r="BG137" s="206"/>
      <c r="BH137" s="206"/>
      <c r="BI137" s="208" t="s">
        <v>140</v>
      </c>
      <c r="BJ137" s="37">
        <v>1</v>
      </c>
      <c r="BK137" s="37">
        <f t="shared" si="116"/>
        <v>1.02</v>
      </c>
      <c r="BL137" s="37">
        <f t="shared" si="116"/>
        <v>1.0404</v>
      </c>
      <c r="BO137" s="206"/>
      <c r="BP137" s="206"/>
    </row>
    <row r="138" spans="1:68" outlineLevel="1" x14ac:dyDescent="0.25">
      <c r="A138" s="206"/>
      <c r="B138" s="208" t="s">
        <v>142</v>
      </c>
      <c r="C138" s="206"/>
      <c r="D138" s="31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750</v>
      </c>
      <c r="J138" s="31">
        <v>0</v>
      </c>
      <c r="K138" s="31">
        <v>750</v>
      </c>
      <c r="L138" s="31">
        <v>0</v>
      </c>
      <c r="M138" s="31">
        <v>1500</v>
      </c>
      <c r="N138" s="31">
        <v>1500</v>
      </c>
      <c r="O138" s="31">
        <v>1500</v>
      </c>
      <c r="P138" s="31">
        <v>0</v>
      </c>
      <c r="Q138" s="31">
        <v>1500</v>
      </c>
      <c r="R138" s="31">
        <v>0</v>
      </c>
      <c r="S138" s="31">
        <v>1500</v>
      </c>
      <c r="T138" s="31">
        <v>0</v>
      </c>
      <c r="U138" s="31">
        <v>1500</v>
      </c>
      <c r="V138" s="31">
        <v>1500</v>
      </c>
      <c r="W138" s="31">
        <v>0</v>
      </c>
      <c r="X138" s="31">
        <v>1500</v>
      </c>
      <c r="Y138" s="31">
        <v>0</v>
      </c>
      <c r="Z138" s="31">
        <v>1500</v>
      </c>
      <c r="AA138" s="31">
        <v>0</v>
      </c>
      <c r="AB138" s="31">
        <v>1500</v>
      </c>
      <c r="AC138" s="31">
        <v>0</v>
      </c>
      <c r="AD138" s="31">
        <v>1500</v>
      </c>
      <c r="AE138" s="31">
        <v>0</v>
      </c>
      <c r="AF138" s="31">
        <v>1500</v>
      </c>
      <c r="AG138" s="31">
        <v>1500</v>
      </c>
      <c r="AH138" s="31">
        <v>0</v>
      </c>
      <c r="AI138" s="31">
        <v>1500</v>
      </c>
      <c r="AJ138" s="31">
        <v>1500</v>
      </c>
      <c r="AK138" s="31">
        <v>0</v>
      </c>
      <c r="AL138" s="31">
        <v>1500</v>
      </c>
      <c r="AM138" s="31">
        <v>0</v>
      </c>
      <c r="AN138" s="31">
        <v>1500</v>
      </c>
      <c r="AO138" s="31">
        <v>1500</v>
      </c>
      <c r="AP138" s="31">
        <v>1500</v>
      </c>
      <c r="AQ138" s="31">
        <v>0</v>
      </c>
      <c r="AR138" s="31">
        <v>750</v>
      </c>
      <c r="AS138" s="31">
        <v>0</v>
      </c>
      <c r="AT138" s="31">
        <v>750</v>
      </c>
      <c r="AU138" s="31">
        <v>750</v>
      </c>
      <c r="AV138" s="31">
        <v>1500</v>
      </c>
      <c r="AW138" s="31">
        <v>1500</v>
      </c>
      <c r="AX138" s="31">
        <v>1500</v>
      </c>
      <c r="AY138" s="31">
        <v>1500</v>
      </c>
      <c r="AZ138" s="31">
        <v>0</v>
      </c>
      <c r="BA138" s="31">
        <v>1500</v>
      </c>
      <c r="BB138" s="31">
        <v>1500</v>
      </c>
      <c r="BC138" s="31">
        <v>1500</v>
      </c>
      <c r="BD138" s="31">
        <v>1500</v>
      </c>
      <c r="BE138" s="206"/>
      <c r="BF138" s="206"/>
      <c r="BG138" s="206"/>
      <c r="BH138" s="206"/>
      <c r="BI138" s="208" t="s">
        <v>142</v>
      </c>
      <c r="BJ138" s="37">
        <v>1</v>
      </c>
      <c r="BK138" s="37">
        <f t="shared" si="116"/>
        <v>1.02</v>
      </c>
      <c r="BL138" s="37">
        <f t="shared" si="116"/>
        <v>1.0404</v>
      </c>
      <c r="BO138" s="206"/>
      <c r="BP138" s="206"/>
    </row>
    <row r="139" spans="1:68" outlineLevel="1" x14ac:dyDescent="0.25">
      <c r="A139" s="206"/>
      <c r="B139" s="208" t="s">
        <v>129</v>
      </c>
      <c r="C139" s="206"/>
      <c r="D139" s="31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750</v>
      </c>
      <c r="J139" s="31">
        <v>0</v>
      </c>
      <c r="K139" s="31">
        <v>750</v>
      </c>
      <c r="L139" s="31">
        <v>0</v>
      </c>
      <c r="M139" s="31">
        <v>1500</v>
      </c>
      <c r="N139" s="31">
        <v>1500</v>
      </c>
      <c r="O139" s="31">
        <v>1500</v>
      </c>
      <c r="P139" s="31">
        <v>0</v>
      </c>
      <c r="Q139" s="31">
        <v>1500</v>
      </c>
      <c r="R139" s="31">
        <v>0</v>
      </c>
      <c r="S139" s="31">
        <v>1500</v>
      </c>
      <c r="T139" s="31">
        <v>0</v>
      </c>
      <c r="U139" s="31">
        <v>1500</v>
      </c>
      <c r="V139" s="31">
        <v>1500</v>
      </c>
      <c r="W139" s="31">
        <v>0</v>
      </c>
      <c r="X139" s="31">
        <v>1500</v>
      </c>
      <c r="Y139" s="31">
        <v>0</v>
      </c>
      <c r="Z139" s="31">
        <v>1500</v>
      </c>
      <c r="AA139" s="31">
        <v>0</v>
      </c>
      <c r="AB139" s="31">
        <v>1500</v>
      </c>
      <c r="AC139" s="31">
        <v>0</v>
      </c>
      <c r="AD139" s="31">
        <v>1500</v>
      </c>
      <c r="AE139" s="31">
        <v>0</v>
      </c>
      <c r="AF139" s="31">
        <v>1500</v>
      </c>
      <c r="AG139" s="31">
        <v>1500</v>
      </c>
      <c r="AH139" s="31">
        <v>0</v>
      </c>
      <c r="AI139" s="31">
        <v>1500</v>
      </c>
      <c r="AJ139" s="31">
        <v>1500</v>
      </c>
      <c r="AK139" s="31">
        <v>0</v>
      </c>
      <c r="AL139" s="31">
        <v>1500</v>
      </c>
      <c r="AM139" s="31">
        <v>0</v>
      </c>
      <c r="AN139" s="31">
        <v>1500</v>
      </c>
      <c r="AO139" s="31">
        <v>1500</v>
      </c>
      <c r="AP139" s="31">
        <v>1500</v>
      </c>
      <c r="AQ139" s="31">
        <v>0</v>
      </c>
      <c r="AR139" s="31">
        <v>750</v>
      </c>
      <c r="AS139" s="31">
        <v>0</v>
      </c>
      <c r="AT139" s="31">
        <v>750</v>
      </c>
      <c r="AU139" s="31">
        <v>750</v>
      </c>
      <c r="AV139" s="31">
        <v>1500</v>
      </c>
      <c r="AW139" s="31">
        <v>1500</v>
      </c>
      <c r="AX139" s="31">
        <v>1500</v>
      </c>
      <c r="AY139" s="31">
        <v>1500</v>
      </c>
      <c r="AZ139" s="31">
        <v>0</v>
      </c>
      <c r="BA139" s="31">
        <v>1500</v>
      </c>
      <c r="BB139" s="31">
        <v>1500</v>
      </c>
      <c r="BC139" s="31">
        <v>1500</v>
      </c>
      <c r="BD139" s="31">
        <v>1500</v>
      </c>
      <c r="BE139" s="206"/>
      <c r="BF139" s="206"/>
      <c r="BG139" s="206"/>
      <c r="BH139" s="206"/>
      <c r="BI139" s="208" t="s">
        <v>129</v>
      </c>
      <c r="BJ139" s="37">
        <v>1</v>
      </c>
      <c r="BK139" s="37">
        <f t="shared" si="116"/>
        <v>1.02</v>
      </c>
      <c r="BL139" s="37">
        <f t="shared" si="116"/>
        <v>1.0404</v>
      </c>
      <c r="BO139" s="206"/>
      <c r="BP139" s="206"/>
    </row>
    <row r="140" spans="1:68" x14ac:dyDescent="0.25">
      <c r="A140" s="206"/>
      <c r="B140" s="34" t="s">
        <v>40</v>
      </c>
      <c r="C140" s="206"/>
      <c r="D140" s="215">
        <f t="shared" ref="D140:AH140" si="117">SUM(D141:D145)</f>
        <v>500</v>
      </c>
      <c r="E140" s="215">
        <f t="shared" si="117"/>
        <v>416.66666666666669</v>
      </c>
      <c r="F140" s="215">
        <f t="shared" si="117"/>
        <v>160</v>
      </c>
      <c r="G140" s="215">
        <f t="shared" si="117"/>
        <v>160</v>
      </c>
      <c r="H140" s="215">
        <f t="shared" si="117"/>
        <v>160</v>
      </c>
      <c r="I140" s="215">
        <f t="shared" si="117"/>
        <v>1810</v>
      </c>
      <c r="J140" s="215">
        <f t="shared" si="117"/>
        <v>1610</v>
      </c>
      <c r="K140" s="215">
        <f t="shared" si="117"/>
        <v>1910</v>
      </c>
      <c r="L140" s="215">
        <f t="shared" ref="L140" si="118">SUM(L141:L145)</f>
        <v>1610</v>
      </c>
      <c r="M140" s="215">
        <f t="shared" si="117"/>
        <v>1910</v>
      </c>
      <c r="N140" s="215">
        <f t="shared" si="117"/>
        <v>1910</v>
      </c>
      <c r="O140" s="215">
        <f t="shared" si="117"/>
        <v>1910</v>
      </c>
      <c r="P140" s="215">
        <f t="shared" si="117"/>
        <v>1860</v>
      </c>
      <c r="Q140" s="215">
        <f t="shared" si="117"/>
        <v>1910</v>
      </c>
      <c r="R140" s="215">
        <f t="shared" si="117"/>
        <v>1860</v>
      </c>
      <c r="S140" s="215">
        <f t="shared" si="117"/>
        <v>1910</v>
      </c>
      <c r="T140" s="215">
        <f t="shared" si="117"/>
        <v>1860</v>
      </c>
      <c r="U140" s="215">
        <f t="shared" si="117"/>
        <v>1910</v>
      </c>
      <c r="V140" s="215">
        <f t="shared" si="117"/>
        <v>1910</v>
      </c>
      <c r="W140" s="215">
        <f t="shared" si="117"/>
        <v>1860</v>
      </c>
      <c r="X140" s="215">
        <f t="shared" si="117"/>
        <v>1910</v>
      </c>
      <c r="Y140" s="215">
        <f t="shared" si="117"/>
        <v>1860</v>
      </c>
      <c r="Z140" s="215">
        <f t="shared" si="117"/>
        <v>1910</v>
      </c>
      <c r="AA140" s="215">
        <f t="shared" si="117"/>
        <v>1860</v>
      </c>
      <c r="AB140" s="215">
        <f t="shared" si="117"/>
        <v>1910</v>
      </c>
      <c r="AC140" s="215">
        <f t="shared" si="117"/>
        <v>1860</v>
      </c>
      <c r="AD140" s="215">
        <f t="shared" si="117"/>
        <v>1910</v>
      </c>
      <c r="AE140" s="215">
        <f t="shared" si="117"/>
        <v>1860</v>
      </c>
      <c r="AF140" s="215">
        <f t="shared" si="117"/>
        <v>1910</v>
      </c>
      <c r="AG140" s="215">
        <f t="shared" si="117"/>
        <v>1910</v>
      </c>
      <c r="AH140" s="215">
        <f t="shared" si="117"/>
        <v>1860</v>
      </c>
      <c r="AI140" s="215">
        <f t="shared" ref="AI140:BD140" si="119">SUM(AI141:AI145)</f>
        <v>1910</v>
      </c>
      <c r="AJ140" s="215">
        <f t="shared" si="119"/>
        <v>1910</v>
      </c>
      <c r="AK140" s="215">
        <f t="shared" si="119"/>
        <v>1860</v>
      </c>
      <c r="AL140" s="215">
        <f t="shared" si="119"/>
        <v>1910</v>
      </c>
      <c r="AM140" s="215">
        <f t="shared" si="119"/>
        <v>1860</v>
      </c>
      <c r="AN140" s="215">
        <f t="shared" si="119"/>
        <v>1910</v>
      </c>
      <c r="AO140" s="215">
        <f t="shared" si="119"/>
        <v>1910</v>
      </c>
      <c r="AP140" s="215">
        <f t="shared" si="119"/>
        <v>1910</v>
      </c>
      <c r="AQ140" s="215">
        <f t="shared" si="119"/>
        <v>1860</v>
      </c>
      <c r="AR140" s="215">
        <f t="shared" si="119"/>
        <v>1810</v>
      </c>
      <c r="AS140" s="215">
        <f>SUM(AS141:AS145)</f>
        <v>1810</v>
      </c>
      <c r="AT140" s="215">
        <f t="shared" si="119"/>
        <v>1810</v>
      </c>
      <c r="AU140" s="215">
        <f t="shared" si="119"/>
        <v>1810</v>
      </c>
      <c r="AV140" s="215">
        <f t="shared" si="119"/>
        <v>1910</v>
      </c>
      <c r="AW140" s="215">
        <f t="shared" si="119"/>
        <v>1910</v>
      </c>
      <c r="AX140" s="215">
        <f t="shared" si="119"/>
        <v>1910</v>
      </c>
      <c r="AY140" s="215">
        <f t="shared" si="119"/>
        <v>1910</v>
      </c>
      <c r="AZ140" s="215">
        <f t="shared" si="119"/>
        <v>1860</v>
      </c>
      <c r="BA140" s="215">
        <f t="shared" ref="BA140:BB140" si="120">SUM(BA141:BA145)</f>
        <v>1910</v>
      </c>
      <c r="BB140" s="215">
        <f t="shared" si="120"/>
        <v>1860</v>
      </c>
      <c r="BC140" s="215">
        <f t="shared" ref="BC140" si="121">SUM(BC141:BC145)</f>
        <v>1860</v>
      </c>
      <c r="BD140" s="215">
        <f t="shared" si="119"/>
        <v>1860</v>
      </c>
      <c r="BE140" s="206"/>
      <c r="BF140" s="206"/>
      <c r="BG140" s="206"/>
      <c r="BH140" s="206"/>
      <c r="BI140" s="34" t="s">
        <v>40</v>
      </c>
      <c r="BO140" s="206"/>
      <c r="BP140" s="206"/>
    </row>
    <row r="141" spans="1:68" outlineLevel="1" x14ac:dyDescent="0.25">
      <c r="A141" s="206"/>
      <c r="B141" s="208" t="s">
        <v>143</v>
      </c>
      <c r="C141" s="206" t="s">
        <v>144</v>
      </c>
      <c r="D141" s="31">
        <v>500</v>
      </c>
      <c r="E141" s="31">
        <v>0</v>
      </c>
      <c r="F141" s="31">
        <v>0</v>
      </c>
      <c r="G141" s="31">
        <v>0</v>
      </c>
      <c r="H141" s="31">
        <v>0</v>
      </c>
      <c r="I141" s="31">
        <v>250</v>
      </c>
      <c r="J141" s="31">
        <v>250</v>
      </c>
      <c r="K141" s="31">
        <v>350</v>
      </c>
      <c r="L141" s="31">
        <v>250</v>
      </c>
      <c r="M141" s="31">
        <v>350</v>
      </c>
      <c r="N141" s="31">
        <v>350</v>
      </c>
      <c r="O141" s="31">
        <v>350</v>
      </c>
      <c r="P141" s="31">
        <v>500</v>
      </c>
      <c r="Q141" s="31">
        <v>350</v>
      </c>
      <c r="R141" s="31">
        <v>500</v>
      </c>
      <c r="S141" s="31">
        <v>350</v>
      </c>
      <c r="T141" s="31">
        <v>500</v>
      </c>
      <c r="U141" s="31">
        <v>350</v>
      </c>
      <c r="V141" s="31">
        <v>350</v>
      </c>
      <c r="W141" s="31">
        <v>500</v>
      </c>
      <c r="X141" s="31">
        <v>350</v>
      </c>
      <c r="Y141" s="31">
        <v>500</v>
      </c>
      <c r="Z141" s="31">
        <v>350</v>
      </c>
      <c r="AA141" s="31">
        <v>500</v>
      </c>
      <c r="AB141" s="31">
        <v>350</v>
      </c>
      <c r="AC141" s="31">
        <v>500</v>
      </c>
      <c r="AD141" s="31">
        <v>350</v>
      </c>
      <c r="AE141" s="31">
        <v>500</v>
      </c>
      <c r="AF141" s="31">
        <v>350</v>
      </c>
      <c r="AG141" s="31">
        <v>350</v>
      </c>
      <c r="AH141" s="31">
        <v>500</v>
      </c>
      <c r="AI141" s="31">
        <v>350</v>
      </c>
      <c r="AJ141" s="31">
        <v>350</v>
      </c>
      <c r="AK141" s="31">
        <v>500</v>
      </c>
      <c r="AL141" s="31">
        <v>350</v>
      </c>
      <c r="AM141" s="31">
        <v>500</v>
      </c>
      <c r="AN141" s="31">
        <v>350</v>
      </c>
      <c r="AO141" s="31">
        <v>350</v>
      </c>
      <c r="AP141" s="31">
        <v>350</v>
      </c>
      <c r="AQ141" s="31">
        <v>500</v>
      </c>
      <c r="AR141" s="31">
        <v>250</v>
      </c>
      <c r="AS141" s="31">
        <v>250</v>
      </c>
      <c r="AT141" s="31">
        <v>250</v>
      </c>
      <c r="AU141" s="31">
        <v>250</v>
      </c>
      <c r="AV141" s="31">
        <v>350</v>
      </c>
      <c r="AW141" s="31">
        <v>350</v>
      </c>
      <c r="AX141" s="31">
        <v>350</v>
      </c>
      <c r="AY141" s="31">
        <v>350</v>
      </c>
      <c r="AZ141" s="31">
        <v>500</v>
      </c>
      <c r="BA141" s="31">
        <v>350</v>
      </c>
      <c r="BB141" s="31">
        <v>500</v>
      </c>
      <c r="BC141" s="31">
        <v>500</v>
      </c>
      <c r="BD141" s="31">
        <v>500</v>
      </c>
      <c r="BE141" s="206"/>
      <c r="BF141" s="206"/>
      <c r="BG141" s="206"/>
      <c r="BH141" s="206"/>
      <c r="BI141" s="208" t="s">
        <v>143</v>
      </c>
      <c r="BJ141" s="37">
        <v>1</v>
      </c>
      <c r="BK141" s="37">
        <f>BJ141*1.02</f>
        <v>1.02</v>
      </c>
      <c r="BL141" s="37">
        <f>BK141*1.02</f>
        <v>1.0404</v>
      </c>
      <c r="BO141" s="206"/>
      <c r="BP141" s="206"/>
    </row>
    <row r="142" spans="1:68" x14ac:dyDescent="0.25">
      <c r="A142" s="206"/>
      <c r="B142" s="222" t="s">
        <v>466</v>
      </c>
      <c r="C142" s="206"/>
      <c r="D142" s="31">
        <v>0</v>
      </c>
      <c r="E142" s="31">
        <f>5000/12</f>
        <v>416.66666666666669</v>
      </c>
      <c r="F142" s="31">
        <v>160</v>
      </c>
      <c r="G142" s="31">
        <v>160</v>
      </c>
      <c r="H142" s="31">
        <v>160</v>
      </c>
      <c r="I142" s="31">
        <v>160</v>
      </c>
      <c r="J142" s="31">
        <v>160</v>
      </c>
      <c r="K142" s="31">
        <v>160</v>
      </c>
      <c r="L142" s="31">
        <v>160</v>
      </c>
      <c r="M142" s="31">
        <v>160</v>
      </c>
      <c r="N142" s="31">
        <v>160</v>
      </c>
      <c r="O142" s="31">
        <v>160</v>
      </c>
      <c r="P142" s="31">
        <v>160</v>
      </c>
      <c r="Q142" s="31">
        <v>160</v>
      </c>
      <c r="R142" s="31">
        <v>160</v>
      </c>
      <c r="S142" s="31">
        <v>160</v>
      </c>
      <c r="T142" s="31">
        <v>160</v>
      </c>
      <c r="U142" s="31">
        <v>160</v>
      </c>
      <c r="V142" s="31">
        <v>160</v>
      </c>
      <c r="W142" s="31">
        <v>160</v>
      </c>
      <c r="X142" s="31">
        <v>160</v>
      </c>
      <c r="Y142" s="31">
        <v>160</v>
      </c>
      <c r="Z142" s="31">
        <v>160</v>
      </c>
      <c r="AA142" s="31">
        <v>160</v>
      </c>
      <c r="AB142" s="31">
        <v>160</v>
      </c>
      <c r="AC142" s="31">
        <v>160</v>
      </c>
      <c r="AD142" s="31">
        <v>160</v>
      </c>
      <c r="AE142" s="31">
        <v>160</v>
      </c>
      <c r="AF142" s="31">
        <v>160</v>
      </c>
      <c r="AG142" s="31">
        <v>160</v>
      </c>
      <c r="AH142" s="31">
        <v>160</v>
      </c>
      <c r="AI142" s="31">
        <v>160</v>
      </c>
      <c r="AJ142" s="31">
        <v>160</v>
      </c>
      <c r="AK142" s="31">
        <v>160</v>
      </c>
      <c r="AL142" s="31">
        <v>160</v>
      </c>
      <c r="AM142" s="31">
        <v>160</v>
      </c>
      <c r="AN142" s="31">
        <v>160</v>
      </c>
      <c r="AO142" s="31">
        <v>160</v>
      </c>
      <c r="AP142" s="31">
        <v>160</v>
      </c>
      <c r="AQ142" s="31">
        <v>160</v>
      </c>
      <c r="AR142" s="31">
        <v>160</v>
      </c>
      <c r="AS142" s="31">
        <v>160</v>
      </c>
      <c r="AT142" s="31">
        <v>160</v>
      </c>
      <c r="AU142" s="31">
        <v>160</v>
      </c>
      <c r="AV142" s="31">
        <v>160</v>
      </c>
      <c r="AW142" s="31">
        <v>160</v>
      </c>
      <c r="AX142" s="31">
        <v>160</v>
      </c>
      <c r="AY142" s="31">
        <v>160</v>
      </c>
      <c r="AZ142" s="31">
        <v>160</v>
      </c>
      <c r="BA142" s="31">
        <v>160</v>
      </c>
      <c r="BB142" s="31">
        <v>160</v>
      </c>
      <c r="BC142" s="31">
        <v>160</v>
      </c>
      <c r="BD142" s="31">
        <v>160</v>
      </c>
      <c r="BE142" s="206"/>
      <c r="BF142" s="206"/>
      <c r="BG142" s="206"/>
      <c r="BH142" s="206"/>
      <c r="BI142" s="222" t="s">
        <v>466</v>
      </c>
      <c r="BJ142" s="37">
        <v>1</v>
      </c>
      <c r="BK142" s="37">
        <f t="shared" ref="BK142:BL142" si="122">BJ142*1.02</f>
        <v>1.02</v>
      </c>
      <c r="BL142" s="37">
        <f t="shared" si="122"/>
        <v>1.0404</v>
      </c>
      <c r="BO142" s="206"/>
      <c r="BP142" s="206"/>
    </row>
    <row r="143" spans="1:68" outlineLevel="1" x14ac:dyDescent="0.25">
      <c r="A143" s="206"/>
      <c r="B143" s="208" t="s">
        <v>145</v>
      </c>
      <c r="C143" s="206"/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600</v>
      </c>
      <c r="J143" s="31">
        <v>600</v>
      </c>
      <c r="K143" s="31">
        <v>600</v>
      </c>
      <c r="L143" s="31">
        <v>600</v>
      </c>
      <c r="M143" s="31">
        <v>600</v>
      </c>
      <c r="N143" s="31">
        <v>600</v>
      </c>
      <c r="O143" s="31">
        <v>600</v>
      </c>
      <c r="P143" s="31">
        <v>600</v>
      </c>
      <c r="Q143" s="31">
        <v>600</v>
      </c>
      <c r="R143" s="31">
        <v>600</v>
      </c>
      <c r="S143" s="31">
        <v>600</v>
      </c>
      <c r="T143" s="31">
        <v>600</v>
      </c>
      <c r="U143" s="31">
        <v>600</v>
      </c>
      <c r="V143" s="31">
        <v>600</v>
      </c>
      <c r="W143" s="31">
        <v>600</v>
      </c>
      <c r="X143" s="31">
        <v>600</v>
      </c>
      <c r="Y143" s="31">
        <v>600</v>
      </c>
      <c r="Z143" s="31">
        <v>600</v>
      </c>
      <c r="AA143" s="31">
        <v>600</v>
      </c>
      <c r="AB143" s="31">
        <v>600</v>
      </c>
      <c r="AC143" s="31">
        <v>600</v>
      </c>
      <c r="AD143" s="31">
        <v>600</v>
      </c>
      <c r="AE143" s="31">
        <v>600</v>
      </c>
      <c r="AF143" s="31">
        <v>600</v>
      </c>
      <c r="AG143" s="31">
        <v>600</v>
      </c>
      <c r="AH143" s="31">
        <v>600</v>
      </c>
      <c r="AI143" s="31">
        <v>600</v>
      </c>
      <c r="AJ143" s="31">
        <v>600</v>
      </c>
      <c r="AK143" s="31">
        <v>600</v>
      </c>
      <c r="AL143" s="31">
        <v>600</v>
      </c>
      <c r="AM143" s="31">
        <v>600</v>
      </c>
      <c r="AN143" s="31">
        <v>600</v>
      </c>
      <c r="AO143" s="31">
        <v>600</v>
      </c>
      <c r="AP143" s="31">
        <v>600</v>
      </c>
      <c r="AQ143" s="31">
        <v>600</v>
      </c>
      <c r="AR143" s="31">
        <v>600</v>
      </c>
      <c r="AS143" s="31">
        <v>600</v>
      </c>
      <c r="AT143" s="31">
        <v>600</v>
      </c>
      <c r="AU143" s="31">
        <v>600</v>
      </c>
      <c r="AV143" s="31">
        <v>600</v>
      </c>
      <c r="AW143" s="31">
        <v>600</v>
      </c>
      <c r="AX143" s="31">
        <v>600</v>
      </c>
      <c r="AY143" s="31">
        <v>600</v>
      </c>
      <c r="AZ143" s="31">
        <v>600</v>
      </c>
      <c r="BA143" s="31">
        <v>600</v>
      </c>
      <c r="BB143" s="31">
        <v>600</v>
      </c>
      <c r="BC143" s="31">
        <v>600</v>
      </c>
      <c r="BD143" s="31">
        <v>600</v>
      </c>
      <c r="BE143" s="206"/>
      <c r="BF143" s="206"/>
      <c r="BG143" s="206"/>
      <c r="BH143" s="206"/>
      <c r="BI143" s="208" t="s">
        <v>145</v>
      </c>
      <c r="BJ143" s="37">
        <v>1</v>
      </c>
      <c r="BK143" s="37">
        <f t="shared" ref="BK143:BL143" si="123">BJ143*1.02</f>
        <v>1.02</v>
      </c>
      <c r="BL143" s="37">
        <f t="shared" si="123"/>
        <v>1.0404</v>
      </c>
      <c r="BO143" s="206"/>
      <c r="BP143" s="206"/>
    </row>
    <row r="144" spans="1:68" outlineLevel="1" x14ac:dyDescent="0.25">
      <c r="A144" s="206"/>
      <c r="B144" s="208" t="s">
        <v>146</v>
      </c>
      <c r="C144" s="206"/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300</v>
      </c>
      <c r="J144" s="31">
        <v>100</v>
      </c>
      <c r="K144" s="31">
        <v>300</v>
      </c>
      <c r="L144" s="31">
        <v>100</v>
      </c>
      <c r="M144" s="31">
        <v>300</v>
      </c>
      <c r="N144" s="31">
        <v>300</v>
      </c>
      <c r="O144" s="31">
        <v>300</v>
      </c>
      <c r="P144" s="31">
        <v>100</v>
      </c>
      <c r="Q144" s="31">
        <v>300</v>
      </c>
      <c r="R144" s="31">
        <v>100</v>
      </c>
      <c r="S144" s="31">
        <v>300</v>
      </c>
      <c r="T144" s="31">
        <v>100</v>
      </c>
      <c r="U144" s="31">
        <v>300</v>
      </c>
      <c r="V144" s="31">
        <v>300</v>
      </c>
      <c r="W144" s="31">
        <v>100</v>
      </c>
      <c r="X144" s="31">
        <v>300</v>
      </c>
      <c r="Y144" s="31">
        <v>100</v>
      </c>
      <c r="Z144" s="31">
        <v>300</v>
      </c>
      <c r="AA144" s="31">
        <v>100</v>
      </c>
      <c r="AB144" s="31">
        <v>300</v>
      </c>
      <c r="AC144" s="31">
        <v>100</v>
      </c>
      <c r="AD144" s="31">
        <v>300</v>
      </c>
      <c r="AE144" s="31">
        <v>100</v>
      </c>
      <c r="AF144" s="31">
        <v>300</v>
      </c>
      <c r="AG144" s="31">
        <v>300</v>
      </c>
      <c r="AH144" s="31">
        <v>100</v>
      </c>
      <c r="AI144" s="31">
        <v>300</v>
      </c>
      <c r="AJ144" s="31">
        <v>300</v>
      </c>
      <c r="AK144" s="31">
        <v>100</v>
      </c>
      <c r="AL144" s="31">
        <v>300</v>
      </c>
      <c r="AM144" s="31">
        <v>100</v>
      </c>
      <c r="AN144" s="31">
        <v>300</v>
      </c>
      <c r="AO144" s="31">
        <v>300</v>
      </c>
      <c r="AP144" s="31">
        <v>300</v>
      </c>
      <c r="AQ144" s="31">
        <v>100</v>
      </c>
      <c r="AR144" s="31">
        <v>300</v>
      </c>
      <c r="AS144" s="31">
        <v>300</v>
      </c>
      <c r="AT144" s="31">
        <v>300</v>
      </c>
      <c r="AU144" s="31">
        <v>300</v>
      </c>
      <c r="AV144" s="31">
        <v>300</v>
      </c>
      <c r="AW144" s="31">
        <v>300</v>
      </c>
      <c r="AX144" s="31">
        <v>300</v>
      </c>
      <c r="AY144" s="31">
        <v>300</v>
      </c>
      <c r="AZ144" s="31">
        <v>100</v>
      </c>
      <c r="BA144" s="31">
        <v>300</v>
      </c>
      <c r="BB144" s="31">
        <v>100</v>
      </c>
      <c r="BC144" s="31">
        <v>100</v>
      </c>
      <c r="BD144" s="31">
        <v>100</v>
      </c>
      <c r="BE144" s="206"/>
      <c r="BF144" s="206"/>
      <c r="BG144" s="206"/>
      <c r="BH144" s="206"/>
      <c r="BI144" s="208" t="s">
        <v>146</v>
      </c>
      <c r="BJ144" s="37">
        <v>1</v>
      </c>
      <c r="BK144" s="37">
        <f t="shared" ref="BK144:BL144" si="124">BJ144*1.02</f>
        <v>1.02</v>
      </c>
      <c r="BL144" s="37">
        <f t="shared" si="124"/>
        <v>1.0404</v>
      </c>
      <c r="BO144" s="206"/>
      <c r="BP144" s="206"/>
    </row>
    <row r="145" spans="1:68" outlineLevel="1" x14ac:dyDescent="0.25">
      <c r="A145" s="206"/>
      <c r="B145" s="208" t="s">
        <v>138</v>
      </c>
      <c r="C145" s="206"/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500</v>
      </c>
      <c r="J145" s="31">
        <v>500</v>
      </c>
      <c r="K145" s="31">
        <v>500</v>
      </c>
      <c r="L145" s="31">
        <v>500</v>
      </c>
      <c r="M145" s="31">
        <v>500</v>
      </c>
      <c r="N145" s="31">
        <v>500</v>
      </c>
      <c r="O145" s="31">
        <v>500</v>
      </c>
      <c r="P145" s="31">
        <v>500</v>
      </c>
      <c r="Q145" s="31">
        <v>500</v>
      </c>
      <c r="R145" s="31">
        <v>500</v>
      </c>
      <c r="S145" s="31">
        <v>500</v>
      </c>
      <c r="T145" s="31">
        <v>500</v>
      </c>
      <c r="U145" s="31">
        <v>500</v>
      </c>
      <c r="V145" s="31">
        <v>500</v>
      </c>
      <c r="W145" s="31">
        <v>500</v>
      </c>
      <c r="X145" s="31">
        <v>500</v>
      </c>
      <c r="Y145" s="31">
        <v>500</v>
      </c>
      <c r="Z145" s="31">
        <v>500</v>
      </c>
      <c r="AA145" s="31">
        <v>500</v>
      </c>
      <c r="AB145" s="31">
        <v>500</v>
      </c>
      <c r="AC145" s="31">
        <v>500</v>
      </c>
      <c r="AD145" s="31">
        <v>500</v>
      </c>
      <c r="AE145" s="31">
        <v>500</v>
      </c>
      <c r="AF145" s="31">
        <v>500</v>
      </c>
      <c r="AG145" s="31">
        <v>500</v>
      </c>
      <c r="AH145" s="31">
        <v>500</v>
      </c>
      <c r="AI145" s="31">
        <v>500</v>
      </c>
      <c r="AJ145" s="31">
        <v>500</v>
      </c>
      <c r="AK145" s="31">
        <v>500</v>
      </c>
      <c r="AL145" s="31">
        <v>500</v>
      </c>
      <c r="AM145" s="31">
        <v>500</v>
      </c>
      <c r="AN145" s="31">
        <v>500</v>
      </c>
      <c r="AO145" s="31">
        <v>500</v>
      </c>
      <c r="AP145" s="31">
        <v>500</v>
      </c>
      <c r="AQ145" s="31">
        <v>500</v>
      </c>
      <c r="AR145" s="31">
        <v>500</v>
      </c>
      <c r="AS145" s="31">
        <v>500</v>
      </c>
      <c r="AT145" s="31">
        <v>500</v>
      </c>
      <c r="AU145" s="31">
        <v>500</v>
      </c>
      <c r="AV145" s="31">
        <v>500</v>
      </c>
      <c r="AW145" s="31">
        <v>500</v>
      </c>
      <c r="AX145" s="31">
        <v>500</v>
      </c>
      <c r="AY145" s="31">
        <v>500</v>
      </c>
      <c r="AZ145" s="31">
        <v>500</v>
      </c>
      <c r="BA145" s="31">
        <v>500</v>
      </c>
      <c r="BB145" s="31">
        <v>500</v>
      </c>
      <c r="BC145" s="31">
        <v>500</v>
      </c>
      <c r="BD145" s="31">
        <v>500</v>
      </c>
      <c r="BE145" s="206"/>
      <c r="BF145" s="206"/>
      <c r="BG145" s="206"/>
      <c r="BH145" s="206"/>
      <c r="BI145" s="208" t="s">
        <v>138</v>
      </c>
      <c r="BJ145" s="37">
        <v>1</v>
      </c>
      <c r="BK145" s="37">
        <f>BJ145*1.02</f>
        <v>1.02</v>
      </c>
      <c r="BL145" s="37">
        <f>BK145*1.02</f>
        <v>1.0404</v>
      </c>
      <c r="BO145" s="206"/>
      <c r="BP145" s="206"/>
    </row>
    <row r="146" spans="1:68" x14ac:dyDescent="0.25">
      <c r="A146" s="206"/>
      <c r="B146" s="34" t="s">
        <v>42</v>
      </c>
      <c r="C146" s="206"/>
      <c r="D146" s="215">
        <f t="shared" ref="D146:BD146" si="125">SUM(D147:D157)</f>
        <v>119500</v>
      </c>
      <c r="E146" s="215">
        <f t="shared" si="125"/>
        <v>0</v>
      </c>
      <c r="F146" s="215">
        <f t="shared" si="125"/>
        <v>0</v>
      </c>
      <c r="G146" s="215">
        <f t="shared" si="125"/>
        <v>0</v>
      </c>
      <c r="H146" s="215">
        <f t="shared" si="125"/>
        <v>0</v>
      </c>
      <c r="I146" s="215">
        <f t="shared" si="125"/>
        <v>4450</v>
      </c>
      <c r="J146" s="215">
        <f t="shared" si="125"/>
        <v>0</v>
      </c>
      <c r="K146" s="215">
        <f t="shared" si="125"/>
        <v>4450</v>
      </c>
      <c r="L146" s="215">
        <f t="shared" ref="L146" si="126">SUM(L147:L157)</f>
        <v>0</v>
      </c>
      <c r="M146" s="215">
        <f t="shared" si="125"/>
        <v>6000</v>
      </c>
      <c r="N146" s="215">
        <f t="shared" si="125"/>
        <v>6000</v>
      </c>
      <c r="O146" s="215">
        <f t="shared" si="125"/>
        <v>6000</v>
      </c>
      <c r="P146" s="215">
        <f t="shared" si="125"/>
        <v>0</v>
      </c>
      <c r="Q146" s="215">
        <f t="shared" si="125"/>
        <v>6000</v>
      </c>
      <c r="R146" s="215">
        <f t="shared" si="125"/>
        <v>0</v>
      </c>
      <c r="S146" s="215">
        <f t="shared" si="125"/>
        <v>6000</v>
      </c>
      <c r="T146" s="215">
        <f t="shared" si="125"/>
        <v>0</v>
      </c>
      <c r="U146" s="215">
        <f t="shared" si="125"/>
        <v>6000</v>
      </c>
      <c r="V146" s="215">
        <f t="shared" si="125"/>
        <v>6000</v>
      </c>
      <c r="W146" s="215">
        <f t="shared" si="125"/>
        <v>0</v>
      </c>
      <c r="X146" s="215">
        <f t="shared" si="125"/>
        <v>6000</v>
      </c>
      <c r="Y146" s="215">
        <f t="shared" si="125"/>
        <v>0</v>
      </c>
      <c r="Z146" s="215">
        <f t="shared" si="125"/>
        <v>6000</v>
      </c>
      <c r="AA146" s="215">
        <f t="shared" si="125"/>
        <v>0</v>
      </c>
      <c r="AB146" s="215">
        <f t="shared" si="125"/>
        <v>6000</v>
      </c>
      <c r="AC146" s="215">
        <f t="shared" si="125"/>
        <v>0</v>
      </c>
      <c r="AD146" s="215">
        <f t="shared" si="125"/>
        <v>6000</v>
      </c>
      <c r="AE146" s="215">
        <f t="shared" si="125"/>
        <v>0</v>
      </c>
      <c r="AF146" s="215">
        <f t="shared" si="125"/>
        <v>6000</v>
      </c>
      <c r="AG146" s="215">
        <f t="shared" si="125"/>
        <v>6000</v>
      </c>
      <c r="AH146" s="215">
        <f t="shared" si="125"/>
        <v>0</v>
      </c>
      <c r="AI146" s="215">
        <f t="shared" si="125"/>
        <v>6000</v>
      </c>
      <c r="AJ146" s="215">
        <f t="shared" si="125"/>
        <v>6000</v>
      </c>
      <c r="AK146" s="215">
        <f t="shared" si="125"/>
        <v>0</v>
      </c>
      <c r="AL146" s="215">
        <f t="shared" si="125"/>
        <v>6000</v>
      </c>
      <c r="AM146" s="215">
        <f t="shared" si="125"/>
        <v>0</v>
      </c>
      <c r="AN146" s="215">
        <f t="shared" si="125"/>
        <v>6000</v>
      </c>
      <c r="AO146" s="215">
        <f t="shared" si="125"/>
        <v>6000</v>
      </c>
      <c r="AP146" s="215">
        <f t="shared" si="125"/>
        <v>6000</v>
      </c>
      <c r="AQ146" s="215">
        <f t="shared" si="125"/>
        <v>0</v>
      </c>
      <c r="AR146" s="215">
        <f t="shared" si="125"/>
        <v>5750</v>
      </c>
      <c r="AS146" s="215">
        <f>SUM(AS147:AS157)</f>
        <v>0</v>
      </c>
      <c r="AT146" s="215">
        <f t="shared" si="125"/>
        <v>5750</v>
      </c>
      <c r="AU146" s="215">
        <f t="shared" si="125"/>
        <v>5750</v>
      </c>
      <c r="AV146" s="215">
        <f t="shared" si="125"/>
        <v>4750</v>
      </c>
      <c r="AW146" s="215">
        <f t="shared" si="125"/>
        <v>4750</v>
      </c>
      <c r="AX146" s="215">
        <f t="shared" si="125"/>
        <v>4750</v>
      </c>
      <c r="AY146" s="215">
        <f t="shared" si="125"/>
        <v>4750</v>
      </c>
      <c r="AZ146" s="215">
        <f t="shared" si="125"/>
        <v>0</v>
      </c>
      <c r="BA146" s="215">
        <f t="shared" si="125"/>
        <v>3950</v>
      </c>
      <c r="BB146" s="215">
        <f t="shared" ref="BB146:BC146" si="127">SUM(BB147:BB157)</f>
        <v>1950</v>
      </c>
      <c r="BC146" s="215">
        <f t="shared" si="127"/>
        <v>1950</v>
      </c>
      <c r="BD146" s="215">
        <f t="shared" si="125"/>
        <v>1950</v>
      </c>
      <c r="BE146" s="206"/>
      <c r="BF146" s="206"/>
      <c r="BG146" s="206"/>
      <c r="BH146" s="206"/>
      <c r="BI146" s="34" t="s">
        <v>42</v>
      </c>
      <c r="BO146" s="206"/>
      <c r="BP146" s="206"/>
    </row>
    <row r="147" spans="1:68" outlineLevel="1" x14ac:dyDescent="0.25">
      <c r="A147" s="206"/>
      <c r="B147" s="208" t="s">
        <v>147</v>
      </c>
      <c r="C147" s="102"/>
      <c r="D147" s="31">
        <f>20000</f>
        <v>20000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45">
        <v>0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0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  <c r="AH147" s="45">
        <v>0</v>
      </c>
      <c r="AI147" s="45">
        <v>0</v>
      </c>
      <c r="AJ147" s="45">
        <v>0</v>
      </c>
      <c r="AK147" s="45">
        <v>0</v>
      </c>
      <c r="AL147" s="45">
        <v>0</v>
      </c>
      <c r="AM147" s="45">
        <v>0</v>
      </c>
      <c r="AN147" s="45">
        <v>0</v>
      </c>
      <c r="AO147" s="45">
        <v>0</v>
      </c>
      <c r="AP147" s="45">
        <v>0</v>
      </c>
      <c r="AQ147" s="45">
        <v>0</v>
      </c>
      <c r="AR147" s="45">
        <v>0</v>
      </c>
      <c r="AS147" s="45">
        <v>0</v>
      </c>
      <c r="AT147" s="45">
        <v>0</v>
      </c>
      <c r="AU147" s="45">
        <v>0</v>
      </c>
      <c r="AV147" s="45">
        <v>0</v>
      </c>
      <c r="AW147" s="45">
        <v>0</v>
      </c>
      <c r="AX147" s="45">
        <v>0</v>
      </c>
      <c r="AY147" s="45">
        <v>0</v>
      </c>
      <c r="AZ147" s="45">
        <v>0</v>
      </c>
      <c r="BA147" s="45">
        <v>0</v>
      </c>
      <c r="BB147" s="45">
        <v>0</v>
      </c>
      <c r="BC147" s="45">
        <v>0</v>
      </c>
      <c r="BD147" s="45">
        <v>0</v>
      </c>
      <c r="BE147" s="206"/>
      <c r="BF147" s="206"/>
      <c r="BG147" s="206"/>
      <c r="BH147" s="206"/>
      <c r="BI147" s="208" t="s">
        <v>147</v>
      </c>
      <c r="BJ147" s="37">
        <v>1</v>
      </c>
      <c r="BK147" s="37">
        <f>BJ147*1.05</f>
        <v>1.05</v>
      </c>
      <c r="BL147" s="37">
        <f>BK147*1.05</f>
        <v>1.1025</v>
      </c>
      <c r="BO147" s="206"/>
      <c r="BP147" s="206"/>
    </row>
    <row r="148" spans="1:68" outlineLevel="1" x14ac:dyDescent="0.25">
      <c r="A148" s="206"/>
      <c r="B148" s="105" t="s">
        <v>148</v>
      </c>
      <c r="C148" s="206"/>
      <c r="D148" s="214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105" t="s">
        <v>148</v>
      </c>
      <c r="BJ148" s="105"/>
      <c r="BK148" s="105"/>
      <c r="BL148" s="105"/>
      <c r="BO148" s="206"/>
      <c r="BP148" s="206"/>
    </row>
    <row r="149" spans="1:68" outlineLevel="1" x14ac:dyDescent="0.25">
      <c r="A149" s="206"/>
      <c r="B149" s="208" t="s">
        <v>149</v>
      </c>
      <c r="C149" s="206"/>
      <c r="D149" s="31">
        <v>40000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0</v>
      </c>
      <c r="AJ149" s="45">
        <v>0</v>
      </c>
      <c r="AK149" s="45">
        <v>0</v>
      </c>
      <c r="AL149" s="45">
        <v>0</v>
      </c>
      <c r="AM149" s="45">
        <v>0</v>
      </c>
      <c r="AN149" s="45">
        <v>0</v>
      </c>
      <c r="AO149" s="45">
        <v>0</v>
      </c>
      <c r="AP149" s="45">
        <v>0</v>
      </c>
      <c r="AQ149" s="45">
        <v>0</v>
      </c>
      <c r="AR149" s="45">
        <v>0</v>
      </c>
      <c r="AS149" s="45">
        <v>0</v>
      </c>
      <c r="AT149" s="45">
        <v>0</v>
      </c>
      <c r="AU149" s="45">
        <v>0</v>
      </c>
      <c r="AV149" s="45">
        <v>0</v>
      </c>
      <c r="AW149" s="45">
        <v>0</v>
      </c>
      <c r="AX149" s="45">
        <v>0</v>
      </c>
      <c r="AY149" s="45">
        <v>0</v>
      </c>
      <c r="AZ149" s="45">
        <v>0</v>
      </c>
      <c r="BA149" s="45">
        <v>0</v>
      </c>
      <c r="BB149" s="45">
        <v>0</v>
      </c>
      <c r="BC149" s="45">
        <v>0</v>
      </c>
      <c r="BD149" s="45">
        <v>0</v>
      </c>
      <c r="BE149" s="206"/>
      <c r="BF149" s="206"/>
      <c r="BG149" s="206"/>
      <c r="BH149" s="206"/>
      <c r="BI149" s="208" t="s">
        <v>149</v>
      </c>
      <c r="BJ149" s="37">
        <v>1</v>
      </c>
      <c r="BK149" s="37">
        <v>1</v>
      </c>
      <c r="BL149" s="37">
        <v>1</v>
      </c>
      <c r="BO149" s="206"/>
      <c r="BP149" s="206"/>
    </row>
    <row r="150" spans="1:68" outlineLevel="1" x14ac:dyDescent="0.25">
      <c r="A150" s="206"/>
      <c r="B150" s="208" t="s">
        <v>150</v>
      </c>
      <c r="C150" s="80"/>
      <c r="D150" s="31">
        <v>15000</v>
      </c>
      <c r="E150" s="45">
        <v>0</v>
      </c>
      <c r="F150" s="45">
        <v>0</v>
      </c>
      <c r="G150" s="45">
        <v>0</v>
      </c>
      <c r="H150" s="45">
        <v>0</v>
      </c>
      <c r="I150" s="31">
        <v>750</v>
      </c>
      <c r="J150" s="31">
        <v>0</v>
      </c>
      <c r="K150" s="31">
        <v>750</v>
      </c>
      <c r="L150" s="31">
        <v>0</v>
      </c>
      <c r="M150" s="31">
        <v>1500</v>
      </c>
      <c r="N150" s="31">
        <v>1500</v>
      </c>
      <c r="O150" s="31">
        <v>1500</v>
      </c>
      <c r="P150" s="31">
        <v>0</v>
      </c>
      <c r="Q150" s="31">
        <v>1500</v>
      </c>
      <c r="R150" s="31">
        <v>0</v>
      </c>
      <c r="S150" s="31">
        <v>1500</v>
      </c>
      <c r="T150" s="31">
        <v>0</v>
      </c>
      <c r="U150" s="31">
        <v>1500</v>
      </c>
      <c r="V150" s="31">
        <v>1500</v>
      </c>
      <c r="W150" s="31">
        <v>0</v>
      </c>
      <c r="X150" s="31">
        <v>1500</v>
      </c>
      <c r="Y150" s="31">
        <v>0</v>
      </c>
      <c r="Z150" s="31">
        <v>1500</v>
      </c>
      <c r="AA150" s="31">
        <v>0</v>
      </c>
      <c r="AB150" s="31">
        <v>1500</v>
      </c>
      <c r="AC150" s="31">
        <v>0</v>
      </c>
      <c r="AD150" s="31">
        <v>1500</v>
      </c>
      <c r="AE150" s="31">
        <v>0</v>
      </c>
      <c r="AF150" s="31">
        <v>1500</v>
      </c>
      <c r="AG150" s="31">
        <v>1500</v>
      </c>
      <c r="AH150" s="31">
        <v>0</v>
      </c>
      <c r="AI150" s="31">
        <v>1500</v>
      </c>
      <c r="AJ150" s="31">
        <v>1500</v>
      </c>
      <c r="AK150" s="31">
        <v>0</v>
      </c>
      <c r="AL150" s="31">
        <v>1500</v>
      </c>
      <c r="AM150" s="31">
        <v>0</v>
      </c>
      <c r="AN150" s="31">
        <v>1500</v>
      </c>
      <c r="AO150" s="31">
        <v>1500</v>
      </c>
      <c r="AP150" s="31">
        <v>1500</v>
      </c>
      <c r="AQ150" s="31">
        <v>0</v>
      </c>
      <c r="AR150" s="31">
        <v>750</v>
      </c>
      <c r="AS150" s="31">
        <v>0</v>
      </c>
      <c r="AT150" s="31">
        <v>750</v>
      </c>
      <c r="AU150" s="31">
        <v>750</v>
      </c>
      <c r="AV150" s="31">
        <v>750</v>
      </c>
      <c r="AW150" s="31">
        <v>750</v>
      </c>
      <c r="AX150" s="31">
        <v>750</v>
      </c>
      <c r="AY150" s="31">
        <v>750</v>
      </c>
      <c r="AZ150" s="31"/>
      <c r="BA150" s="31">
        <v>500</v>
      </c>
      <c r="BB150" s="31">
        <v>500</v>
      </c>
      <c r="BC150" s="31">
        <v>500</v>
      </c>
      <c r="BD150" s="31">
        <v>500</v>
      </c>
      <c r="BE150" s="206"/>
      <c r="BF150" s="206"/>
      <c r="BG150" s="206"/>
      <c r="BH150" s="206"/>
      <c r="BI150" s="208" t="s">
        <v>150</v>
      </c>
      <c r="BJ150" s="37">
        <v>1</v>
      </c>
      <c r="BK150" s="37">
        <f>BJ150*1.2</f>
        <v>1.2</v>
      </c>
      <c r="BL150" s="37">
        <f>BK150*1.2</f>
        <v>1.44</v>
      </c>
      <c r="BN150" s="82" t="s">
        <v>264</v>
      </c>
      <c r="BO150" s="206"/>
      <c r="BP150" s="206"/>
    </row>
    <row r="151" spans="1:68" outlineLevel="1" x14ac:dyDescent="0.25">
      <c r="A151" s="206"/>
      <c r="B151" s="208" t="s">
        <v>151</v>
      </c>
      <c r="C151" s="80"/>
      <c r="D151" s="31">
        <v>15000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  <c r="AH151" s="45">
        <v>0</v>
      </c>
      <c r="AI151" s="45">
        <v>0</v>
      </c>
      <c r="AJ151" s="45">
        <v>0</v>
      </c>
      <c r="AK151" s="45">
        <v>0</v>
      </c>
      <c r="AL151" s="45">
        <v>0</v>
      </c>
      <c r="AM151" s="45">
        <v>0</v>
      </c>
      <c r="AN151" s="45">
        <v>0</v>
      </c>
      <c r="AO151" s="45">
        <v>0</v>
      </c>
      <c r="AP151" s="45">
        <v>0</v>
      </c>
      <c r="AQ151" s="45">
        <v>0</v>
      </c>
      <c r="AR151" s="45">
        <v>0</v>
      </c>
      <c r="AS151" s="31">
        <v>0</v>
      </c>
      <c r="AT151" s="45">
        <v>0</v>
      </c>
      <c r="AU151" s="45">
        <v>0</v>
      </c>
      <c r="AV151" s="45">
        <v>0</v>
      </c>
      <c r="AW151" s="45">
        <v>0</v>
      </c>
      <c r="AX151" s="45">
        <v>0</v>
      </c>
      <c r="AY151" s="45">
        <v>0</v>
      </c>
      <c r="AZ151" s="45">
        <v>0</v>
      </c>
      <c r="BA151" s="45">
        <v>0</v>
      </c>
      <c r="BB151" s="45">
        <v>0</v>
      </c>
      <c r="BC151" s="45">
        <v>0</v>
      </c>
      <c r="BD151" s="45">
        <v>0</v>
      </c>
      <c r="BE151" s="206"/>
      <c r="BF151" s="206"/>
      <c r="BG151" s="206"/>
      <c r="BH151" s="206"/>
      <c r="BI151" s="208" t="s">
        <v>151</v>
      </c>
      <c r="BJ151" s="37">
        <v>1</v>
      </c>
      <c r="BK151" s="37">
        <f>BJ151*1.1</f>
        <v>1.1000000000000001</v>
      </c>
      <c r="BL151" s="37">
        <f>BK151*1.1</f>
        <v>1.2100000000000002</v>
      </c>
      <c r="BO151" s="206"/>
      <c r="BP151" s="206"/>
    </row>
    <row r="152" spans="1:68" outlineLevel="1" x14ac:dyDescent="0.25">
      <c r="A152" s="206"/>
      <c r="B152" s="208" t="s">
        <v>152</v>
      </c>
      <c r="C152" s="80"/>
      <c r="D152" s="31">
        <v>12000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45">
        <v>0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0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  <c r="AH152" s="45">
        <v>0</v>
      </c>
      <c r="AI152" s="45">
        <v>0</v>
      </c>
      <c r="AJ152" s="45">
        <v>0</v>
      </c>
      <c r="AK152" s="45">
        <v>0</v>
      </c>
      <c r="AL152" s="45">
        <v>0</v>
      </c>
      <c r="AM152" s="45">
        <v>0</v>
      </c>
      <c r="AN152" s="45">
        <v>0</v>
      </c>
      <c r="AO152" s="45">
        <v>0</v>
      </c>
      <c r="AP152" s="45">
        <v>0</v>
      </c>
      <c r="AQ152" s="45">
        <v>0</v>
      </c>
      <c r="AR152" s="45">
        <v>0</v>
      </c>
      <c r="AS152" s="31">
        <v>0</v>
      </c>
      <c r="AT152" s="45">
        <v>0</v>
      </c>
      <c r="AU152" s="45">
        <v>0</v>
      </c>
      <c r="AV152" s="45">
        <v>0</v>
      </c>
      <c r="AW152" s="45">
        <v>0</v>
      </c>
      <c r="AX152" s="45">
        <v>0</v>
      </c>
      <c r="AY152" s="45">
        <v>0</v>
      </c>
      <c r="AZ152" s="45">
        <v>0</v>
      </c>
      <c r="BA152" s="45">
        <v>0</v>
      </c>
      <c r="BB152" s="45">
        <v>0</v>
      </c>
      <c r="BC152" s="45">
        <v>0</v>
      </c>
      <c r="BD152" s="45">
        <v>0</v>
      </c>
      <c r="BE152" s="206"/>
      <c r="BF152" s="206"/>
      <c r="BG152" s="206"/>
      <c r="BH152" s="206"/>
      <c r="BI152" s="208" t="s">
        <v>152</v>
      </c>
      <c r="BJ152" s="37">
        <v>1</v>
      </c>
      <c r="BK152" s="37">
        <f>BJ152*1.2</f>
        <v>1.2</v>
      </c>
      <c r="BL152" s="37">
        <f>BK152*1.2</f>
        <v>1.44</v>
      </c>
      <c r="BN152" s="82" t="s">
        <v>264</v>
      </c>
      <c r="BO152" s="206"/>
      <c r="BP152" s="206"/>
    </row>
    <row r="153" spans="1:68" outlineLevel="1" x14ac:dyDescent="0.25">
      <c r="A153" s="206"/>
      <c r="B153" s="208" t="s">
        <v>153</v>
      </c>
      <c r="C153" s="80"/>
      <c r="D153" s="31">
        <v>8000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  <c r="AH153" s="45">
        <v>0</v>
      </c>
      <c r="AI153" s="45">
        <v>0</v>
      </c>
      <c r="AJ153" s="45">
        <v>0</v>
      </c>
      <c r="AK153" s="45">
        <v>0</v>
      </c>
      <c r="AL153" s="45">
        <v>0</v>
      </c>
      <c r="AM153" s="45">
        <v>0</v>
      </c>
      <c r="AN153" s="45">
        <v>0</v>
      </c>
      <c r="AO153" s="45">
        <v>0</v>
      </c>
      <c r="AP153" s="45">
        <v>0</v>
      </c>
      <c r="AQ153" s="45">
        <v>0</v>
      </c>
      <c r="AR153" s="45">
        <v>0</v>
      </c>
      <c r="AS153" s="31">
        <v>0</v>
      </c>
      <c r="AT153" s="45">
        <v>0</v>
      </c>
      <c r="AU153" s="45">
        <v>0</v>
      </c>
      <c r="AV153" s="45">
        <v>0</v>
      </c>
      <c r="AW153" s="45">
        <v>0</v>
      </c>
      <c r="AX153" s="45">
        <v>0</v>
      </c>
      <c r="AY153" s="45">
        <v>0</v>
      </c>
      <c r="AZ153" s="45">
        <v>0</v>
      </c>
      <c r="BA153" s="45">
        <v>0</v>
      </c>
      <c r="BB153" s="45">
        <v>0</v>
      </c>
      <c r="BC153" s="45">
        <v>0</v>
      </c>
      <c r="BD153" s="45">
        <v>0</v>
      </c>
      <c r="BE153" s="206"/>
      <c r="BF153" s="206"/>
      <c r="BG153" s="206"/>
      <c r="BH153" s="206"/>
      <c r="BI153" s="208" t="s">
        <v>153</v>
      </c>
      <c r="BJ153" s="37">
        <v>1</v>
      </c>
      <c r="BK153" s="37">
        <f>BJ153*1.2</f>
        <v>1.2</v>
      </c>
      <c r="BL153" s="37">
        <f>BK153*1.2</f>
        <v>1.44</v>
      </c>
      <c r="BN153" s="82" t="s">
        <v>264</v>
      </c>
      <c r="BO153" s="206"/>
      <c r="BP153" s="206"/>
    </row>
    <row r="154" spans="1:68" outlineLevel="1" x14ac:dyDescent="0.25">
      <c r="A154" s="206"/>
      <c r="B154" s="208" t="s">
        <v>154</v>
      </c>
      <c r="C154" s="80"/>
      <c r="D154" s="31">
        <v>5000</v>
      </c>
      <c r="E154" s="45">
        <v>0</v>
      </c>
      <c r="F154" s="45">
        <v>0</v>
      </c>
      <c r="G154" s="45">
        <v>0</v>
      </c>
      <c r="H154" s="45">
        <v>0</v>
      </c>
      <c r="I154" s="31">
        <v>1500</v>
      </c>
      <c r="J154" s="31">
        <v>0</v>
      </c>
      <c r="K154" s="31">
        <v>1500</v>
      </c>
      <c r="L154" s="31">
        <v>0</v>
      </c>
      <c r="M154" s="31">
        <v>2000</v>
      </c>
      <c r="N154" s="31">
        <v>2000</v>
      </c>
      <c r="O154" s="31">
        <v>2000</v>
      </c>
      <c r="P154" s="31">
        <v>0</v>
      </c>
      <c r="Q154" s="31">
        <v>2000</v>
      </c>
      <c r="R154" s="31">
        <v>0</v>
      </c>
      <c r="S154" s="31">
        <v>2000</v>
      </c>
      <c r="T154" s="31">
        <v>0</v>
      </c>
      <c r="U154" s="31">
        <v>2000</v>
      </c>
      <c r="V154" s="31">
        <v>2000</v>
      </c>
      <c r="W154" s="31">
        <v>0</v>
      </c>
      <c r="X154" s="31">
        <v>2000</v>
      </c>
      <c r="Y154" s="31">
        <v>0</v>
      </c>
      <c r="Z154" s="31">
        <v>2000</v>
      </c>
      <c r="AA154" s="31">
        <v>0</v>
      </c>
      <c r="AB154" s="31">
        <v>2000</v>
      </c>
      <c r="AC154" s="31">
        <v>0</v>
      </c>
      <c r="AD154" s="31">
        <v>2000</v>
      </c>
      <c r="AE154" s="31">
        <v>0</v>
      </c>
      <c r="AF154" s="31">
        <v>2000</v>
      </c>
      <c r="AG154" s="31">
        <v>2000</v>
      </c>
      <c r="AH154" s="31">
        <v>0</v>
      </c>
      <c r="AI154" s="31">
        <v>2000</v>
      </c>
      <c r="AJ154" s="31">
        <v>2000</v>
      </c>
      <c r="AK154" s="31">
        <v>0</v>
      </c>
      <c r="AL154" s="31">
        <v>2000</v>
      </c>
      <c r="AM154" s="31">
        <v>0</v>
      </c>
      <c r="AN154" s="31">
        <v>2000</v>
      </c>
      <c r="AO154" s="31">
        <v>2000</v>
      </c>
      <c r="AP154" s="31">
        <v>2000</v>
      </c>
      <c r="AQ154" s="31">
        <v>0</v>
      </c>
      <c r="AR154" s="31">
        <v>2000</v>
      </c>
      <c r="AS154" s="31">
        <v>0</v>
      </c>
      <c r="AT154" s="31">
        <v>2000</v>
      </c>
      <c r="AU154" s="31">
        <v>2000</v>
      </c>
      <c r="AV154" s="31">
        <v>1500</v>
      </c>
      <c r="AW154" s="31">
        <v>1500</v>
      </c>
      <c r="AX154" s="31">
        <v>1500</v>
      </c>
      <c r="AY154" s="31">
        <v>1500</v>
      </c>
      <c r="AZ154" s="31">
        <v>0</v>
      </c>
      <c r="BA154" s="31">
        <v>1500</v>
      </c>
      <c r="BB154" s="31">
        <v>0</v>
      </c>
      <c r="BC154" s="31">
        <v>0</v>
      </c>
      <c r="BD154" s="31">
        <v>0</v>
      </c>
      <c r="BE154" s="206"/>
      <c r="BF154" s="206"/>
      <c r="BG154" s="206"/>
      <c r="BH154" s="206"/>
      <c r="BI154" s="208" t="s">
        <v>154</v>
      </c>
      <c r="BJ154" s="37">
        <v>1</v>
      </c>
      <c r="BK154" s="37">
        <f>BJ154*1.05</f>
        <v>1.05</v>
      </c>
      <c r="BL154" s="37">
        <f>BK154*1.05</f>
        <v>1.1025</v>
      </c>
      <c r="BO154" s="206"/>
      <c r="BP154" s="206"/>
    </row>
    <row r="155" spans="1:68" outlineLevel="1" x14ac:dyDescent="0.25">
      <c r="A155" s="206"/>
      <c r="B155" s="208" t="s">
        <v>155</v>
      </c>
      <c r="C155" s="206"/>
      <c r="D155" s="31">
        <v>3000</v>
      </c>
      <c r="E155" s="45">
        <v>0</v>
      </c>
      <c r="F155" s="45">
        <v>0</v>
      </c>
      <c r="G155" s="45">
        <v>0</v>
      </c>
      <c r="H155" s="45">
        <v>0</v>
      </c>
      <c r="I155" s="31">
        <v>1200</v>
      </c>
      <c r="J155" s="31">
        <v>0</v>
      </c>
      <c r="K155" s="31">
        <v>1200</v>
      </c>
      <c r="L155" s="31">
        <v>0</v>
      </c>
      <c r="M155" s="31">
        <v>1500</v>
      </c>
      <c r="N155" s="31">
        <v>1500</v>
      </c>
      <c r="O155" s="31">
        <v>1500</v>
      </c>
      <c r="P155" s="31">
        <v>0</v>
      </c>
      <c r="Q155" s="31">
        <v>1500</v>
      </c>
      <c r="R155" s="31">
        <v>0</v>
      </c>
      <c r="S155" s="31">
        <v>1500</v>
      </c>
      <c r="T155" s="31">
        <v>0</v>
      </c>
      <c r="U155" s="31">
        <v>1500</v>
      </c>
      <c r="V155" s="31">
        <v>1500</v>
      </c>
      <c r="W155" s="31">
        <v>0</v>
      </c>
      <c r="X155" s="31">
        <v>1500</v>
      </c>
      <c r="Y155" s="31">
        <v>0</v>
      </c>
      <c r="Z155" s="31">
        <v>1500</v>
      </c>
      <c r="AA155" s="31">
        <v>0</v>
      </c>
      <c r="AB155" s="31">
        <v>1500</v>
      </c>
      <c r="AC155" s="31">
        <v>0</v>
      </c>
      <c r="AD155" s="31">
        <v>1500</v>
      </c>
      <c r="AE155" s="31">
        <v>0</v>
      </c>
      <c r="AF155" s="31">
        <v>1500</v>
      </c>
      <c r="AG155" s="31">
        <v>1500</v>
      </c>
      <c r="AH155" s="31">
        <v>0</v>
      </c>
      <c r="AI155" s="31">
        <v>1500</v>
      </c>
      <c r="AJ155" s="31">
        <v>1500</v>
      </c>
      <c r="AK155" s="31">
        <v>0</v>
      </c>
      <c r="AL155" s="31">
        <v>1500</v>
      </c>
      <c r="AM155" s="31">
        <v>0</v>
      </c>
      <c r="AN155" s="31">
        <v>1500</v>
      </c>
      <c r="AO155" s="31">
        <v>1500</v>
      </c>
      <c r="AP155" s="31">
        <v>1500</v>
      </c>
      <c r="AQ155" s="31">
        <v>0</v>
      </c>
      <c r="AR155" s="31">
        <v>2000</v>
      </c>
      <c r="AS155" s="31">
        <v>0</v>
      </c>
      <c r="AT155" s="31">
        <v>2000</v>
      </c>
      <c r="AU155" s="31">
        <v>2000</v>
      </c>
      <c r="AV155" s="31">
        <v>1500</v>
      </c>
      <c r="AW155" s="31">
        <v>1500</v>
      </c>
      <c r="AX155" s="31">
        <v>1500</v>
      </c>
      <c r="AY155" s="31">
        <v>1500</v>
      </c>
      <c r="AZ155" s="31">
        <v>0</v>
      </c>
      <c r="BA155" s="31">
        <v>1000</v>
      </c>
      <c r="BB155" s="31">
        <v>500</v>
      </c>
      <c r="BC155" s="31">
        <v>500</v>
      </c>
      <c r="BD155" s="31">
        <v>500</v>
      </c>
      <c r="BE155" s="206"/>
      <c r="BF155" s="206"/>
      <c r="BG155" s="206"/>
      <c r="BH155" s="206"/>
      <c r="BI155" s="208" t="s">
        <v>155</v>
      </c>
      <c r="BJ155" s="37">
        <v>1</v>
      </c>
      <c r="BK155" s="37">
        <f t="shared" ref="BK155:BL157" si="128">BJ155*1.02</f>
        <v>1.02</v>
      </c>
      <c r="BL155" s="37">
        <f t="shared" si="128"/>
        <v>1.0404</v>
      </c>
      <c r="BO155" s="206"/>
      <c r="BP155" s="206"/>
    </row>
    <row r="156" spans="1:68" outlineLevel="1" x14ac:dyDescent="0.25">
      <c r="A156" s="206"/>
      <c r="B156" s="208" t="s">
        <v>156</v>
      </c>
      <c r="C156" s="206"/>
      <c r="D156" s="31">
        <v>1000</v>
      </c>
      <c r="E156" s="45">
        <v>0</v>
      </c>
      <c r="F156" s="45">
        <v>0</v>
      </c>
      <c r="G156" s="45">
        <v>0</v>
      </c>
      <c r="H156" s="45">
        <v>0</v>
      </c>
      <c r="I156" s="31">
        <v>750</v>
      </c>
      <c r="J156" s="31">
        <v>0</v>
      </c>
      <c r="K156" s="31">
        <v>750</v>
      </c>
      <c r="L156" s="31">
        <v>0</v>
      </c>
      <c r="M156" s="31">
        <v>750</v>
      </c>
      <c r="N156" s="31">
        <v>750</v>
      </c>
      <c r="O156" s="31">
        <v>750</v>
      </c>
      <c r="P156" s="31">
        <v>0</v>
      </c>
      <c r="Q156" s="31">
        <v>750</v>
      </c>
      <c r="R156" s="31">
        <v>0</v>
      </c>
      <c r="S156" s="31">
        <v>750</v>
      </c>
      <c r="T156" s="31">
        <v>0</v>
      </c>
      <c r="U156" s="31">
        <v>750</v>
      </c>
      <c r="V156" s="31">
        <v>750</v>
      </c>
      <c r="W156" s="31">
        <v>0</v>
      </c>
      <c r="X156" s="31">
        <v>750</v>
      </c>
      <c r="Y156" s="31">
        <v>0</v>
      </c>
      <c r="Z156" s="31">
        <v>750</v>
      </c>
      <c r="AA156" s="31">
        <v>0</v>
      </c>
      <c r="AB156" s="31">
        <v>750</v>
      </c>
      <c r="AC156" s="31">
        <v>0</v>
      </c>
      <c r="AD156" s="31">
        <v>750</v>
      </c>
      <c r="AE156" s="31">
        <v>0</v>
      </c>
      <c r="AF156" s="31">
        <v>750</v>
      </c>
      <c r="AG156" s="31">
        <v>750</v>
      </c>
      <c r="AH156" s="31">
        <v>0</v>
      </c>
      <c r="AI156" s="31">
        <v>750</v>
      </c>
      <c r="AJ156" s="31">
        <v>750</v>
      </c>
      <c r="AK156" s="31">
        <v>0</v>
      </c>
      <c r="AL156" s="31">
        <v>750</v>
      </c>
      <c r="AM156" s="31">
        <v>0</v>
      </c>
      <c r="AN156" s="31">
        <v>750</v>
      </c>
      <c r="AO156" s="31">
        <v>750</v>
      </c>
      <c r="AP156" s="31">
        <v>750</v>
      </c>
      <c r="AQ156" s="31">
        <v>0</v>
      </c>
      <c r="AR156" s="31">
        <v>750</v>
      </c>
      <c r="AS156" s="31">
        <v>0</v>
      </c>
      <c r="AT156" s="31">
        <v>750</v>
      </c>
      <c r="AU156" s="31">
        <v>750</v>
      </c>
      <c r="AV156" s="31">
        <v>750</v>
      </c>
      <c r="AW156" s="31">
        <v>750</v>
      </c>
      <c r="AX156" s="31">
        <v>750</v>
      </c>
      <c r="AY156" s="31">
        <v>750</v>
      </c>
      <c r="AZ156" s="31">
        <v>0</v>
      </c>
      <c r="BA156" s="31">
        <v>750</v>
      </c>
      <c r="BB156" s="31">
        <v>750</v>
      </c>
      <c r="BC156" s="31">
        <v>750</v>
      </c>
      <c r="BD156" s="31">
        <v>750</v>
      </c>
      <c r="BE156" s="206"/>
      <c r="BF156" s="206"/>
      <c r="BG156" s="206"/>
      <c r="BH156" s="206"/>
      <c r="BI156" s="208" t="s">
        <v>265</v>
      </c>
      <c r="BJ156" s="37">
        <v>1</v>
      </c>
      <c r="BK156" s="37">
        <f t="shared" si="128"/>
        <v>1.02</v>
      </c>
      <c r="BL156" s="37">
        <f t="shared" si="128"/>
        <v>1.0404</v>
      </c>
      <c r="BO156" s="206"/>
      <c r="BP156" s="206"/>
    </row>
    <row r="157" spans="1:68" outlineLevel="1" x14ac:dyDescent="0.25">
      <c r="A157" s="206"/>
      <c r="B157" s="208" t="s">
        <v>157</v>
      </c>
      <c r="C157" s="206"/>
      <c r="D157" s="31">
        <v>500</v>
      </c>
      <c r="E157" s="45">
        <v>0</v>
      </c>
      <c r="F157" s="45">
        <v>0</v>
      </c>
      <c r="G157" s="45">
        <v>0</v>
      </c>
      <c r="H157" s="45">
        <v>0</v>
      </c>
      <c r="I157" s="31">
        <v>250</v>
      </c>
      <c r="J157" s="31">
        <v>0</v>
      </c>
      <c r="K157" s="31">
        <v>250</v>
      </c>
      <c r="L157" s="31">
        <v>0</v>
      </c>
      <c r="M157" s="31">
        <v>250</v>
      </c>
      <c r="N157" s="31">
        <v>250</v>
      </c>
      <c r="O157" s="31">
        <v>250</v>
      </c>
      <c r="P157" s="31">
        <v>0</v>
      </c>
      <c r="Q157" s="31">
        <v>250</v>
      </c>
      <c r="R157" s="31">
        <v>0</v>
      </c>
      <c r="S157" s="31">
        <v>250</v>
      </c>
      <c r="T157" s="31">
        <v>0</v>
      </c>
      <c r="U157" s="31">
        <v>250</v>
      </c>
      <c r="V157" s="31">
        <v>250</v>
      </c>
      <c r="W157" s="31">
        <v>0</v>
      </c>
      <c r="X157" s="31">
        <v>250</v>
      </c>
      <c r="Y157" s="31">
        <v>0</v>
      </c>
      <c r="Z157" s="31">
        <v>250</v>
      </c>
      <c r="AA157" s="31">
        <v>0</v>
      </c>
      <c r="AB157" s="31">
        <v>250</v>
      </c>
      <c r="AC157" s="31">
        <v>0</v>
      </c>
      <c r="AD157" s="31">
        <v>250</v>
      </c>
      <c r="AE157" s="31">
        <v>0</v>
      </c>
      <c r="AF157" s="31">
        <v>250</v>
      </c>
      <c r="AG157" s="31">
        <v>250</v>
      </c>
      <c r="AH157" s="31">
        <v>0</v>
      </c>
      <c r="AI157" s="31">
        <v>250</v>
      </c>
      <c r="AJ157" s="31">
        <v>250</v>
      </c>
      <c r="AK157" s="31">
        <v>0</v>
      </c>
      <c r="AL157" s="31">
        <v>250</v>
      </c>
      <c r="AM157" s="31">
        <v>0</v>
      </c>
      <c r="AN157" s="31">
        <v>250</v>
      </c>
      <c r="AO157" s="31">
        <v>250</v>
      </c>
      <c r="AP157" s="31">
        <v>250</v>
      </c>
      <c r="AQ157" s="31">
        <v>0</v>
      </c>
      <c r="AR157" s="31">
        <v>250</v>
      </c>
      <c r="AS157" s="31">
        <v>0</v>
      </c>
      <c r="AT157" s="31">
        <v>250</v>
      </c>
      <c r="AU157" s="31">
        <v>250</v>
      </c>
      <c r="AV157" s="31">
        <v>250</v>
      </c>
      <c r="AW157" s="31">
        <v>250</v>
      </c>
      <c r="AX157" s="31">
        <v>250</v>
      </c>
      <c r="AY157" s="31">
        <v>250</v>
      </c>
      <c r="AZ157" s="31">
        <v>0</v>
      </c>
      <c r="BA157" s="31">
        <v>200</v>
      </c>
      <c r="BB157" s="31">
        <v>200</v>
      </c>
      <c r="BC157" s="31">
        <v>200</v>
      </c>
      <c r="BD157" s="31">
        <v>200</v>
      </c>
      <c r="BE157" s="206"/>
      <c r="BF157" s="206"/>
      <c r="BG157" s="206"/>
      <c r="BH157" s="206"/>
      <c r="BI157" s="208" t="s">
        <v>157</v>
      </c>
      <c r="BJ157" s="37">
        <v>1</v>
      </c>
      <c r="BK157" s="37">
        <f t="shared" si="128"/>
        <v>1.02</v>
      </c>
      <c r="BL157" s="37">
        <f t="shared" si="128"/>
        <v>1.0404</v>
      </c>
      <c r="BO157" s="206"/>
      <c r="BP157" s="206"/>
    </row>
    <row r="158" spans="1:68" x14ac:dyDescent="0.25">
      <c r="A158" s="206"/>
      <c r="B158" s="206"/>
      <c r="C158" s="206"/>
      <c r="D158" s="206"/>
      <c r="E158" s="206"/>
      <c r="F158" s="206"/>
      <c r="G158" s="206"/>
      <c r="H158" s="206"/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O158" s="206"/>
      <c r="BP158" s="206"/>
    </row>
    <row r="159" spans="1:68" x14ac:dyDescent="0.25">
      <c r="A159" s="80"/>
      <c r="B159" s="23" t="s">
        <v>158</v>
      </c>
      <c r="C159" s="206"/>
      <c r="D159" s="103" cm="1">
        <f t="array" ref="D159:BD159">_xlfn.BYCOL(_xlfn.VSTACK($D$160:$BD$160,$D$172:$BD$174),_xlfn.LAMBDA(_xlpm.a,SUM(_xlpm.a)))</f>
        <v>349.94</v>
      </c>
      <c r="E159" s="103">
        <v>329.34000000000003</v>
      </c>
      <c r="F159" s="103">
        <v>329.34000000000003</v>
      </c>
      <c r="G159" s="103">
        <v>329.34000000000003</v>
      </c>
      <c r="H159" s="103">
        <v>329.34000000000003</v>
      </c>
      <c r="I159" s="103">
        <v>336.94</v>
      </c>
      <c r="J159" s="103">
        <v>336.94</v>
      </c>
      <c r="K159" s="103">
        <v>336.94</v>
      </c>
      <c r="L159" s="103">
        <v>336.94</v>
      </c>
      <c r="M159" s="103">
        <v>336.94</v>
      </c>
      <c r="N159" s="103">
        <v>336.94</v>
      </c>
      <c r="O159" s="103">
        <v>336.94</v>
      </c>
      <c r="P159" s="103">
        <v>336.94</v>
      </c>
      <c r="Q159" s="103">
        <v>336.94</v>
      </c>
      <c r="R159" s="103">
        <v>336.94</v>
      </c>
      <c r="S159" s="103">
        <v>336.94</v>
      </c>
      <c r="T159" s="103">
        <v>336.94</v>
      </c>
      <c r="U159" s="103">
        <v>336.94</v>
      </c>
      <c r="V159" s="103">
        <v>336.94</v>
      </c>
      <c r="W159" s="103">
        <v>336.94</v>
      </c>
      <c r="X159" s="103">
        <v>336.94</v>
      </c>
      <c r="Y159" s="103">
        <v>336.94</v>
      </c>
      <c r="Z159" s="103">
        <v>336.94</v>
      </c>
      <c r="AA159" s="103">
        <v>336.94</v>
      </c>
      <c r="AB159" s="103">
        <v>336.94</v>
      </c>
      <c r="AC159" s="103">
        <v>336.94</v>
      </c>
      <c r="AD159" s="103">
        <v>336.94</v>
      </c>
      <c r="AE159" s="103">
        <v>336.94</v>
      </c>
      <c r="AF159" s="103">
        <v>336.94</v>
      </c>
      <c r="AG159" s="103">
        <v>336.94</v>
      </c>
      <c r="AH159" s="103">
        <v>336.94</v>
      </c>
      <c r="AI159" s="103">
        <v>336.94</v>
      </c>
      <c r="AJ159" s="103">
        <v>336.94</v>
      </c>
      <c r="AK159" s="103">
        <v>336.94</v>
      </c>
      <c r="AL159" s="103">
        <v>336.94</v>
      </c>
      <c r="AM159" s="103">
        <v>336.94</v>
      </c>
      <c r="AN159" s="103">
        <v>336.94</v>
      </c>
      <c r="AO159" s="103">
        <v>336.94</v>
      </c>
      <c r="AP159" s="103">
        <v>336.94</v>
      </c>
      <c r="AQ159" s="103">
        <v>336.94</v>
      </c>
      <c r="AR159" s="103">
        <v>336.94</v>
      </c>
      <c r="AS159" s="103">
        <v>336.94</v>
      </c>
      <c r="AT159" s="103">
        <v>336.94</v>
      </c>
      <c r="AU159" s="103">
        <v>336.94</v>
      </c>
      <c r="AV159" s="103">
        <v>336.94</v>
      </c>
      <c r="AW159" s="103">
        <v>336.94</v>
      </c>
      <c r="AX159" s="103">
        <v>336.94</v>
      </c>
      <c r="AY159" s="103">
        <v>336.94</v>
      </c>
      <c r="AZ159" s="103">
        <v>336.94</v>
      </c>
      <c r="BA159" s="103">
        <v>336.94</v>
      </c>
      <c r="BB159" s="103">
        <v>336.94</v>
      </c>
      <c r="BC159" s="103">
        <v>336.94</v>
      </c>
      <c r="BD159" s="103">
        <v>336.94</v>
      </c>
      <c r="BE159" s="206"/>
      <c r="BF159" s="206"/>
      <c r="BG159" s="206"/>
      <c r="BH159" s="206"/>
      <c r="BO159" s="206"/>
      <c r="BP159" s="206"/>
    </row>
    <row r="160" spans="1:68" x14ac:dyDescent="0.25">
      <c r="A160" s="206"/>
      <c r="B160" s="1" t="s">
        <v>57</v>
      </c>
      <c r="C160" s="34" t="s">
        <v>159</v>
      </c>
      <c r="D160" s="214">
        <f>SUM(D162:D163)</f>
        <v>84.34</v>
      </c>
      <c r="E160" s="214">
        <f t="shared" ref="E160:T160" si="129">SUM(E162:E163)</f>
        <v>84.34</v>
      </c>
      <c r="F160" s="214">
        <f t="shared" ref="F160:G160" si="130">SUM(F162:F163)</f>
        <v>84.34</v>
      </c>
      <c r="G160" s="214">
        <f t="shared" si="130"/>
        <v>84.34</v>
      </c>
      <c r="H160" s="214">
        <f t="shared" ref="H160" si="131">SUM(H162:H163)</f>
        <v>84.34</v>
      </c>
      <c r="I160" s="214">
        <f t="shared" si="129"/>
        <v>84.34</v>
      </c>
      <c r="J160" s="214">
        <f t="shared" si="129"/>
        <v>84.34</v>
      </c>
      <c r="K160" s="214">
        <f t="shared" si="129"/>
        <v>84.34</v>
      </c>
      <c r="L160" s="214">
        <f t="shared" ref="L160" si="132">SUM(L162:L163)</f>
        <v>84.34</v>
      </c>
      <c r="M160" s="214">
        <f t="shared" si="129"/>
        <v>84.34</v>
      </c>
      <c r="N160" s="214">
        <f t="shared" si="129"/>
        <v>84.34</v>
      </c>
      <c r="O160" s="214">
        <f t="shared" si="129"/>
        <v>84.34</v>
      </c>
      <c r="P160" s="214">
        <f t="shared" si="129"/>
        <v>84.34</v>
      </c>
      <c r="Q160" s="214">
        <f t="shared" si="129"/>
        <v>84.34</v>
      </c>
      <c r="R160" s="214">
        <f t="shared" si="129"/>
        <v>84.34</v>
      </c>
      <c r="S160" s="214">
        <f t="shared" si="129"/>
        <v>84.34</v>
      </c>
      <c r="T160" s="214">
        <f t="shared" si="129"/>
        <v>84.34</v>
      </c>
      <c r="U160" s="214">
        <f t="shared" ref="U160:BD160" si="133">SUM(U162:U163)</f>
        <v>84.34</v>
      </c>
      <c r="V160" s="214">
        <f t="shared" si="133"/>
        <v>84.34</v>
      </c>
      <c r="W160" s="214">
        <f t="shared" si="133"/>
        <v>84.34</v>
      </c>
      <c r="X160" s="214">
        <f t="shared" si="133"/>
        <v>84.34</v>
      </c>
      <c r="Y160" s="214">
        <f t="shared" si="133"/>
        <v>84.34</v>
      </c>
      <c r="Z160" s="214">
        <f t="shared" si="133"/>
        <v>84.34</v>
      </c>
      <c r="AA160" s="214">
        <f t="shared" si="133"/>
        <v>84.34</v>
      </c>
      <c r="AB160" s="214">
        <f t="shared" si="133"/>
        <v>84.34</v>
      </c>
      <c r="AC160" s="214">
        <f t="shared" si="133"/>
        <v>84.34</v>
      </c>
      <c r="AD160" s="214">
        <f t="shared" si="133"/>
        <v>84.34</v>
      </c>
      <c r="AE160" s="214">
        <f t="shared" si="133"/>
        <v>84.34</v>
      </c>
      <c r="AF160" s="214">
        <f t="shared" si="133"/>
        <v>84.34</v>
      </c>
      <c r="AG160" s="214">
        <f t="shared" si="133"/>
        <v>84.34</v>
      </c>
      <c r="AH160" s="214">
        <f t="shared" si="133"/>
        <v>84.34</v>
      </c>
      <c r="AI160" s="214">
        <f t="shared" si="133"/>
        <v>84.34</v>
      </c>
      <c r="AJ160" s="214">
        <f t="shared" si="133"/>
        <v>84.34</v>
      </c>
      <c r="AK160" s="214">
        <f t="shared" si="133"/>
        <v>84.34</v>
      </c>
      <c r="AL160" s="214">
        <f t="shared" si="133"/>
        <v>84.34</v>
      </c>
      <c r="AM160" s="214">
        <f t="shared" si="133"/>
        <v>84.34</v>
      </c>
      <c r="AN160" s="214">
        <f t="shared" si="133"/>
        <v>84.34</v>
      </c>
      <c r="AO160" s="214">
        <f t="shared" si="133"/>
        <v>84.34</v>
      </c>
      <c r="AP160" s="214">
        <f t="shared" si="133"/>
        <v>84.34</v>
      </c>
      <c r="AQ160" s="214">
        <f t="shared" si="133"/>
        <v>84.34</v>
      </c>
      <c r="AR160" s="214">
        <f t="shared" si="133"/>
        <v>84.34</v>
      </c>
      <c r="AS160" s="214">
        <f>SUM(AS162:AS163)</f>
        <v>84.34</v>
      </c>
      <c r="AT160" s="214">
        <f t="shared" si="133"/>
        <v>84.34</v>
      </c>
      <c r="AU160" s="214">
        <f t="shared" si="133"/>
        <v>84.34</v>
      </c>
      <c r="AV160" s="214">
        <f t="shared" si="133"/>
        <v>84.34</v>
      </c>
      <c r="AW160" s="214">
        <f t="shared" si="133"/>
        <v>84.34</v>
      </c>
      <c r="AX160" s="214">
        <f t="shared" si="133"/>
        <v>84.34</v>
      </c>
      <c r="AY160" s="214">
        <f t="shared" si="133"/>
        <v>84.34</v>
      </c>
      <c r="AZ160" s="214">
        <f t="shared" si="133"/>
        <v>84.34</v>
      </c>
      <c r="BA160" s="214">
        <f t="shared" ref="BA160:BB160" si="134">SUM(BA162:BA163)</f>
        <v>84.34</v>
      </c>
      <c r="BB160" s="214">
        <f t="shared" si="134"/>
        <v>84.34</v>
      </c>
      <c r="BC160" s="214">
        <f t="shared" ref="BC160" si="135">SUM(BC162:BC163)</f>
        <v>84.34</v>
      </c>
      <c r="BD160" s="214">
        <f t="shared" si="133"/>
        <v>84.34</v>
      </c>
      <c r="BE160" s="206"/>
      <c r="BF160" s="206"/>
      <c r="BG160" s="206"/>
      <c r="BH160" s="206"/>
      <c r="BI160" s="1" t="s">
        <v>57</v>
      </c>
      <c r="BJ160" s="59" t="s">
        <v>266</v>
      </c>
      <c r="BO160" s="206"/>
      <c r="BP160" s="206"/>
    </row>
    <row r="161" spans="1:68" outlineLevel="1" x14ac:dyDescent="0.25">
      <c r="A161" s="206"/>
      <c r="B161" s="39" t="s">
        <v>160</v>
      </c>
      <c r="C161" s="206" t="s">
        <v>161</v>
      </c>
      <c r="D161" s="31">
        <f>5525+250</f>
        <v>5775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0</v>
      </c>
      <c r="AS161" s="31">
        <v>0</v>
      </c>
      <c r="AT161" s="31">
        <v>0</v>
      </c>
      <c r="AU161" s="31">
        <v>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206"/>
      <c r="BF161" s="206"/>
      <c r="BG161" s="206"/>
      <c r="BH161" s="206"/>
      <c r="BI161" t="s">
        <v>160</v>
      </c>
      <c r="BJ161" s="37">
        <v>1</v>
      </c>
      <c r="BK161" s="37">
        <f>BJ161*1.02</f>
        <v>1.02</v>
      </c>
      <c r="BL161" s="37">
        <f>BK161*1.02</f>
        <v>1.0404</v>
      </c>
      <c r="BO161" s="206"/>
      <c r="BP161" s="206"/>
    </row>
    <row r="162" spans="1:68" outlineLevel="1" x14ac:dyDescent="0.25">
      <c r="A162" s="206"/>
      <c r="B162" s="39" t="s">
        <v>467</v>
      </c>
      <c r="C162" s="206" t="s">
        <v>162</v>
      </c>
      <c r="D162" s="31">
        <f>65.34+6</f>
        <v>71.34</v>
      </c>
      <c r="E162" s="31">
        <f t="shared" ref="E162:BD162" si="136">65.34+6</f>
        <v>71.34</v>
      </c>
      <c r="F162" s="31">
        <f t="shared" si="136"/>
        <v>71.34</v>
      </c>
      <c r="G162" s="31">
        <f t="shared" si="136"/>
        <v>71.34</v>
      </c>
      <c r="H162" s="31">
        <f t="shared" si="136"/>
        <v>71.34</v>
      </c>
      <c r="I162" s="31">
        <f t="shared" si="136"/>
        <v>71.34</v>
      </c>
      <c r="J162" s="31">
        <f t="shared" si="136"/>
        <v>71.34</v>
      </c>
      <c r="K162" s="31">
        <f t="shared" si="136"/>
        <v>71.34</v>
      </c>
      <c r="L162" s="31">
        <f t="shared" si="136"/>
        <v>71.34</v>
      </c>
      <c r="M162" s="31">
        <f t="shared" si="136"/>
        <v>71.34</v>
      </c>
      <c r="N162" s="31">
        <f t="shared" si="136"/>
        <v>71.34</v>
      </c>
      <c r="O162" s="31">
        <f t="shared" si="136"/>
        <v>71.34</v>
      </c>
      <c r="P162" s="31">
        <f t="shared" si="136"/>
        <v>71.34</v>
      </c>
      <c r="Q162" s="31">
        <f t="shared" si="136"/>
        <v>71.34</v>
      </c>
      <c r="R162" s="31">
        <f t="shared" si="136"/>
        <v>71.34</v>
      </c>
      <c r="S162" s="31">
        <f t="shared" si="136"/>
        <v>71.34</v>
      </c>
      <c r="T162" s="31">
        <f t="shared" si="136"/>
        <v>71.34</v>
      </c>
      <c r="U162" s="31">
        <f t="shared" si="136"/>
        <v>71.34</v>
      </c>
      <c r="V162" s="31">
        <f t="shared" si="136"/>
        <v>71.34</v>
      </c>
      <c r="W162" s="31">
        <f t="shared" si="136"/>
        <v>71.34</v>
      </c>
      <c r="X162" s="31">
        <f t="shared" si="136"/>
        <v>71.34</v>
      </c>
      <c r="Y162" s="31">
        <f t="shared" si="136"/>
        <v>71.34</v>
      </c>
      <c r="Z162" s="31">
        <f t="shared" si="136"/>
        <v>71.34</v>
      </c>
      <c r="AA162" s="31">
        <f t="shared" si="136"/>
        <v>71.34</v>
      </c>
      <c r="AB162" s="31">
        <f t="shared" si="136"/>
        <v>71.34</v>
      </c>
      <c r="AC162" s="31">
        <f t="shared" si="136"/>
        <v>71.34</v>
      </c>
      <c r="AD162" s="31">
        <f t="shared" si="136"/>
        <v>71.34</v>
      </c>
      <c r="AE162" s="31">
        <f t="shared" si="136"/>
        <v>71.34</v>
      </c>
      <c r="AF162" s="31">
        <f t="shared" si="136"/>
        <v>71.34</v>
      </c>
      <c r="AG162" s="31">
        <f t="shared" si="136"/>
        <v>71.34</v>
      </c>
      <c r="AH162" s="31">
        <f t="shared" si="136"/>
        <v>71.34</v>
      </c>
      <c r="AI162" s="31">
        <f t="shared" si="136"/>
        <v>71.34</v>
      </c>
      <c r="AJ162" s="31">
        <f t="shared" si="136"/>
        <v>71.34</v>
      </c>
      <c r="AK162" s="31">
        <f t="shared" si="136"/>
        <v>71.34</v>
      </c>
      <c r="AL162" s="31">
        <f t="shared" si="136"/>
        <v>71.34</v>
      </c>
      <c r="AM162" s="31">
        <f t="shared" si="136"/>
        <v>71.34</v>
      </c>
      <c r="AN162" s="31">
        <f t="shared" si="136"/>
        <v>71.34</v>
      </c>
      <c r="AO162" s="31">
        <f t="shared" si="136"/>
        <v>71.34</v>
      </c>
      <c r="AP162" s="31">
        <f t="shared" si="136"/>
        <v>71.34</v>
      </c>
      <c r="AQ162" s="31">
        <f t="shared" si="136"/>
        <v>71.34</v>
      </c>
      <c r="AR162" s="31">
        <f t="shared" si="136"/>
        <v>71.34</v>
      </c>
      <c r="AS162" s="31">
        <f>65.34+6</f>
        <v>71.34</v>
      </c>
      <c r="AT162" s="31">
        <f t="shared" si="136"/>
        <v>71.34</v>
      </c>
      <c r="AU162" s="31">
        <f t="shared" si="136"/>
        <v>71.34</v>
      </c>
      <c r="AV162" s="31">
        <f t="shared" si="136"/>
        <v>71.34</v>
      </c>
      <c r="AW162" s="31">
        <f t="shared" si="136"/>
        <v>71.34</v>
      </c>
      <c r="AX162" s="31">
        <f t="shared" si="136"/>
        <v>71.34</v>
      </c>
      <c r="AY162" s="31">
        <f t="shared" si="136"/>
        <v>71.34</v>
      </c>
      <c r="AZ162" s="31">
        <f t="shared" si="136"/>
        <v>71.34</v>
      </c>
      <c r="BA162" s="31">
        <f t="shared" si="136"/>
        <v>71.34</v>
      </c>
      <c r="BB162" s="31">
        <f t="shared" si="136"/>
        <v>71.34</v>
      </c>
      <c r="BC162" s="31">
        <f t="shared" si="136"/>
        <v>71.34</v>
      </c>
      <c r="BD162" s="31">
        <f t="shared" si="136"/>
        <v>71.34</v>
      </c>
      <c r="BE162" s="206"/>
      <c r="BF162" s="206"/>
      <c r="BG162" s="206"/>
      <c r="BH162" s="206"/>
      <c r="BI162" t="s">
        <v>467</v>
      </c>
      <c r="BJ162" s="37">
        <v>1</v>
      </c>
      <c r="BK162" s="37">
        <f>60/65</f>
        <v>0.92307692307692313</v>
      </c>
      <c r="BL162" s="37">
        <f>55/65</f>
        <v>0.84615384615384615</v>
      </c>
      <c r="BN162" s="97" t="s">
        <v>267</v>
      </c>
      <c r="BO162" s="206"/>
      <c r="BP162" s="206"/>
    </row>
    <row r="163" spans="1:68" outlineLevel="1" x14ac:dyDescent="0.25">
      <c r="A163" s="206"/>
      <c r="B163" s="39" t="s">
        <v>163</v>
      </c>
      <c r="C163" s="206" t="s">
        <v>162</v>
      </c>
      <c r="D163" s="31">
        <v>13</v>
      </c>
      <c r="E163" s="31">
        <v>13</v>
      </c>
      <c r="F163" s="31">
        <v>13</v>
      </c>
      <c r="G163" s="31">
        <v>13</v>
      </c>
      <c r="H163" s="31">
        <v>13</v>
      </c>
      <c r="I163" s="31">
        <v>13</v>
      </c>
      <c r="J163" s="31">
        <v>13</v>
      </c>
      <c r="K163" s="31">
        <v>13</v>
      </c>
      <c r="L163" s="31">
        <v>13</v>
      </c>
      <c r="M163" s="31">
        <v>13</v>
      </c>
      <c r="N163" s="31">
        <v>13</v>
      </c>
      <c r="O163" s="31">
        <v>13</v>
      </c>
      <c r="P163" s="31">
        <v>13</v>
      </c>
      <c r="Q163" s="31">
        <v>13</v>
      </c>
      <c r="R163" s="31">
        <v>13</v>
      </c>
      <c r="S163" s="31">
        <v>13</v>
      </c>
      <c r="T163" s="31">
        <v>13</v>
      </c>
      <c r="U163" s="31">
        <v>13</v>
      </c>
      <c r="V163" s="31">
        <v>13</v>
      </c>
      <c r="W163" s="31">
        <v>13</v>
      </c>
      <c r="X163" s="31">
        <v>13</v>
      </c>
      <c r="Y163" s="31">
        <v>13</v>
      </c>
      <c r="Z163" s="31">
        <v>13</v>
      </c>
      <c r="AA163" s="31">
        <v>13</v>
      </c>
      <c r="AB163" s="31">
        <v>13</v>
      </c>
      <c r="AC163" s="31">
        <v>13</v>
      </c>
      <c r="AD163" s="31">
        <v>13</v>
      </c>
      <c r="AE163" s="31">
        <v>13</v>
      </c>
      <c r="AF163" s="31">
        <v>13</v>
      </c>
      <c r="AG163" s="31">
        <v>13</v>
      </c>
      <c r="AH163" s="31">
        <v>13</v>
      </c>
      <c r="AI163" s="31">
        <v>13</v>
      </c>
      <c r="AJ163" s="31">
        <v>13</v>
      </c>
      <c r="AK163" s="31">
        <v>13</v>
      </c>
      <c r="AL163" s="31">
        <v>13</v>
      </c>
      <c r="AM163" s="31">
        <v>13</v>
      </c>
      <c r="AN163" s="31">
        <v>13</v>
      </c>
      <c r="AO163" s="31">
        <v>13</v>
      </c>
      <c r="AP163" s="31">
        <v>13</v>
      </c>
      <c r="AQ163" s="31">
        <v>13</v>
      </c>
      <c r="AR163" s="31">
        <v>13</v>
      </c>
      <c r="AS163" s="31">
        <v>13</v>
      </c>
      <c r="AT163" s="31">
        <v>13</v>
      </c>
      <c r="AU163" s="31">
        <v>13</v>
      </c>
      <c r="AV163" s="31">
        <v>13</v>
      </c>
      <c r="AW163" s="31">
        <v>13</v>
      </c>
      <c r="AX163" s="31">
        <v>13</v>
      </c>
      <c r="AY163" s="31">
        <v>13</v>
      </c>
      <c r="AZ163" s="31">
        <v>13</v>
      </c>
      <c r="BA163" s="31">
        <v>13</v>
      </c>
      <c r="BB163" s="31">
        <v>13</v>
      </c>
      <c r="BC163" s="31">
        <v>13</v>
      </c>
      <c r="BD163" s="31">
        <v>13</v>
      </c>
      <c r="BE163" s="206"/>
      <c r="BF163" s="206"/>
      <c r="BG163" s="206"/>
      <c r="BH163" s="206"/>
      <c r="BI163" t="s">
        <v>163</v>
      </c>
      <c r="BJ163" s="37">
        <v>1</v>
      </c>
      <c r="BK163" s="37">
        <f>BJ163*1.02</f>
        <v>1.02</v>
      </c>
      <c r="BL163" s="37">
        <f>BK163*1.02</f>
        <v>1.0404</v>
      </c>
      <c r="BN163" s="97"/>
      <c r="BO163" s="206"/>
      <c r="BP163" s="206"/>
    </row>
    <row r="164" spans="1:68" outlineLevel="1" x14ac:dyDescent="0.25">
      <c r="A164" s="206"/>
      <c r="B164" s="39" t="s">
        <v>164</v>
      </c>
      <c r="C164" s="206" t="s">
        <v>165</v>
      </c>
      <c r="D164" s="31">
        <v>75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0</v>
      </c>
      <c r="Z164" s="31">
        <v>0</v>
      </c>
      <c r="AA164" s="31">
        <v>0</v>
      </c>
      <c r="AB164" s="31">
        <v>0</v>
      </c>
      <c r="AC164" s="31">
        <v>0</v>
      </c>
      <c r="AD164" s="31">
        <v>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31">
        <v>0</v>
      </c>
      <c r="AK164" s="31">
        <v>0</v>
      </c>
      <c r="AL164" s="31">
        <v>0</v>
      </c>
      <c r="AM164" s="31">
        <v>0</v>
      </c>
      <c r="AN164" s="31">
        <v>0</v>
      </c>
      <c r="AO164" s="31">
        <v>0</v>
      </c>
      <c r="AP164" s="31">
        <v>0</v>
      </c>
      <c r="AQ164" s="31">
        <v>0</v>
      </c>
      <c r="AR164" s="31">
        <v>0</v>
      </c>
      <c r="AS164" s="31">
        <v>0</v>
      </c>
      <c r="AT164" s="31">
        <v>0</v>
      </c>
      <c r="AU164" s="31">
        <v>0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206"/>
      <c r="BF164" s="206"/>
      <c r="BG164" s="206"/>
      <c r="BH164" s="206"/>
      <c r="BI164" t="s">
        <v>268</v>
      </c>
      <c r="BJ164" s="37">
        <v>1</v>
      </c>
      <c r="BK164" s="37">
        <f>BJ164*1.02</f>
        <v>1.02</v>
      </c>
      <c r="BL164" s="37">
        <f>BK164*1.02</f>
        <v>1.0404</v>
      </c>
      <c r="BO164" s="206"/>
      <c r="BP164" s="206"/>
    </row>
    <row r="165" spans="1:68" x14ac:dyDescent="0.25">
      <c r="A165" s="206"/>
      <c r="B165" s="34"/>
      <c r="C165" s="206"/>
      <c r="D165" s="80" t="s">
        <v>166</v>
      </c>
      <c r="E165" s="206"/>
      <c r="F165" s="206"/>
      <c r="G165" s="206"/>
      <c r="H165" s="20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  <c r="AB165" s="206"/>
      <c r="AC165" s="206"/>
      <c r="AD165" s="206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6"/>
      <c r="AV165" s="206"/>
      <c r="AW165" s="206"/>
      <c r="AX165" s="206"/>
      <c r="AY165" s="206"/>
      <c r="AZ165" s="206"/>
      <c r="BA165" s="206"/>
      <c r="BB165" s="206"/>
      <c r="BC165" s="206"/>
      <c r="BD165" s="206"/>
      <c r="BE165" s="206"/>
      <c r="BF165" s="206"/>
      <c r="BG165" s="206"/>
      <c r="BH165" s="206"/>
      <c r="BO165" s="206"/>
      <c r="BP165" s="206"/>
    </row>
    <row r="166" spans="1:68" x14ac:dyDescent="0.25">
      <c r="A166" s="206"/>
      <c r="B166" s="34" t="s">
        <v>167</v>
      </c>
      <c r="C166" s="34" t="s">
        <v>159</v>
      </c>
      <c r="D166" s="216">
        <f>SUM(D172:D173)</f>
        <v>42.6</v>
      </c>
      <c r="E166" s="216">
        <f t="shared" ref="E166:BD166" si="137">SUM(E172:E173)</f>
        <v>50</v>
      </c>
      <c r="F166" s="216">
        <f t="shared" si="137"/>
        <v>50</v>
      </c>
      <c r="G166" s="216">
        <f t="shared" si="137"/>
        <v>50</v>
      </c>
      <c r="H166" s="216">
        <f t="shared" si="137"/>
        <v>50</v>
      </c>
      <c r="I166" s="216">
        <f t="shared" si="137"/>
        <v>57.6</v>
      </c>
      <c r="J166" s="216">
        <f t="shared" si="137"/>
        <v>57.6</v>
      </c>
      <c r="K166" s="216">
        <f t="shared" si="137"/>
        <v>57.6</v>
      </c>
      <c r="L166" s="216">
        <f t="shared" ref="L166" si="138">SUM(L172:L173)</f>
        <v>57.6</v>
      </c>
      <c r="M166" s="216">
        <f t="shared" si="137"/>
        <v>57.6</v>
      </c>
      <c r="N166" s="216">
        <f t="shared" si="137"/>
        <v>57.6</v>
      </c>
      <c r="O166" s="216">
        <f t="shared" si="137"/>
        <v>57.6</v>
      </c>
      <c r="P166" s="216">
        <f t="shared" si="137"/>
        <v>57.6</v>
      </c>
      <c r="Q166" s="216">
        <f t="shared" si="137"/>
        <v>57.6</v>
      </c>
      <c r="R166" s="216">
        <f t="shared" si="137"/>
        <v>57.6</v>
      </c>
      <c r="S166" s="216">
        <f t="shared" si="137"/>
        <v>57.6</v>
      </c>
      <c r="T166" s="216">
        <f t="shared" si="137"/>
        <v>57.6</v>
      </c>
      <c r="U166" s="216">
        <f t="shared" si="137"/>
        <v>57.6</v>
      </c>
      <c r="V166" s="216">
        <f t="shared" si="137"/>
        <v>57.6</v>
      </c>
      <c r="W166" s="216">
        <f t="shared" si="137"/>
        <v>57.6</v>
      </c>
      <c r="X166" s="216">
        <f t="shared" si="137"/>
        <v>57.6</v>
      </c>
      <c r="Y166" s="216">
        <f t="shared" si="137"/>
        <v>57.6</v>
      </c>
      <c r="Z166" s="216">
        <f t="shared" si="137"/>
        <v>57.6</v>
      </c>
      <c r="AA166" s="216">
        <f t="shared" si="137"/>
        <v>57.6</v>
      </c>
      <c r="AB166" s="216">
        <f t="shared" si="137"/>
        <v>57.6</v>
      </c>
      <c r="AC166" s="216">
        <f t="shared" si="137"/>
        <v>57.6</v>
      </c>
      <c r="AD166" s="216">
        <f t="shared" si="137"/>
        <v>57.6</v>
      </c>
      <c r="AE166" s="216">
        <f t="shared" si="137"/>
        <v>57.6</v>
      </c>
      <c r="AF166" s="216">
        <f t="shared" si="137"/>
        <v>57.6</v>
      </c>
      <c r="AG166" s="216">
        <f t="shared" si="137"/>
        <v>57.6</v>
      </c>
      <c r="AH166" s="216">
        <f t="shared" si="137"/>
        <v>57.6</v>
      </c>
      <c r="AI166" s="216">
        <f t="shared" si="137"/>
        <v>57.6</v>
      </c>
      <c r="AJ166" s="216">
        <f t="shared" si="137"/>
        <v>57.6</v>
      </c>
      <c r="AK166" s="216">
        <f t="shared" si="137"/>
        <v>57.6</v>
      </c>
      <c r="AL166" s="216">
        <f t="shared" si="137"/>
        <v>57.6</v>
      </c>
      <c r="AM166" s="216">
        <f t="shared" si="137"/>
        <v>57.6</v>
      </c>
      <c r="AN166" s="216">
        <f t="shared" si="137"/>
        <v>57.6</v>
      </c>
      <c r="AO166" s="216">
        <f t="shared" si="137"/>
        <v>57.6</v>
      </c>
      <c r="AP166" s="216">
        <f t="shared" si="137"/>
        <v>57.6</v>
      </c>
      <c r="AQ166" s="216">
        <f t="shared" si="137"/>
        <v>57.6</v>
      </c>
      <c r="AR166" s="216">
        <f t="shared" si="137"/>
        <v>57.6</v>
      </c>
      <c r="AS166" s="216">
        <f>SUM(AS172:AS173)</f>
        <v>57.6</v>
      </c>
      <c r="AT166" s="216">
        <f t="shared" si="137"/>
        <v>57.6</v>
      </c>
      <c r="AU166" s="216">
        <f t="shared" si="137"/>
        <v>57.6</v>
      </c>
      <c r="AV166" s="216">
        <f t="shared" si="137"/>
        <v>57.6</v>
      </c>
      <c r="AW166" s="216">
        <f t="shared" si="137"/>
        <v>57.6</v>
      </c>
      <c r="AX166" s="216">
        <f t="shared" si="137"/>
        <v>57.6</v>
      </c>
      <c r="AY166" s="216">
        <f t="shared" si="137"/>
        <v>57.6</v>
      </c>
      <c r="AZ166" s="216">
        <f t="shared" si="137"/>
        <v>57.6</v>
      </c>
      <c r="BA166" s="216">
        <f t="shared" ref="BA166:BB166" si="139">SUM(BA172:BA173)</f>
        <v>57.6</v>
      </c>
      <c r="BB166" s="216">
        <f t="shared" si="139"/>
        <v>57.6</v>
      </c>
      <c r="BC166" s="216">
        <f t="shared" ref="BC166" si="140">SUM(BC172:BC173)</f>
        <v>57.6</v>
      </c>
      <c r="BD166" s="216">
        <f t="shared" si="137"/>
        <v>57.6</v>
      </c>
      <c r="BE166" s="206"/>
      <c r="BF166" s="206"/>
      <c r="BG166" s="206"/>
      <c r="BH166" s="206"/>
      <c r="BO166" s="206"/>
      <c r="BP166" s="206"/>
    </row>
    <row r="167" spans="1:68" outlineLevel="1" x14ac:dyDescent="0.25">
      <c r="A167" s="206"/>
      <c r="B167" s="208" t="s">
        <v>168</v>
      </c>
      <c r="C167" s="206" t="s">
        <v>161</v>
      </c>
      <c r="D167" s="31">
        <v>7155.6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31">
        <v>0</v>
      </c>
      <c r="AK167" s="31">
        <v>0</v>
      </c>
      <c r="AL167" s="31">
        <v>0</v>
      </c>
      <c r="AM167" s="31">
        <v>0</v>
      </c>
      <c r="AN167" s="31">
        <v>0</v>
      </c>
      <c r="AO167" s="31">
        <v>0</v>
      </c>
      <c r="AP167" s="31">
        <v>0</v>
      </c>
      <c r="AQ167" s="31">
        <v>0</v>
      </c>
      <c r="AR167" s="31">
        <v>0</v>
      </c>
      <c r="AS167" s="31">
        <v>0</v>
      </c>
      <c r="AT167" s="31">
        <v>0</v>
      </c>
      <c r="AU167" s="31">
        <v>0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206"/>
      <c r="BF167" s="206"/>
      <c r="BG167" s="206"/>
      <c r="BH167" s="206"/>
      <c r="BO167" s="206"/>
      <c r="BP167" s="206"/>
    </row>
    <row r="168" spans="1:68" outlineLevel="1" x14ac:dyDescent="0.25">
      <c r="A168" s="206"/>
      <c r="B168" s="208" t="s">
        <v>169</v>
      </c>
      <c r="C168" s="206" t="s">
        <v>170</v>
      </c>
      <c r="D168" s="31">
        <f>36180/30/12</f>
        <v>100.5</v>
      </c>
      <c r="E168" s="31">
        <f t="shared" ref="E168:BD168" si="141">36180/30/12</f>
        <v>100.5</v>
      </c>
      <c r="F168" s="31">
        <f t="shared" si="141"/>
        <v>100.5</v>
      </c>
      <c r="G168" s="31">
        <f t="shared" si="141"/>
        <v>100.5</v>
      </c>
      <c r="H168" s="31">
        <f t="shared" si="141"/>
        <v>100.5</v>
      </c>
      <c r="I168" s="31">
        <f t="shared" si="141"/>
        <v>100.5</v>
      </c>
      <c r="J168" s="31">
        <f t="shared" si="141"/>
        <v>100.5</v>
      </c>
      <c r="K168" s="31">
        <f t="shared" si="141"/>
        <v>100.5</v>
      </c>
      <c r="L168" s="31">
        <f t="shared" si="141"/>
        <v>100.5</v>
      </c>
      <c r="M168" s="31">
        <f t="shared" si="141"/>
        <v>100.5</v>
      </c>
      <c r="N168" s="31">
        <f t="shared" si="141"/>
        <v>100.5</v>
      </c>
      <c r="O168" s="31">
        <f t="shared" si="141"/>
        <v>100.5</v>
      </c>
      <c r="P168" s="31">
        <f t="shared" si="141"/>
        <v>100.5</v>
      </c>
      <c r="Q168" s="31">
        <f t="shared" si="141"/>
        <v>100.5</v>
      </c>
      <c r="R168" s="31">
        <f t="shared" si="141"/>
        <v>100.5</v>
      </c>
      <c r="S168" s="31">
        <f t="shared" si="141"/>
        <v>100.5</v>
      </c>
      <c r="T168" s="31">
        <f t="shared" si="141"/>
        <v>100.5</v>
      </c>
      <c r="U168" s="31">
        <f t="shared" si="141"/>
        <v>100.5</v>
      </c>
      <c r="V168" s="31">
        <f t="shared" si="141"/>
        <v>100.5</v>
      </c>
      <c r="W168" s="31">
        <f t="shared" si="141"/>
        <v>100.5</v>
      </c>
      <c r="X168" s="31">
        <f t="shared" si="141"/>
        <v>100.5</v>
      </c>
      <c r="Y168" s="31">
        <f t="shared" si="141"/>
        <v>100.5</v>
      </c>
      <c r="Z168" s="31">
        <f t="shared" si="141"/>
        <v>100.5</v>
      </c>
      <c r="AA168" s="31">
        <f t="shared" si="141"/>
        <v>100.5</v>
      </c>
      <c r="AB168" s="31">
        <f t="shared" si="141"/>
        <v>100.5</v>
      </c>
      <c r="AC168" s="31">
        <f t="shared" si="141"/>
        <v>100.5</v>
      </c>
      <c r="AD168" s="31">
        <f t="shared" si="141"/>
        <v>100.5</v>
      </c>
      <c r="AE168" s="31">
        <f t="shared" si="141"/>
        <v>100.5</v>
      </c>
      <c r="AF168" s="31">
        <f t="shared" si="141"/>
        <v>100.5</v>
      </c>
      <c r="AG168" s="31">
        <f t="shared" si="141"/>
        <v>100.5</v>
      </c>
      <c r="AH168" s="31">
        <f t="shared" si="141"/>
        <v>100.5</v>
      </c>
      <c r="AI168" s="31">
        <f t="shared" si="141"/>
        <v>100.5</v>
      </c>
      <c r="AJ168" s="31">
        <f t="shared" si="141"/>
        <v>100.5</v>
      </c>
      <c r="AK168" s="31">
        <f t="shared" si="141"/>
        <v>100.5</v>
      </c>
      <c r="AL168" s="31">
        <f t="shared" si="141"/>
        <v>100.5</v>
      </c>
      <c r="AM168" s="31">
        <f t="shared" si="141"/>
        <v>100.5</v>
      </c>
      <c r="AN168" s="31">
        <f t="shared" si="141"/>
        <v>100.5</v>
      </c>
      <c r="AO168" s="31">
        <f t="shared" si="141"/>
        <v>100.5</v>
      </c>
      <c r="AP168" s="31">
        <f t="shared" si="141"/>
        <v>100.5</v>
      </c>
      <c r="AQ168" s="31">
        <f t="shared" si="141"/>
        <v>100.5</v>
      </c>
      <c r="AR168" s="31">
        <f t="shared" si="141"/>
        <v>100.5</v>
      </c>
      <c r="AS168" s="31">
        <f>36180/30/12</f>
        <v>100.5</v>
      </c>
      <c r="AT168" s="31">
        <f t="shared" si="141"/>
        <v>100.5</v>
      </c>
      <c r="AU168" s="31">
        <f t="shared" si="141"/>
        <v>100.5</v>
      </c>
      <c r="AV168" s="31">
        <f t="shared" si="141"/>
        <v>100.5</v>
      </c>
      <c r="AW168" s="31">
        <f t="shared" si="141"/>
        <v>100.5</v>
      </c>
      <c r="AX168" s="31">
        <f t="shared" si="141"/>
        <v>100.5</v>
      </c>
      <c r="AY168" s="31">
        <f t="shared" si="141"/>
        <v>100.5</v>
      </c>
      <c r="AZ168" s="31">
        <f t="shared" si="141"/>
        <v>100.5</v>
      </c>
      <c r="BA168" s="31">
        <f t="shared" si="141"/>
        <v>100.5</v>
      </c>
      <c r="BB168" s="31">
        <f t="shared" si="141"/>
        <v>100.5</v>
      </c>
      <c r="BC168" s="31">
        <f t="shared" si="141"/>
        <v>100.5</v>
      </c>
      <c r="BD168" s="31">
        <f t="shared" si="141"/>
        <v>100.5</v>
      </c>
      <c r="BE168" s="206"/>
      <c r="BF168" s="206"/>
      <c r="BG168" s="206"/>
      <c r="BH168" s="206"/>
      <c r="BO168" s="206"/>
      <c r="BP168" s="206"/>
    </row>
    <row r="169" spans="1:68" outlineLevel="1" x14ac:dyDescent="0.25">
      <c r="A169" s="206"/>
      <c r="B169" s="43" t="s">
        <v>171</v>
      </c>
      <c r="C169" s="206"/>
      <c r="D169" s="30">
        <v>30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206"/>
      <c r="BF169" s="206"/>
      <c r="BG169" s="206"/>
      <c r="BH169" s="206"/>
      <c r="BO169" s="206"/>
      <c r="BP169" s="206"/>
    </row>
    <row r="170" spans="1:68" outlineLevel="1" x14ac:dyDescent="0.25">
      <c r="A170" s="206"/>
      <c r="B170" s="208" t="s">
        <v>172</v>
      </c>
      <c r="C170" s="206" t="s">
        <v>173</v>
      </c>
      <c r="D170" s="31">
        <f>900/12</f>
        <v>75</v>
      </c>
      <c r="E170" s="31">
        <f t="shared" ref="E170:BD170" si="142">900/12</f>
        <v>75</v>
      </c>
      <c r="F170" s="31">
        <f t="shared" si="142"/>
        <v>75</v>
      </c>
      <c r="G170" s="31">
        <f t="shared" si="142"/>
        <v>75</v>
      </c>
      <c r="H170" s="31">
        <f t="shared" si="142"/>
        <v>75</v>
      </c>
      <c r="I170" s="31">
        <f t="shared" si="142"/>
        <v>75</v>
      </c>
      <c r="J170" s="31">
        <f t="shared" si="142"/>
        <v>75</v>
      </c>
      <c r="K170" s="31">
        <f t="shared" si="142"/>
        <v>75</v>
      </c>
      <c r="L170" s="31">
        <f t="shared" si="142"/>
        <v>75</v>
      </c>
      <c r="M170" s="31">
        <f t="shared" si="142"/>
        <v>75</v>
      </c>
      <c r="N170" s="31">
        <f t="shared" si="142"/>
        <v>75</v>
      </c>
      <c r="O170" s="31">
        <f t="shared" si="142"/>
        <v>75</v>
      </c>
      <c r="P170" s="31">
        <f t="shared" si="142"/>
        <v>75</v>
      </c>
      <c r="Q170" s="31">
        <f t="shared" si="142"/>
        <v>75</v>
      </c>
      <c r="R170" s="31">
        <f t="shared" si="142"/>
        <v>75</v>
      </c>
      <c r="S170" s="31">
        <f t="shared" si="142"/>
        <v>75</v>
      </c>
      <c r="T170" s="31">
        <f t="shared" si="142"/>
        <v>75</v>
      </c>
      <c r="U170" s="31">
        <f t="shared" si="142"/>
        <v>75</v>
      </c>
      <c r="V170" s="31">
        <f t="shared" si="142"/>
        <v>75</v>
      </c>
      <c r="W170" s="31">
        <f t="shared" si="142"/>
        <v>75</v>
      </c>
      <c r="X170" s="31">
        <f t="shared" si="142"/>
        <v>75</v>
      </c>
      <c r="Y170" s="31">
        <f t="shared" si="142"/>
        <v>75</v>
      </c>
      <c r="Z170" s="31">
        <f t="shared" si="142"/>
        <v>75</v>
      </c>
      <c r="AA170" s="31">
        <f t="shared" si="142"/>
        <v>75</v>
      </c>
      <c r="AB170" s="31">
        <f t="shared" si="142"/>
        <v>75</v>
      </c>
      <c r="AC170" s="31">
        <f t="shared" si="142"/>
        <v>75</v>
      </c>
      <c r="AD170" s="31">
        <f t="shared" si="142"/>
        <v>75</v>
      </c>
      <c r="AE170" s="31">
        <f t="shared" si="142"/>
        <v>75</v>
      </c>
      <c r="AF170" s="31">
        <f t="shared" si="142"/>
        <v>75</v>
      </c>
      <c r="AG170" s="31">
        <f t="shared" si="142"/>
        <v>75</v>
      </c>
      <c r="AH170" s="31">
        <f t="shared" si="142"/>
        <v>75</v>
      </c>
      <c r="AI170" s="31">
        <f t="shared" si="142"/>
        <v>75</v>
      </c>
      <c r="AJ170" s="31">
        <f t="shared" si="142"/>
        <v>75</v>
      </c>
      <c r="AK170" s="31">
        <f t="shared" si="142"/>
        <v>75</v>
      </c>
      <c r="AL170" s="31">
        <f t="shared" si="142"/>
        <v>75</v>
      </c>
      <c r="AM170" s="31">
        <f t="shared" si="142"/>
        <v>75</v>
      </c>
      <c r="AN170" s="31">
        <f t="shared" si="142"/>
        <v>75</v>
      </c>
      <c r="AO170" s="31">
        <f t="shared" si="142"/>
        <v>75</v>
      </c>
      <c r="AP170" s="31">
        <f t="shared" si="142"/>
        <v>75</v>
      </c>
      <c r="AQ170" s="31">
        <f t="shared" si="142"/>
        <v>75</v>
      </c>
      <c r="AR170" s="31">
        <f t="shared" si="142"/>
        <v>75</v>
      </c>
      <c r="AS170" s="31">
        <f>900/12</f>
        <v>75</v>
      </c>
      <c r="AT170" s="31">
        <f t="shared" si="142"/>
        <v>75</v>
      </c>
      <c r="AU170" s="31">
        <f t="shared" si="142"/>
        <v>75</v>
      </c>
      <c r="AV170" s="31">
        <f t="shared" si="142"/>
        <v>75</v>
      </c>
      <c r="AW170" s="31">
        <f t="shared" si="142"/>
        <v>75</v>
      </c>
      <c r="AX170" s="31">
        <f t="shared" si="142"/>
        <v>75</v>
      </c>
      <c r="AY170" s="31">
        <f t="shared" si="142"/>
        <v>75</v>
      </c>
      <c r="AZ170" s="31">
        <f t="shared" si="142"/>
        <v>75</v>
      </c>
      <c r="BA170" s="31">
        <f t="shared" si="142"/>
        <v>75</v>
      </c>
      <c r="BB170" s="31">
        <f t="shared" si="142"/>
        <v>75</v>
      </c>
      <c r="BC170" s="31">
        <f t="shared" si="142"/>
        <v>75</v>
      </c>
      <c r="BD170" s="31">
        <f t="shared" si="142"/>
        <v>75</v>
      </c>
      <c r="BE170" s="206"/>
      <c r="BF170" s="206"/>
      <c r="BG170" s="206"/>
      <c r="BH170" s="206"/>
      <c r="BO170" s="206"/>
      <c r="BP170" s="206"/>
    </row>
    <row r="171" spans="1:68" outlineLevel="1" x14ac:dyDescent="0.25">
      <c r="A171" s="206"/>
      <c r="B171" s="43" t="s">
        <v>171</v>
      </c>
      <c r="C171" s="206"/>
      <c r="D171" s="30">
        <v>2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206"/>
      <c r="BF171" s="206"/>
      <c r="BG171" s="206"/>
      <c r="BH171" s="206"/>
      <c r="BO171" s="206"/>
      <c r="BP171" s="206"/>
    </row>
    <row r="172" spans="1:68" x14ac:dyDescent="0.25">
      <c r="A172" s="206"/>
      <c r="B172" s="34" t="s">
        <v>58</v>
      </c>
      <c r="C172" s="206" t="s">
        <v>162</v>
      </c>
      <c r="D172" s="44">
        <v>7.6</v>
      </c>
      <c r="E172" s="44">
        <v>0</v>
      </c>
      <c r="F172" s="44">
        <v>0</v>
      </c>
      <c r="G172" s="44">
        <v>0</v>
      </c>
      <c r="H172" s="44">
        <v>0</v>
      </c>
      <c r="I172" s="44">
        <v>7.6</v>
      </c>
      <c r="J172" s="44">
        <v>7.6</v>
      </c>
      <c r="K172" s="44">
        <v>7.6</v>
      </c>
      <c r="L172" s="44">
        <v>7.6</v>
      </c>
      <c r="M172" s="44">
        <v>7.6</v>
      </c>
      <c r="N172" s="44">
        <v>7.6</v>
      </c>
      <c r="O172" s="44">
        <v>7.6</v>
      </c>
      <c r="P172" s="44">
        <v>7.6</v>
      </c>
      <c r="Q172" s="44">
        <v>7.6</v>
      </c>
      <c r="R172" s="44">
        <v>7.6</v>
      </c>
      <c r="S172" s="44">
        <v>7.6</v>
      </c>
      <c r="T172" s="44">
        <v>7.6</v>
      </c>
      <c r="U172" s="44">
        <v>7.6</v>
      </c>
      <c r="V172" s="44">
        <v>7.6</v>
      </c>
      <c r="W172" s="44">
        <v>7.6</v>
      </c>
      <c r="X172" s="44">
        <v>7.6</v>
      </c>
      <c r="Y172" s="44">
        <v>7.6</v>
      </c>
      <c r="Z172" s="44">
        <v>7.6</v>
      </c>
      <c r="AA172" s="44">
        <v>7.6</v>
      </c>
      <c r="AB172" s="44">
        <v>7.6</v>
      </c>
      <c r="AC172" s="44">
        <v>7.6</v>
      </c>
      <c r="AD172" s="44">
        <v>7.6</v>
      </c>
      <c r="AE172" s="44">
        <v>7.6</v>
      </c>
      <c r="AF172" s="44">
        <v>7.6</v>
      </c>
      <c r="AG172" s="44">
        <v>7.6</v>
      </c>
      <c r="AH172" s="44">
        <v>7.6</v>
      </c>
      <c r="AI172" s="44">
        <v>7.6</v>
      </c>
      <c r="AJ172" s="44">
        <v>7.6</v>
      </c>
      <c r="AK172" s="44">
        <v>7.6</v>
      </c>
      <c r="AL172" s="44">
        <v>7.6</v>
      </c>
      <c r="AM172" s="44">
        <v>7.6</v>
      </c>
      <c r="AN172" s="44">
        <v>7.6</v>
      </c>
      <c r="AO172" s="44">
        <v>7.6</v>
      </c>
      <c r="AP172" s="44">
        <v>7.6</v>
      </c>
      <c r="AQ172" s="44">
        <v>7.6</v>
      </c>
      <c r="AR172" s="44">
        <v>7.6</v>
      </c>
      <c r="AS172" s="44">
        <v>7.6</v>
      </c>
      <c r="AT172" s="44">
        <v>7.6</v>
      </c>
      <c r="AU172" s="44">
        <v>7.6</v>
      </c>
      <c r="AV172" s="44">
        <v>7.6</v>
      </c>
      <c r="AW172" s="44">
        <v>7.6</v>
      </c>
      <c r="AX172" s="44">
        <v>7.6</v>
      </c>
      <c r="AY172" s="44">
        <v>7.6</v>
      </c>
      <c r="AZ172" s="44">
        <v>7.6</v>
      </c>
      <c r="BA172" s="44">
        <v>7.6</v>
      </c>
      <c r="BB172" s="44">
        <v>7.6</v>
      </c>
      <c r="BC172" s="44">
        <v>7.6</v>
      </c>
      <c r="BD172" s="44">
        <v>7.6</v>
      </c>
      <c r="BE172" s="206"/>
      <c r="BF172" s="206"/>
      <c r="BG172" s="206"/>
      <c r="BH172" s="206"/>
      <c r="BO172" s="206"/>
      <c r="BP172" s="206"/>
    </row>
    <row r="173" spans="1:68" x14ac:dyDescent="0.25">
      <c r="A173" s="206"/>
      <c r="B173" s="87" t="s">
        <v>174</v>
      </c>
      <c r="C173" s="206" t="s">
        <v>162</v>
      </c>
      <c r="D173" s="31">
        <v>35</v>
      </c>
      <c r="E173" s="31">
        <v>50</v>
      </c>
      <c r="F173" s="31">
        <v>50</v>
      </c>
      <c r="G173" s="31">
        <v>50</v>
      </c>
      <c r="H173" s="31">
        <v>50</v>
      </c>
      <c r="I173" s="31">
        <v>50</v>
      </c>
      <c r="J173" s="31">
        <v>50</v>
      </c>
      <c r="K173" s="31">
        <v>50</v>
      </c>
      <c r="L173" s="31">
        <v>50</v>
      </c>
      <c r="M173" s="31">
        <v>50</v>
      </c>
      <c r="N173" s="31">
        <v>50</v>
      </c>
      <c r="O173" s="31">
        <v>50</v>
      </c>
      <c r="P173" s="31">
        <v>50</v>
      </c>
      <c r="Q173" s="31">
        <v>50</v>
      </c>
      <c r="R173" s="31">
        <v>50</v>
      </c>
      <c r="S173" s="31">
        <v>50</v>
      </c>
      <c r="T173" s="31">
        <v>50</v>
      </c>
      <c r="U173" s="31">
        <v>50</v>
      </c>
      <c r="V173" s="31">
        <v>50</v>
      </c>
      <c r="W173" s="31">
        <v>50</v>
      </c>
      <c r="X173" s="31">
        <v>50</v>
      </c>
      <c r="Y173" s="31">
        <v>50</v>
      </c>
      <c r="Z173" s="31">
        <v>50</v>
      </c>
      <c r="AA173" s="31">
        <v>50</v>
      </c>
      <c r="AB173" s="31">
        <v>50</v>
      </c>
      <c r="AC173" s="31">
        <v>50</v>
      </c>
      <c r="AD173" s="31">
        <v>50</v>
      </c>
      <c r="AE173" s="31">
        <v>50</v>
      </c>
      <c r="AF173" s="31">
        <v>50</v>
      </c>
      <c r="AG173" s="31">
        <v>50</v>
      </c>
      <c r="AH173" s="31">
        <v>50</v>
      </c>
      <c r="AI173" s="31">
        <v>50</v>
      </c>
      <c r="AJ173" s="31">
        <v>50</v>
      </c>
      <c r="AK173" s="31">
        <v>50</v>
      </c>
      <c r="AL173" s="31">
        <v>50</v>
      </c>
      <c r="AM173" s="31">
        <v>50</v>
      </c>
      <c r="AN173" s="31">
        <v>50</v>
      </c>
      <c r="AO173" s="31">
        <v>50</v>
      </c>
      <c r="AP173" s="31">
        <v>50</v>
      </c>
      <c r="AQ173" s="31">
        <v>50</v>
      </c>
      <c r="AR173" s="31">
        <v>50</v>
      </c>
      <c r="AS173" s="31">
        <v>50</v>
      </c>
      <c r="AT173" s="31">
        <v>50</v>
      </c>
      <c r="AU173" s="31">
        <v>50</v>
      </c>
      <c r="AV173" s="31">
        <v>50</v>
      </c>
      <c r="AW173" s="31">
        <v>50</v>
      </c>
      <c r="AX173" s="31">
        <v>50</v>
      </c>
      <c r="AY173" s="31">
        <v>50</v>
      </c>
      <c r="AZ173" s="31">
        <v>50</v>
      </c>
      <c r="BA173" s="31">
        <v>50</v>
      </c>
      <c r="BB173" s="31">
        <v>50</v>
      </c>
      <c r="BC173" s="31">
        <v>50</v>
      </c>
      <c r="BD173" s="31">
        <v>50</v>
      </c>
      <c r="BE173" s="206"/>
      <c r="BF173" s="206"/>
      <c r="BG173" s="206"/>
      <c r="BH173" s="206"/>
      <c r="BO173" s="206"/>
      <c r="BP173" s="206"/>
    </row>
    <row r="174" spans="1:68" x14ac:dyDescent="0.25">
      <c r="A174" s="206"/>
      <c r="B174" s="34" t="s">
        <v>175</v>
      </c>
      <c r="C174" s="206"/>
      <c r="D174" s="214">
        <f>SUM(D175,D177,D179)</f>
        <v>223</v>
      </c>
      <c r="E174" s="214">
        <f t="shared" ref="E174:BD174" si="143">SUM(E175,E179)</f>
        <v>195</v>
      </c>
      <c r="F174" s="214">
        <f t="shared" si="143"/>
        <v>195</v>
      </c>
      <c r="G174" s="214">
        <f t="shared" si="143"/>
        <v>195</v>
      </c>
      <c r="H174" s="214">
        <f t="shared" si="143"/>
        <v>195</v>
      </c>
      <c r="I174" s="214">
        <f t="shared" si="143"/>
        <v>195</v>
      </c>
      <c r="J174" s="214">
        <f t="shared" si="143"/>
        <v>195</v>
      </c>
      <c r="K174" s="214">
        <f t="shared" si="143"/>
        <v>195</v>
      </c>
      <c r="L174" s="214">
        <f t="shared" ref="L174" si="144">SUM(L175,L179)</f>
        <v>195</v>
      </c>
      <c r="M174" s="214">
        <f t="shared" si="143"/>
        <v>195</v>
      </c>
      <c r="N174" s="214">
        <f t="shared" si="143"/>
        <v>195</v>
      </c>
      <c r="O174" s="214">
        <f t="shared" si="143"/>
        <v>195</v>
      </c>
      <c r="P174" s="214">
        <f t="shared" si="143"/>
        <v>195</v>
      </c>
      <c r="Q174" s="214">
        <f t="shared" si="143"/>
        <v>195</v>
      </c>
      <c r="R174" s="214">
        <f t="shared" si="143"/>
        <v>195</v>
      </c>
      <c r="S174" s="214">
        <f t="shared" si="143"/>
        <v>195</v>
      </c>
      <c r="T174" s="214">
        <f t="shared" si="143"/>
        <v>195</v>
      </c>
      <c r="U174" s="214">
        <f t="shared" si="143"/>
        <v>195</v>
      </c>
      <c r="V174" s="214">
        <f t="shared" si="143"/>
        <v>195</v>
      </c>
      <c r="W174" s="214">
        <f t="shared" si="143"/>
        <v>195</v>
      </c>
      <c r="X174" s="214">
        <f t="shared" si="143"/>
        <v>195</v>
      </c>
      <c r="Y174" s="214">
        <f t="shared" si="143"/>
        <v>195</v>
      </c>
      <c r="Z174" s="214">
        <f t="shared" si="143"/>
        <v>195</v>
      </c>
      <c r="AA174" s="214">
        <f t="shared" si="143"/>
        <v>195</v>
      </c>
      <c r="AB174" s="214">
        <f t="shared" si="143"/>
        <v>195</v>
      </c>
      <c r="AC174" s="214">
        <f t="shared" si="143"/>
        <v>195</v>
      </c>
      <c r="AD174" s="214">
        <f t="shared" si="143"/>
        <v>195</v>
      </c>
      <c r="AE174" s="214">
        <f t="shared" si="143"/>
        <v>195</v>
      </c>
      <c r="AF174" s="214">
        <f t="shared" si="143"/>
        <v>195</v>
      </c>
      <c r="AG174" s="214">
        <f t="shared" si="143"/>
        <v>195</v>
      </c>
      <c r="AH174" s="214">
        <f t="shared" si="143"/>
        <v>195</v>
      </c>
      <c r="AI174" s="214">
        <f t="shared" si="143"/>
        <v>195</v>
      </c>
      <c r="AJ174" s="214">
        <f t="shared" si="143"/>
        <v>195</v>
      </c>
      <c r="AK174" s="214">
        <f t="shared" si="143"/>
        <v>195</v>
      </c>
      <c r="AL174" s="214">
        <f t="shared" si="143"/>
        <v>195</v>
      </c>
      <c r="AM174" s="214">
        <f t="shared" si="143"/>
        <v>195</v>
      </c>
      <c r="AN174" s="214">
        <f t="shared" si="143"/>
        <v>195</v>
      </c>
      <c r="AO174" s="214">
        <f t="shared" si="143"/>
        <v>195</v>
      </c>
      <c r="AP174" s="214">
        <f t="shared" si="143"/>
        <v>195</v>
      </c>
      <c r="AQ174" s="214">
        <f t="shared" si="143"/>
        <v>195</v>
      </c>
      <c r="AR174" s="214">
        <f t="shared" si="143"/>
        <v>195</v>
      </c>
      <c r="AS174" s="214">
        <f>SUM(AS175,AS179)</f>
        <v>195</v>
      </c>
      <c r="AT174" s="214">
        <f t="shared" si="143"/>
        <v>195</v>
      </c>
      <c r="AU174" s="214">
        <f t="shared" si="143"/>
        <v>195</v>
      </c>
      <c r="AV174" s="214">
        <f t="shared" si="143"/>
        <v>195</v>
      </c>
      <c r="AW174" s="214">
        <f t="shared" si="143"/>
        <v>195</v>
      </c>
      <c r="AX174" s="214">
        <f t="shared" si="143"/>
        <v>195</v>
      </c>
      <c r="AY174" s="214">
        <f t="shared" si="143"/>
        <v>195</v>
      </c>
      <c r="AZ174" s="214">
        <f t="shared" si="143"/>
        <v>195</v>
      </c>
      <c r="BA174" s="214">
        <f t="shared" ref="BA174:BB174" si="145">SUM(BA175,BA179)</f>
        <v>195</v>
      </c>
      <c r="BB174" s="214">
        <f t="shared" si="145"/>
        <v>195</v>
      </c>
      <c r="BC174" s="214">
        <f t="shared" ref="BC174" si="146">SUM(BC175,BC179)</f>
        <v>195</v>
      </c>
      <c r="BD174" s="214">
        <f t="shared" si="143"/>
        <v>195</v>
      </c>
      <c r="BE174" s="206"/>
      <c r="BF174" s="206"/>
      <c r="BG174" s="206"/>
      <c r="BH174" s="206"/>
      <c r="BO174" s="206"/>
      <c r="BP174" s="206"/>
    </row>
    <row r="175" spans="1:68" outlineLevel="1" x14ac:dyDescent="0.25">
      <c r="A175" s="206"/>
      <c r="B175" s="208" t="s">
        <v>176</v>
      </c>
      <c r="C175" s="206" t="s">
        <v>177</v>
      </c>
      <c r="D175" s="31">
        <v>165</v>
      </c>
      <c r="E175" s="31">
        <v>165</v>
      </c>
      <c r="F175" s="31">
        <v>165</v>
      </c>
      <c r="G175" s="31">
        <v>165</v>
      </c>
      <c r="H175" s="31">
        <v>165</v>
      </c>
      <c r="I175" s="31">
        <v>165</v>
      </c>
      <c r="J175" s="31">
        <v>165</v>
      </c>
      <c r="K175" s="31">
        <v>165</v>
      </c>
      <c r="L175" s="31">
        <v>165</v>
      </c>
      <c r="M175" s="31">
        <v>165</v>
      </c>
      <c r="N175" s="31">
        <v>165</v>
      </c>
      <c r="O175" s="31">
        <v>165</v>
      </c>
      <c r="P175" s="31">
        <v>165</v>
      </c>
      <c r="Q175" s="31">
        <v>165</v>
      </c>
      <c r="R175" s="31">
        <v>165</v>
      </c>
      <c r="S175" s="31">
        <v>165</v>
      </c>
      <c r="T175" s="31">
        <v>165</v>
      </c>
      <c r="U175" s="31">
        <v>165</v>
      </c>
      <c r="V175" s="31">
        <v>165</v>
      </c>
      <c r="W175" s="31">
        <v>165</v>
      </c>
      <c r="X175" s="31">
        <v>165</v>
      </c>
      <c r="Y175" s="31">
        <v>165</v>
      </c>
      <c r="Z175" s="31">
        <v>165</v>
      </c>
      <c r="AA175" s="31">
        <v>165</v>
      </c>
      <c r="AB175" s="31">
        <v>165</v>
      </c>
      <c r="AC175" s="31">
        <v>165</v>
      </c>
      <c r="AD175" s="31">
        <v>165</v>
      </c>
      <c r="AE175" s="31">
        <v>165</v>
      </c>
      <c r="AF175" s="31">
        <v>165</v>
      </c>
      <c r="AG175" s="31">
        <v>165</v>
      </c>
      <c r="AH175" s="31">
        <v>165</v>
      </c>
      <c r="AI175" s="31">
        <v>165</v>
      </c>
      <c r="AJ175" s="31">
        <v>165</v>
      </c>
      <c r="AK175" s="31">
        <v>165</v>
      </c>
      <c r="AL175" s="31">
        <v>165</v>
      </c>
      <c r="AM175" s="31">
        <v>165</v>
      </c>
      <c r="AN175" s="31">
        <v>165</v>
      </c>
      <c r="AO175" s="31">
        <v>165</v>
      </c>
      <c r="AP175" s="31">
        <v>165</v>
      </c>
      <c r="AQ175" s="31">
        <v>165</v>
      </c>
      <c r="AR175" s="31">
        <v>165</v>
      </c>
      <c r="AS175" s="31">
        <v>165</v>
      </c>
      <c r="AT175" s="31">
        <v>165</v>
      </c>
      <c r="AU175" s="31">
        <v>165</v>
      </c>
      <c r="AV175" s="31">
        <v>165</v>
      </c>
      <c r="AW175" s="31">
        <v>165</v>
      </c>
      <c r="AX175" s="31">
        <v>165</v>
      </c>
      <c r="AY175" s="31">
        <v>165</v>
      </c>
      <c r="AZ175" s="31">
        <v>165</v>
      </c>
      <c r="BA175" s="31">
        <v>165</v>
      </c>
      <c r="BB175" s="31">
        <v>165</v>
      </c>
      <c r="BC175" s="31">
        <v>165</v>
      </c>
      <c r="BD175" s="31">
        <v>165</v>
      </c>
      <c r="BE175" s="206"/>
      <c r="BF175" s="206"/>
      <c r="BG175" s="206"/>
      <c r="BH175" s="206"/>
      <c r="BO175" s="206"/>
      <c r="BP175" s="206"/>
    </row>
    <row r="176" spans="1:68" outlineLevel="1" x14ac:dyDescent="0.25">
      <c r="A176" s="206"/>
      <c r="B176" s="39" t="s">
        <v>178</v>
      </c>
      <c r="C176" s="206" t="s">
        <v>179</v>
      </c>
      <c r="D176" s="31">
        <f>17*11</f>
        <v>187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0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1">
        <v>0</v>
      </c>
      <c r="AD176" s="31">
        <v>0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1">
        <v>0</v>
      </c>
      <c r="AN176" s="31">
        <v>0</v>
      </c>
      <c r="AO176" s="31">
        <v>0</v>
      </c>
      <c r="AP176" s="31">
        <v>0</v>
      </c>
      <c r="AQ176" s="31">
        <v>0</v>
      </c>
      <c r="AR176" s="31">
        <v>0</v>
      </c>
      <c r="AS176" s="31">
        <v>0</v>
      </c>
      <c r="AT176" s="31">
        <v>0</v>
      </c>
      <c r="AU176" s="31">
        <v>0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206"/>
      <c r="BF176" s="206"/>
      <c r="BG176" s="206"/>
      <c r="BH176" s="206"/>
      <c r="BO176" s="206"/>
      <c r="BP176" s="206"/>
    </row>
    <row r="177" spans="1:68" outlineLevel="1" x14ac:dyDescent="0.25">
      <c r="A177" s="206"/>
      <c r="B177" s="39" t="s">
        <v>180</v>
      </c>
      <c r="C177" s="206" t="s">
        <v>181</v>
      </c>
      <c r="D177" s="31">
        <v>28</v>
      </c>
      <c r="E177" s="31">
        <v>28</v>
      </c>
      <c r="F177" s="31">
        <v>28</v>
      </c>
      <c r="G177" s="31">
        <v>28</v>
      </c>
      <c r="H177" s="31">
        <v>28</v>
      </c>
      <c r="I177" s="31">
        <v>28</v>
      </c>
      <c r="J177" s="31">
        <v>28</v>
      </c>
      <c r="K177" s="31">
        <v>28</v>
      </c>
      <c r="L177" s="31">
        <v>28</v>
      </c>
      <c r="M177" s="31">
        <v>28</v>
      </c>
      <c r="N177" s="31">
        <v>28</v>
      </c>
      <c r="O177" s="31">
        <v>28</v>
      </c>
      <c r="P177" s="31">
        <v>28</v>
      </c>
      <c r="Q177" s="31">
        <v>28</v>
      </c>
      <c r="R177" s="31">
        <v>28</v>
      </c>
      <c r="S177" s="31">
        <v>28</v>
      </c>
      <c r="T177" s="31">
        <v>28</v>
      </c>
      <c r="U177" s="31">
        <v>28</v>
      </c>
      <c r="V177" s="31">
        <v>28</v>
      </c>
      <c r="W177" s="31">
        <v>28</v>
      </c>
      <c r="X177" s="31">
        <v>28</v>
      </c>
      <c r="Y177" s="31">
        <v>28</v>
      </c>
      <c r="Z177" s="31">
        <v>28</v>
      </c>
      <c r="AA177" s="31">
        <v>28</v>
      </c>
      <c r="AB177" s="31">
        <v>28</v>
      </c>
      <c r="AC177" s="31">
        <v>28</v>
      </c>
      <c r="AD177" s="31">
        <v>28</v>
      </c>
      <c r="AE177" s="31">
        <v>28</v>
      </c>
      <c r="AF177" s="31">
        <v>28</v>
      </c>
      <c r="AG177" s="31">
        <v>28</v>
      </c>
      <c r="AH177" s="31">
        <v>28</v>
      </c>
      <c r="AI177" s="31">
        <v>28</v>
      </c>
      <c r="AJ177" s="31">
        <v>28</v>
      </c>
      <c r="AK177" s="31">
        <v>28</v>
      </c>
      <c r="AL177" s="31">
        <v>28</v>
      </c>
      <c r="AM177" s="31">
        <v>28</v>
      </c>
      <c r="AN177" s="31">
        <v>28</v>
      </c>
      <c r="AO177" s="31">
        <v>28</v>
      </c>
      <c r="AP177" s="31">
        <v>28</v>
      </c>
      <c r="AQ177" s="31">
        <v>28</v>
      </c>
      <c r="AR177" s="31">
        <v>28</v>
      </c>
      <c r="AS177" s="31">
        <v>28</v>
      </c>
      <c r="AT177" s="31">
        <v>28</v>
      </c>
      <c r="AU177" s="31">
        <v>28</v>
      </c>
      <c r="AV177" s="31">
        <v>28</v>
      </c>
      <c r="AW177" s="31">
        <v>28</v>
      </c>
      <c r="AX177" s="31">
        <v>28</v>
      </c>
      <c r="AY177" s="31">
        <v>28</v>
      </c>
      <c r="AZ177" s="31">
        <v>28</v>
      </c>
      <c r="BA177" s="31">
        <v>28</v>
      </c>
      <c r="BB177" s="31">
        <v>28</v>
      </c>
      <c r="BC177" s="31">
        <v>28</v>
      </c>
      <c r="BD177" s="31">
        <v>28</v>
      </c>
      <c r="BE177" s="206"/>
      <c r="BF177" s="206"/>
      <c r="BG177" s="206"/>
      <c r="BH177" s="206"/>
      <c r="BO177" s="206"/>
      <c r="BP177" s="206"/>
    </row>
    <row r="178" spans="1:68" outlineLevel="1" x14ac:dyDescent="0.25">
      <c r="A178" s="206"/>
      <c r="B178" s="39" t="s">
        <v>182</v>
      </c>
      <c r="C178" s="206" t="s">
        <v>183</v>
      </c>
      <c r="D178" s="45">
        <f>14.99*9</f>
        <v>134.91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  <c r="AH178" s="45">
        <v>0</v>
      </c>
      <c r="AI178" s="45">
        <v>0</v>
      </c>
      <c r="AJ178" s="45">
        <v>0</v>
      </c>
      <c r="AK178" s="45">
        <v>0</v>
      </c>
      <c r="AL178" s="45">
        <v>0</v>
      </c>
      <c r="AM178" s="45">
        <v>0</v>
      </c>
      <c r="AN178" s="45">
        <v>0</v>
      </c>
      <c r="AO178" s="45">
        <v>0</v>
      </c>
      <c r="AP178" s="45">
        <v>0</v>
      </c>
      <c r="AQ178" s="45">
        <v>0</v>
      </c>
      <c r="AR178" s="45">
        <v>0</v>
      </c>
      <c r="AS178" s="45">
        <v>0</v>
      </c>
      <c r="AT178" s="45">
        <v>0</v>
      </c>
      <c r="AU178" s="45">
        <v>0</v>
      </c>
      <c r="AV178" s="45">
        <v>0</v>
      </c>
      <c r="AW178" s="45">
        <v>0</v>
      </c>
      <c r="AX178" s="45">
        <v>0</v>
      </c>
      <c r="AY178" s="45">
        <v>0</v>
      </c>
      <c r="AZ178" s="45">
        <v>0</v>
      </c>
      <c r="BA178" s="45">
        <v>0</v>
      </c>
      <c r="BB178" s="45">
        <v>0</v>
      </c>
      <c r="BC178" s="45">
        <v>0</v>
      </c>
      <c r="BD178" s="45">
        <v>0</v>
      </c>
      <c r="BE178" s="206"/>
      <c r="BF178" s="206"/>
      <c r="BG178" s="206"/>
      <c r="BH178" s="206"/>
      <c r="BO178" s="206"/>
      <c r="BP178" s="206"/>
    </row>
    <row r="179" spans="1:68" outlineLevel="1" x14ac:dyDescent="0.25">
      <c r="A179" s="206"/>
      <c r="B179" s="39" t="s">
        <v>184</v>
      </c>
      <c r="C179" s="206" t="s">
        <v>185</v>
      </c>
      <c r="D179" s="31">
        <v>30</v>
      </c>
      <c r="E179" s="31">
        <v>30</v>
      </c>
      <c r="F179" s="31">
        <v>30</v>
      </c>
      <c r="G179" s="31">
        <v>30</v>
      </c>
      <c r="H179" s="31">
        <v>30</v>
      </c>
      <c r="I179" s="31">
        <v>30</v>
      </c>
      <c r="J179" s="31">
        <v>30</v>
      </c>
      <c r="K179" s="31">
        <v>30</v>
      </c>
      <c r="L179" s="31">
        <v>30</v>
      </c>
      <c r="M179" s="31">
        <v>30</v>
      </c>
      <c r="N179" s="31">
        <v>30</v>
      </c>
      <c r="O179" s="31">
        <v>30</v>
      </c>
      <c r="P179" s="31">
        <v>30</v>
      </c>
      <c r="Q179" s="31">
        <v>30</v>
      </c>
      <c r="R179" s="31">
        <v>30</v>
      </c>
      <c r="S179" s="31">
        <v>30</v>
      </c>
      <c r="T179" s="31">
        <v>30</v>
      </c>
      <c r="U179" s="31">
        <v>30</v>
      </c>
      <c r="V179" s="31">
        <v>30</v>
      </c>
      <c r="W179" s="31">
        <v>30</v>
      </c>
      <c r="X179" s="31">
        <v>30</v>
      </c>
      <c r="Y179" s="31">
        <v>30</v>
      </c>
      <c r="Z179" s="31">
        <v>30</v>
      </c>
      <c r="AA179" s="31">
        <v>30</v>
      </c>
      <c r="AB179" s="31">
        <v>30</v>
      </c>
      <c r="AC179" s="31">
        <v>30</v>
      </c>
      <c r="AD179" s="31">
        <v>30</v>
      </c>
      <c r="AE179" s="31">
        <v>30</v>
      </c>
      <c r="AF179" s="31">
        <v>30</v>
      </c>
      <c r="AG179" s="31">
        <v>30</v>
      </c>
      <c r="AH179" s="31">
        <v>30</v>
      </c>
      <c r="AI179" s="31">
        <v>30</v>
      </c>
      <c r="AJ179" s="31">
        <v>30</v>
      </c>
      <c r="AK179" s="31">
        <v>30</v>
      </c>
      <c r="AL179" s="31">
        <v>30</v>
      </c>
      <c r="AM179" s="31">
        <v>30</v>
      </c>
      <c r="AN179" s="31">
        <v>30</v>
      </c>
      <c r="AO179" s="31">
        <v>30</v>
      </c>
      <c r="AP179" s="31">
        <v>30</v>
      </c>
      <c r="AQ179" s="31">
        <v>30</v>
      </c>
      <c r="AR179" s="31">
        <v>30</v>
      </c>
      <c r="AS179" s="31">
        <v>30</v>
      </c>
      <c r="AT179" s="31">
        <v>30</v>
      </c>
      <c r="AU179" s="31">
        <v>30</v>
      </c>
      <c r="AV179" s="31">
        <v>30</v>
      </c>
      <c r="AW179" s="31">
        <v>30</v>
      </c>
      <c r="AX179" s="31">
        <v>30</v>
      </c>
      <c r="AY179" s="31">
        <v>30</v>
      </c>
      <c r="AZ179" s="31">
        <v>30</v>
      </c>
      <c r="BA179" s="31">
        <v>30</v>
      </c>
      <c r="BB179" s="31">
        <v>30</v>
      </c>
      <c r="BC179" s="31">
        <v>30</v>
      </c>
      <c r="BD179" s="31">
        <v>30</v>
      </c>
      <c r="BE179" s="206"/>
      <c r="BF179" s="206"/>
      <c r="BG179" s="206"/>
      <c r="BH179" s="206"/>
      <c r="BO179" s="206"/>
      <c r="BP179" s="206"/>
    </row>
    <row r="180" spans="1:68" x14ac:dyDescent="0.25">
      <c r="A180" s="206"/>
      <c r="B180" s="34"/>
      <c r="C180" s="51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  <c r="AD180" s="206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O180" s="206"/>
      <c r="BP180" s="206"/>
    </row>
    <row r="181" spans="1:68" x14ac:dyDescent="0.25">
      <c r="A181" s="206"/>
      <c r="B181" s="34" t="s">
        <v>186</v>
      </c>
      <c r="C181" s="51"/>
      <c r="D181" s="206"/>
      <c r="E181" s="206"/>
      <c r="F181" s="206"/>
      <c r="G181" s="206"/>
      <c r="H181" s="206"/>
      <c r="I181" s="206"/>
      <c r="J181" s="206"/>
      <c r="K181" s="206"/>
      <c r="L181" s="206"/>
      <c r="M181" s="206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  <c r="AB181" s="206"/>
      <c r="AC181" s="206"/>
      <c r="AD181" s="206"/>
      <c r="AE181" s="206"/>
      <c r="AF181" s="206"/>
      <c r="AG181" s="206"/>
      <c r="AH181" s="206"/>
      <c r="AI181" s="206"/>
      <c r="AJ181" s="206"/>
      <c r="AK181" s="206"/>
      <c r="AL181" s="206"/>
      <c r="AM181" s="206"/>
      <c r="AN181" s="206"/>
      <c r="AO181" s="206"/>
      <c r="AP181" s="206"/>
      <c r="AQ181" s="206"/>
      <c r="AR181" s="206"/>
      <c r="AS181" s="206"/>
      <c r="AT181" s="206"/>
      <c r="AU181" s="206"/>
      <c r="AV181" s="206"/>
      <c r="AW181" s="206"/>
      <c r="AX181" s="206"/>
      <c r="AY181" s="206"/>
      <c r="AZ181" s="206"/>
      <c r="BA181" s="206"/>
      <c r="BB181" s="206"/>
      <c r="BC181" s="206"/>
      <c r="BD181" s="206"/>
      <c r="BE181" s="206"/>
      <c r="BF181" s="206"/>
      <c r="BG181" s="206"/>
      <c r="BH181" s="206"/>
      <c r="BO181" s="206"/>
      <c r="BP181" s="206"/>
    </row>
    <row r="182" spans="1:68" x14ac:dyDescent="0.25">
      <c r="A182" s="206"/>
      <c r="B182" s="208" t="s">
        <v>373</v>
      </c>
      <c r="C182" s="51"/>
      <c r="D182" s="88">
        <v>5.5E-2</v>
      </c>
      <c r="E182" s="88">
        <v>5.5E-2</v>
      </c>
      <c r="F182" s="88">
        <v>5.5E-2</v>
      </c>
      <c r="G182" s="88">
        <v>5.5E-2</v>
      </c>
      <c r="H182" s="88">
        <v>5.5E-2</v>
      </c>
      <c r="I182" s="88">
        <v>5.5E-2</v>
      </c>
      <c r="J182" s="88">
        <v>5.5E-2</v>
      </c>
      <c r="K182" s="88">
        <v>5.5E-2</v>
      </c>
      <c r="L182" s="88">
        <v>5.5E-2</v>
      </c>
      <c r="M182" s="88">
        <v>5.5E-2</v>
      </c>
      <c r="N182" s="88">
        <v>5.5E-2</v>
      </c>
      <c r="O182" s="88">
        <v>5.5E-2</v>
      </c>
      <c r="P182" s="88">
        <v>5.5E-2</v>
      </c>
      <c r="Q182" s="88">
        <v>5.5E-2</v>
      </c>
      <c r="R182" s="88">
        <v>5.5E-2</v>
      </c>
      <c r="S182" s="88">
        <v>5.5E-2</v>
      </c>
      <c r="T182" s="88">
        <v>5.5E-2</v>
      </c>
      <c r="U182" s="88">
        <v>5.5E-2</v>
      </c>
      <c r="V182" s="88">
        <v>5.5E-2</v>
      </c>
      <c r="W182" s="88">
        <v>5.5E-2</v>
      </c>
      <c r="X182" s="88">
        <v>5.5E-2</v>
      </c>
      <c r="Y182" s="88">
        <v>5.5E-2</v>
      </c>
      <c r="Z182" s="88">
        <v>5.5E-2</v>
      </c>
      <c r="AA182" s="88">
        <v>5.5E-2</v>
      </c>
      <c r="AB182" s="88">
        <v>5.5E-2</v>
      </c>
      <c r="AC182" s="88">
        <v>5.5E-2</v>
      </c>
      <c r="AD182" s="88">
        <v>5.5E-2</v>
      </c>
      <c r="AE182" s="88">
        <v>5.5E-2</v>
      </c>
      <c r="AF182" s="88">
        <v>5.5E-2</v>
      </c>
      <c r="AG182" s="88">
        <v>5.5E-2</v>
      </c>
      <c r="AH182" s="88">
        <v>5.5E-2</v>
      </c>
      <c r="AI182" s="88">
        <v>5.5E-2</v>
      </c>
      <c r="AJ182" s="88">
        <v>5.5E-2</v>
      </c>
      <c r="AK182" s="88">
        <v>5.5E-2</v>
      </c>
      <c r="AL182" s="88">
        <v>5.5E-2</v>
      </c>
      <c r="AM182" s="88">
        <v>5.5E-2</v>
      </c>
      <c r="AN182" s="88">
        <v>5.5E-2</v>
      </c>
      <c r="AO182" s="88">
        <v>5.5E-2</v>
      </c>
      <c r="AP182" s="88">
        <v>5.5E-2</v>
      </c>
      <c r="AQ182" s="88">
        <v>5.5E-2</v>
      </c>
      <c r="AR182" s="88">
        <v>5.5E-2</v>
      </c>
      <c r="AS182" s="88">
        <v>5.5E-2</v>
      </c>
      <c r="AT182" s="88">
        <v>5.5E-2</v>
      </c>
      <c r="AU182" s="88">
        <v>5.5E-2</v>
      </c>
      <c r="AV182" s="88">
        <v>5.5E-2</v>
      </c>
      <c r="AW182" s="88">
        <v>5.5E-2</v>
      </c>
      <c r="AX182" s="88">
        <v>5.5E-2</v>
      </c>
      <c r="AY182" s="88">
        <v>5.5E-2</v>
      </c>
      <c r="AZ182" s="88">
        <v>5.5E-2</v>
      </c>
      <c r="BA182" s="88">
        <v>5.5E-2</v>
      </c>
      <c r="BB182" s="88">
        <v>5.5E-2</v>
      </c>
      <c r="BC182" s="88">
        <v>5.5E-2</v>
      </c>
      <c r="BD182" s="88">
        <v>5.5E-2</v>
      </c>
      <c r="BE182" s="206"/>
      <c r="BF182" s="206"/>
      <c r="BG182" s="206"/>
      <c r="BH182" s="206"/>
      <c r="BO182" s="206"/>
      <c r="BP182" s="206"/>
    </row>
    <row r="183" spans="1:68" x14ac:dyDescent="0.25">
      <c r="A183" s="206"/>
      <c r="B183" s="208" t="s">
        <v>374</v>
      </c>
      <c r="C183" s="51"/>
      <c r="D183" s="88">
        <v>1.2500000000000001E-2</v>
      </c>
      <c r="E183" s="88">
        <v>1.2500000000000001E-2</v>
      </c>
      <c r="F183" s="88">
        <v>1.2500000000000001E-2</v>
      </c>
      <c r="G183" s="88">
        <v>1.2500000000000001E-2</v>
      </c>
      <c r="H183" s="88">
        <v>1.2500000000000001E-2</v>
      </c>
      <c r="I183" s="88">
        <v>1.2500000000000001E-2</v>
      </c>
      <c r="J183" s="88">
        <v>1.2500000000000001E-2</v>
      </c>
      <c r="K183" s="88">
        <v>1.2500000000000001E-2</v>
      </c>
      <c r="L183" s="88">
        <v>1.2500000000000001E-2</v>
      </c>
      <c r="M183" s="88">
        <v>1.2500000000000001E-2</v>
      </c>
      <c r="N183" s="88">
        <v>1.2500000000000001E-2</v>
      </c>
      <c r="O183" s="88">
        <v>1.2500000000000001E-2</v>
      </c>
      <c r="P183" s="88">
        <v>1.2500000000000001E-2</v>
      </c>
      <c r="Q183" s="88">
        <v>1.2500000000000001E-2</v>
      </c>
      <c r="R183" s="88">
        <v>1.2500000000000001E-2</v>
      </c>
      <c r="S183" s="88">
        <v>1.2500000000000001E-2</v>
      </c>
      <c r="T183" s="88">
        <v>1.2500000000000001E-2</v>
      </c>
      <c r="U183" s="88">
        <v>1.2500000000000001E-2</v>
      </c>
      <c r="V183" s="88">
        <v>1.2500000000000001E-2</v>
      </c>
      <c r="W183" s="88">
        <v>1.2500000000000001E-2</v>
      </c>
      <c r="X183" s="88">
        <v>1.2500000000000001E-2</v>
      </c>
      <c r="Y183" s="88">
        <v>1.2500000000000001E-2</v>
      </c>
      <c r="Z183" s="88">
        <v>1.2500000000000001E-2</v>
      </c>
      <c r="AA183" s="88">
        <v>1.2500000000000001E-2</v>
      </c>
      <c r="AB183" s="88">
        <v>1.2500000000000001E-2</v>
      </c>
      <c r="AC183" s="88">
        <v>1.2500000000000001E-2</v>
      </c>
      <c r="AD183" s="88">
        <v>1.2500000000000001E-2</v>
      </c>
      <c r="AE183" s="88">
        <v>1.2500000000000001E-2</v>
      </c>
      <c r="AF183" s="88">
        <v>1.2500000000000001E-2</v>
      </c>
      <c r="AG183" s="88">
        <v>1.2500000000000001E-2</v>
      </c>
      <c r="AH183" s="88">
        <v>1.2500000000000001E-2</v>
      </c>
      <c r="AI183" s="88">
        <v>1.2500000000000001E-2</v>
      </c>
      <c r="AJ183" s="88">
        <v>1.2500000000000001E-2</v>
      </c>
      <c r="AK183" s="88">
        <v>1.2500000000000001E-2</v>
      </c>
      <c r="AL183" s="88">
        <v>1.2500000000000001E-2</v>
      </c>
      <c r="AM183" s="88">
        <v>1.2500000000000001E-2</v>
      </c>
      <c r="AN183" s="88">
        <v>1.2500000000000001E-2</v>
      </c>
      <c r="AO183" s="88">
        <v>1.2500000000000001E-2</v>
      </c>
      <c r="AP183" s="88">
        <v>1.2500000000000001E-2</v>
      </c>
      <c r="AQ183" s="88">
        <v>1.2500000000000001E-2</v>
      </c>
      <c r="AR183" s="88">
        <v>1.2500000000000001E-2</v>
      </c>
      <c r="AS183" s="88">
        <v>1.2500000000000001E-2</v>
      </c>
      <c r="AT183" s="88">
        <v>1.2500000000000001E-2</v>
      </c>
      <c r="AU183" s="88">
        <v>1.2500000000000001E-2</v>
      </c>
      <c r="AV183" s="88">
        <v>1.2500000000000001E-2</v>
      </c>
      <c r="AW183" s="88">
        <v>1.2500000000000001E-2</v>
      </c>
      <c r="AX183" s="88">
        <v>1.2500000000000001E-2</v>
      </c>
      <c r="AY183" s="88">
        <v>1.2500000000000001E-2</v>
      </c>
      <c r="AZ183" s="88">
        <v>1.2500000000000001E-2</v>
      </c>
      <c r="BA183" s="88">
        <v>1.2500000000000001E-2</v>
      </c>
      <c r="BB183" s="88">
        <v>1.2500000000000001E-2</v>
      </c>
      <c r="BC183" s="88">
        <v>1.2500000000000001E-2</v>
      </c>
      <c r="BD183" s="88">
        <v>1.2500000000000001E-2</v>
      </c>
      <c r="BE183" s="206"/>
      <c r="BF183" s="206"/>
      <c r="BG183" s="206"/>
      <c r="BH183" s="206"/>
      <c r="BO183" s="206"/>
      <c r="BP183" s="206"/>
    </row>
    <row r="184" spans="1:68" x14ac:dyDescent="0.25">
      <c r="A184" s="206"/>
      <c r="B184" s="80" t="s">
        <v>187</v>
      </c>
      <c r="C184" s="51"/>
      <c r="D184" s="206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  <c r="AB184" s="206"/>
      <c r="AC184" s="206"/>
      <c r="AD184" s="206"/>
      <c r="AE184" s="206"/>
      <c r="AF184" s="206"/>
      <c r="AG184" s="206"/>
      <c r="AH184" s="206"/>
      <c r="AI184" s="206"/>
      <c r="AJ184" s="206"/>
      <c r="AK184" s="206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6"/>
      <c r="BB184" s="206"/>
      <c r="BC184" s="206"/>
      <c r="BD184" s="206"/>
      <c r="BE184" s="206"/>
      <c r="BF184" s="206"/>
      <c r="BG184" s="206"/>
      <c r="BH184" s="206"/>
      <c r="BO184" s="206"/>
      <c r="BP184" s="206"/>
    </row>
    <row r="185" spans="1:68" x14ac:dyDescent="0.25">
      <c r="A185" s="206"/>
      <c r="B185" s="34" t="s">
        <v>188</v>
      </c>
      <c r="C185" s="51" t="s">
        <v>121</v>
      </c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  <c r="AB185" s="206"/>
      <c r="AC185" s="206"/>
      <c r="AD185" s="206"/>
      <c r="AE185" s="206"/>
      <c r="AF185" s="206"/>
      <c r="AG185" s="206"/>
      <c r="AH185" s="206"/>
      <c r="AI185" s="206"/>
      <c r="AJ185" s="206"/>
      <c r="AK185" s="206"/>
      <c r="AL185" s="206"/>
      <c r="AM185" s="206"/>
      <c r="AN185" s="206"/>
      <c r="AO185" s="206"/>
      <c r="AP185" s="206"/>
      <c r="AQ185" s="206"/>
      <c r="AR185" s="206"/>
      <c r="AS185" s="206"/>
      <c r="AT185" s="206"/>
      <c r="AU185" s="206"/>
      <c r="AV185" s="206"/>
      <c r="AW185" s="206"/>
      <c r="AX185" s="206"/>
      <c r="AY185" s="206"/>
      <c r="AZ185" s="206"/>
      <c r="BA185" s="206"/>
      <c r="BB185" s="206"/>
      <c r="BC185" s="206"/>
      <c r="BD185" s="206"/>
      <c r="BE185" s="206"/>
      <c r="BF185" s="206"/>
      <c r="BG185" s="206"/>
      <c r="BH185" s="206"/>
      <c r="BI185" s="34" t="s">
        <v>269</v>
      </c>
      <c r="BO185" s="206"/>
      <c r="BP185" s="206"/>
    </row>
    <row r="186" spans="1:68" outlineLevel="1" x14ac:dyDescent="0.25">
      <c r="A186" s="217">
        <v>45658</v>
      </c>
      <c r="B186" s="208" t="s">
        <v>189</v>
      </c>
      <c r="C186" s="31">
        <v>27083.333333333332</v>
      </c>
      <c r="D186" s="30">
        <v>1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206"/>
      <c r="BF186" s="206"/>
      <c r="BG186" s="206"/>
      <c r="BH186" s="206"/>
      <c r="BI186" s="208" t="s">
        <v>189</v>
      </c>
      <c r="BJ186" s="37">
        <v>1</v>
      </c>
      <c r="BK186" s="37">
        <f t="shared" ref="BK186:BL188" si="147">BJ186*1.1</f>
        <v>1.1000000000000001</v>
      </c>
      <c r="BL186" s="37">
        <f t="shared" si="147"/>
        <v>1.2100000000000002</v>
      </c>
      <c r="BO186" s="206"/>
      <c r="BP186" s="206"/>
    </row>
    <row r="187" spans="1:68" outlineLevel="1" x14ac:dyDescent="0.25">
      <c r="A187" s="217">
        <v>45658</v>
      </c>
      <c r="B187" s="208" t="s">
        <v>190</v>
      </c>
      <c r="C187" s="31">
        <v>20833.333333333332</v>
      </c>
      <c r="D187" s="30">
        <v>1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206"/>
      <c r="BF187" s="206"/>
      <c r="BG187" s="206"/>
      <c r="BH187" s="206"/>
      <c r="BI187" s="208" t="s">
        <v>190</v>
      </c>
      <c r="BJ187" s="37">
        <v>1</v>
      </c>
      <c r="BK187" s="37">
        <f t="shared" si="147"/>
        <v>1.1000000000000001</v>
      </c>
      <c r="BL187" s="37">
        <f t="shared" si="147"/>
        <v>1.2100000000000002</v>
      </c>
      <c r="BO187" s="206"/>
      <c r="BP187" s="206"/>
    </row>
    <row r="188" spans="1:68" outlineLevel="1" x14ac:dyDescent="0.25">
      <c r="A188" s="217">
        <v>46023</v>
      </c>
      <c r="B188" s="208" t="s">
        <v>191</v>
      </c>
      <c r="C188" s="31">
        <v>20833.333333333332</v>
      </c>
      <c r="D188" s="30">
        <v>1</v>
      </c>
      <c r="E188" s="30">
        <v>0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206"/>
      <c r="BF188" s="206"/>
      <c r="BG188" s="206"/>
      <c r="BH188" s="206"/>
      <c r="BI188" s="208" t="s">
        <v>191</v>
      </c>
      <c r="BJ188" s="37">
        <v>1</v>
      </c>
      <c r="BK188" s="37">
        <f t="shared" si="147"/>
        <v>1.1000000000000001</v>
      </c>
      <c r="BL188" s="37">
        <f t="shared" si="147"/>
        <v>1.2100000000000002</v>
      </c>
      <c r="BO188" s="206"/>
      <c r="BP188" s="206"/>
    </row>
    <row r="189" spans="1:68" outlineLevel="1" x14ac:dyDescent="0.25">
      <c r="A189" s="217"/>
      <c r="B189" s="208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  <c r="AB189" s="206"/>
      <c r="AC189" s="206"/>
      <c r="AD189" s="206"/>
      <c r="AE189" s="206"/>
      <c r="AF189" s="206"/>
      <c r="AG189" s="206"/>
      <c r="AH189" s="206"/>
      <c r="AI189" s="206"/>
      <c r="AJ189" s="206"/>
      <c r="AK189" s="206"/>
      <c r="AL189" s="206"/>
      <c r="AM189" s="206"/>
      <c r="AN189" s="206"/>
      <c r="AO189" s="206"/>
      <c r="AP189" s="206"/>
      <c r="AQ189" s="206"/>
      <c r="AR189" s="206"/>
      <c r="AS189" s="206"/>
      <c r="AT189" s="206"/>
      <c r="AU189" s="206"/>
      <c r="AV189" s="206"/>
      <c r="AW189" s="206"/>
      <c r="AX189" s="206"/>
      <c r="AY189" s="206"/>
      <c r="AZ189" s="206"/>
      <c r="BA189" s="206"/>
      <c r="BB189" s="206"/>
      <c r="BC189" s="206"/>
      <c r="BD189" s="206"/>
      <c r="BE189" s="206"/>
      <c r="BF189" s="206"/>
      <c r="BG189" s="206"/>
      <c r="BH189" s="206"/>
      <c r="BI189" s="208"/>
      <c r="BJ189" s="208"/>
      <c r="BK189" s="208"/>
      <c r="BL189" s="208"/>
      <c r="BO189" s="206"/>
      <c r="BP189" s="206"/>
    </row>
    <row r="190" spans="1:68" outlineLevel="1" x14ac:dyDescent="0.25">
      <c r="A190" s="217">
        <v>45658</v>
      </c>
      <c r="B190" s="208" t="s">
        <v>192</v>
      </c>
      <c r="C190" s="31">
        <f>170000/12</f>
        <v>14166.666666666666</v>
      </c>
      <c r="D190" s="30">
        <v>1</v>
      </c>
      <c r="E190" s="30">
        <v>0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206"/>
      <c r="BF190" s="206"/>
      <c r="BG190" s="206"/>
      <c r="BH190" s="206"/>
      <c r="BI190" s="208" t="s">
        <v>192</v>
      </c>
      <c r="BJ190" s="37">
        <v>1</v>
      </c>
      <c r="BK190" s="37">
        <f t="shared" ref="BK190:BL194" si="148">BJ190*1.1</f>
        <v>1.1000000000000001</v>
      </c>
      <c r="BL190" s="37">
        <f t="shared" si="148"/>
        <v>1.2100000000000002</v>
      </c>
      <c r="BO190" s="206"/>
      <c r="BP190" s="206"/>
    </row>
    <row r="191" spans="1:68" outlineLevel="1" x14ac:dyDescent="0.25">
      <c r="A191" s="217">
        <v>45536</v>
      </c>
      <c r="B191" s="208" t="s">
        <v>193</v>
      </c>
      <c r="C191" s="31">
        <f>130000/12</f>
        <v>10833.333333333334</v>
      </c>
      <c r="D191" s="30">
        <v>1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206"/>
      <c r="BF191" s="206"/>
      <c r="BG191" s="206"/>
      <c r="BH191" s="206"/>
      <c r="BI191" s="208" t="s">
        <v>193</v>
      </c>
      <c r="BJ191" s="37">
        <v>1</v>
      </c>
      <c r="BK191" s="37">
        <f t="shared" si="148"/>
        <v>1.1000000000000001</v>
      </c>
      <c r="BL191" s="37">
        <f t="shared" si="148"/>
        <v>1.2100000000000002</v>
      </c>
      <c r="BO191" s="206"/>
      <c r="BP191" s="206"/>
    </row>
    <row r="192" spans="1:68" outlineLevel="1" x14ac:dyDescent="0.25">
      <c r="A192" s="217">
        <v>45839</v>
      </c>
      <c r="B192" s="208" t="s">
        <v>194</v>
      </c>
      <c r="C192" s="31">
        <f>110000/12</f>
        <v>9166.6666666666661</v>
      </c>
      <c r="D192" s="30">
        <v>1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206"/>
      <c r="BF192" s="206"/>
      <c r="BG192" s="206"/>
      <c r="BH192" s="206"/>
      <c r="BI192" s="208" t="s">
        <v>194</v>
      </c>
      <c r="BJ192" s="37">
        <v>1</v>
      </c>
      <c r="BK192" s="37">
        <f t="shared" si="148"/>
        <v>1.1000000000000001</v>
      </c>
      <c r="BL192" s="37">
        <f t="shared" si="148"/>
        <v>1.2100000000000002</v>
      </c>
      <c r="BO192" s="206"/>
      <c r="BP192" s="206"/>
    </row>
    <row r="193" spans="1:68" outlineLevel="1" x14ac:dyDescent="0.25">
      <c r="A193" s="217">
        <v>45901</v>
      </c>
      <c r="B193" s="208" t="s">
        <v>195</v>
      </c>
      <c r="C193" s="31">
        <v>5000</v>
      </c>
      <c r="D193" s="30">
        <v>1</v>
      </c>
      <c r="E193" s="30">
        <v>0</v>
      </c>
      <c r="F193" s="30">
        <v>0</v>
      </c>
      <c r="G193" s="30">
        <v>0</v>
      </c>
      <c r="H193" s="30">
        <v>0</v>
      </c>
      <c r="I193" s="30">
        <v>0</v>
      </c>
      <c r="J193" s="30">
        <v>0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206"/>
      <c r="BF193" s="206"/>
      <c r="BG193" s="206"/>
      <c r="BH193" s="206"/>
      <c r="BI193" s="208" t="s">
        <v>195</v>
      </c>
      <c r="BJ193" s="37">
        <v>1</v>
      </c>
      <c r="BK193" s="37">
        <f t="shared" si="148"/>
        <v>1.1000000000000001</v>
      </c>
      <c r="BL193" s="37">
        <f t="shared" si="148"/>
        <v>1.2100000000000002</v>
      </c>
      <c r="BO193" s="206"/>
      <c r="BP193" s="206"/>
    </row>
    <row r="194" spans="1:68" outlineLevel="1" x14ac:dyDescent="0.25">
      <c r="A194" s="217">
        <v>46023</v>
      </c>
      <c r="B194" s="208" t="s">
        <v>196</v>
      </c>
      <c r="C194" s="31">
        <f>100000/12</f>
        <v>8333.3333333333339</v>
      </c>
      <c r="D194" s="30">
        <v>1</v>
      </c>
      <c r="E194" s="30">
        <v>0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0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206"/>
      <c r="BF194" s="206"/>
      <c r="BG194" s="206"/>
      <c r="BH194" s="206"/>
      <c r="BI194" s="208" t="s">
        <v>196</v>
      </c>
      <c r="BJ194" s="37">
        <v>1</v>
      </c>
      <c r="BK194" s="37">
        <f t="shared" si="148"/>
        <v>1.1000000000000001</v>
      </c>
      <c r="BL194" s="37">
        <f t="shared" si="148"/>
        <v>1.2100000000000002</v>
      </c>
      <c r="BO194" s="206"/>
      <c r="BP194" s="206"/>
    </row>
    <row r="195" spans="1:68" outlineLevel="1" x14ac:dyDescent="0.25">
      <c r="A195" s="217"/>
      <c r="B195" s="208"/>
      <c r="C195" s="206"/>
      <c r="D195" s="206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81"/>
      <c r="BJ195" s="208"/>
      <c r="BK195" s="208"/>
      <c r="BL195" s="208"/>
      <c r="BN195" s="1"/>
      <c r="BO195" s="206"/>
      <c r="BP195" s="206"/>
    </row>
    <row r="196" spans="1:68" outlineLevel="1" x14ac:dyDescent="0.25">
      <c r="A196" s="217">
        <v>46023</v>
      </c>
      <c r="B196" s="81" t="s">
        <v>197</v>
      </c>
      <c r="C196" s="31">
        <f>100000/12</f>
        <v>8333.3333333333339</v>
      </c>
      <c r="D196" s="30">
        <v>0</v>
      </c>
      <c r="E196" s="30">
        <v>1</v>
      </c>
      <c r="F196" s="30">
        <v>0</v>
      </c>
      <c r="G196" s="30">
        <v>0</v>
      </c>
      <c r="H196" s="30">
        <v>0</v>
      </c>
      <c r="I196" s="30">
        <v>0</v>
      </c>
      <c r="J196" s="30">
        <v>0</v>
      </c>
      <c r="K196" s="30">
        <v>0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206"/>
      <c r="BF196" s="206"/>
      <c r="BG196" s="206"/>
      <c r="BH196" s="206"/>
      <c r="BI196" s="81" t="s">
        <v>197</v>
      </c>
      <c r="BJ196" s="37">
        <v>1</v>
      </c>
      <c r="BK196" s="37">
        <f t="shared" ref="BK196:BL198" si="149">BJ196*1.1</f>
        <v>1.1000000000000001</v>
      </c>
      <c r="BL196" s="37">
        <f t="shared" si="149"/>
        <v>1.2100000000000002</v>
      </c>
      <c r="BN196" s="1"/>
      <c r="BO196" s="206"/>
      <c r="BP196" s="206"/>
    </row>
    <row r="197" spans="1:68" outlineLevel="1" x14ac:dyDescent="0.25">
      <c r="A197" s="217">
        <v>46388</v>
      </c>
      <c r="B197" s="81" t="s">
        <v>197</v>
      </c>
      <c r="C197" s="31">
        <f t="shared" ref="C197:C198" si="150">100000/12</f>
        <v>8333.3333333333339</v>
      </c>
      <c r="D197" s="30">
        <v>0</v>
      </c>
      <c r="E197" s="30">
        <v>0</v>
      </c>
      <c r="F197" s="30">
        <v>0</v>
      </c>
      <c r="G197" s="30">
        <v>1</v>
      </c>
      <c r="H197" s="30">
        <v>0</v>
      </c>
      <c r="I197" s="30">
        <v>0</v>
      </c>
      <c r="J197" s="30">
        <v>0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206"/>
      <c r="BF197" s="206"/>
      <c r="BG197" s="206"/>
      <c r="BH197" s="206"/>
      <c r="BI197" s="81" t="s">
        <v>197</v>
      </c>
      <c r="BJ197" s="37">
        <v>1</v>
      </c>
      <c r="BK197" s="37">
        <f t="shared" si="149"/>
        <v>1.1000000000000001</v>
      </c>
      <c r="BL197" s="37">
        <f t="shared" si="149"/>
        <v>1.2100000000000002</v>
      </c>
      <c r="BN197" s="1"/>
      <c r="BO197" s="206"/>
      <c r="BP197" s="206"/>
    </row>
    <row r="198" spans="1:68" outlineLevel="1" x14ac:dyDescent="0.25">
      <c r="A198" s="217">
        <v>46753</v>
      </c>
      <c r="B198" s="81" t="s">
        <v>197</v>
      </c>
      <c r="C198" s="31">
        <f t="shared" si="150"/>
        <v>8333.3333333333339</v>
      </c>
      <c r="D198" s="30">
        <v>0</v>
      </c>
      <c r="E198" s="30">
        <v>0</v>
      </c>
      <c r="F198" s="30">
        <v>0</v>
      </c>
      <c r="G198" s="30">
        <v>0</v>
      </c>
      <c r="H198" s="30">
        <v>1</v>
      </c>
      <c r="I198" s="30">
        <v>0</v>
      </c>
      <c r="J198" s="30">
        <v>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206"/>
      <c r="BF198" s="206"/>
      <c r="BG198" s="206"/>
      <c r="BH198" s="206"/>
      <c r="BI198" s="81" t="s">
        <v>197</v>
      </c>
      <c r="BJ198" s="37">
        <v>1</v>
      </c>
      <c r="BK198" s="37">
        <f t="shared" si="149"/>
        <v>1.1000000000000001</v>
      </c>
      <c r="BL198" s="37">
        <f t="shared" si="149"/>
        <v>1.2100000000000002</v>
      </c>
      <c r="BN198" s="1"/>
      <c r="BO198" s="206"/>
      <c r="BP198" s="206"/>
    </row>
    <row r="199" spans="1:68" outlineLevel="1" x14ac:dyDescent="0.25">
      <c r="A199" s="217"/>
      <c r="B199" s="208"/>
      <c r="C199" s="206"/>
      <c r="D199" s="206"/>
      <c r="E199" s="206"/>
      <c r="F199" s="206"/>
      <c r="G199" s="206"/>
      <c r="H199" s="206"/>
      <c r="I199" s="206"/>
      <c r="J199" s="206"/>
      <c r="K199" s="206"/>
      <c r="L199" s="206"/>
      <c r="M199" s="206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81"/>
      <c r="BJ199" s="208"/>
      <c r="BK199" s="208"/>
      <c r="BL199" s="208"/>
      <c r="BN199" s="1"/>
      <c r="BO199" s="206"/>
      <c r="BP199" s="206"/>
    </row>
    <row r="200" spans="1:68" outlineLevel="1" x14ac:dyDescent="0.25">
      <c r="A200" s="217">
        <v>45566</v>
      </c>
      <c r="B200" s="208" t="s">
        <v>198</v>
      </c>
      <c r="C200" s="31">
        <v>11666.666666666666</v>
      </c>
      <c r="D200" s="30">
        <v>1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206"/>
      <c r="BF200" s="206"/>
      <c r="BG200" s="206"/>
      <c r="BH200" s="206"/>
      <c r="BI200" s="208" t="s">
        <v>198</v>
      </c>
      <c r="BJ200" s="37">
        <v>1</v>
      </c>
      <c r="BK200" s="37">
        <f>BJ200*1.1</f>
        <v>1.1000000000000001</v>
      </c>
      <c r="BL200" s="37">
        <f>BK200*1.1</f>
        <v>1.2100000000000002</v>
      </c>
      <c r="BN200" s="1"/>
      <c r="BO200" s="206"/>
      <c r="BP200" s="206"/>
    </row>
    <row r="201" spans="1:68" outlineLevel="1" x14ac:dyDescent="0.25">
      <c r="A201" s="217">
        <v>46023</v>
      </c>
      <c r="B201" s="81" t="s">
        <v>199</v>
      </c>
      <c r="C201" s="31">
        <f>100000/12</f>
        <v>8333.3333333333339</v>
      </c>
      <c r="D201" s="30">
        <v>1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206"/>
      <c r="BF201" s="206"/>
      <c r="BG201" s="206"/>
      <c r="BH201" s="206"/>
      <c r="BI201" s="81" t="s">
        <v>199</v>
      </c>
      <c r="BJ201" s="37">
        <v>1</v>
      </c>
      <c r="BK201" s="37">
        <f>BJ201*1.1</f>
        <v>1.1000000000000001</v>
      </c>
      <c r="BL201" s="37">
        <f>BK201*1.1</f>
        <v>1.2100000000000002</v>
      </c>
      <c r="BN201" s="1"/>
      <c r="BO201" s="206"/>
      <c r="BP201" s="206"/>
    </row>
    <row r="202" spans="1:68" outlineLevel="1" x14ac:dyDescent="0.25">
      <c r="A202" s="217"/>
      <c r="B202" s="208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8"/>
      <c r="BJ202" s="208"/>
      <c r="BK202" s="208"/>
      <c r="BL202" s="208"/>
      <c r="BO202" s="206"/>
      <c r="BP202" s="206"/>
    </row>
    <row r="203" spans="1:68" outlineLevel="1" x14ac:dyDescent="0.25">
      <c r="A203" s="217">
        <v>45658</v>
      </c>
      <c r="B203" s="208" t="s">
        <v>200</v>
      </c>
      <c r="C203" s="31">
        <f>125000/12</f>
        <v>10416.666666666666</v>
      </c>
      <c r="D203" s="30">
        <v>1</v>
      </c>
      <c r="E203" s="30">
        <v>0</v>
      </c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206"/>
      <c r="BF203" s="206"/>
      <c r="BG203" s="206"/>
      <c r="BH203" s="206"/>
      <c r="BI203" s="208" t="s">
        <v>200</v>
      </c>
      <c r="BJ203" s="37">
        <v>1</v>
      </c>
      <c r="BK203" s="37">
        <f t="shared" ref="BK203:BL211" si="151">BJ203*1.1</f>
        <v>1.1000000000000001</v>
      </c>
      <c r="BL203" s="37">
        <f t="shared" si="151"/>
        <v>1.2100000000000002</v>
      </c>
      <c r="BO203" s="206"/>
      <c r="BP203" s="206"/>
    </row>
    <row r="204" spans="1:68" outlineLevel="1" x14ac:dyDescent="0.25">
      <c r="A204" s="217">
        <v>45962</v>
      </c>
      <c r="B204" s="208" t="s">
        <v>201</v>
      </c>
      <c r="C204" s="31">
        <v>6250</v>
      </c>
      <c r="D204" s="30">
        <v>1</v>
      </c>
      <c r="E204" s="30">
        <v>0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0">
        <v>0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206"/>
      <c r="BF204" s="206"/>
      <c r="BG204" s="206"/>
      <c r="BH204" s="206"/>
      <c r="BI204" s="208" t="s">
        <v>201</v>
      </c>
      <c r="BJ204" s="37">
        <v>1</v>
      </c>
      <c r="BK204" s="37">
        <f t="shared" si="151"/>
        <v>1.1000000000000001</v>
      </c>
      <c r="BL204" s="37">
        <f t="shared" si="151"/>
        <v>1.2100000000000002</v>
      </c>
      <c r="BO204" s="206"/>
      <c r="BP204" s="206"/>
    </row>
    <row r="205" spans="1:68" outlineLevel="1" x14ac:dyDescent="0.25">
      <c r="A205" s="217">
        <v>45658</v>
      </c>
      <c r="B205" s="208" t="s">
        <v>202</v>
      </c>
      <c r="C205" s="31">
        <f>100000/12</f>
        <v>8333.3333333333339</v>
      </c>
      <c r="D205" s="30">
        <v>1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30">
        <v>0</v>
      </c>
      <c r="P205" s="30">
        <v>0</v>
      </c>
      <c r="Q205" s="30">
        <v>1</v>
      </c>
      <c r="R205" s="30">
        <v>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1</v>
      </c>
      <c r="AZ205" s="30">
        <v>0</v>
      </c>
      <c r="BA205" s="30">
        <v>0</v>
      </c>
      <c r="BB205" s="30">
        <v>1</v>
      </c>
      <c r="BC205" s="30">
        <v>0</v>
      </c>
      <c r="BD205" s="30">
        <v>0</v>
      </c>
      <c r="BE205" s="206"/>
      <c r="BF205" s="206"/>
      <c r="BG205" s="206"/>
      <c r="BH205" s="206"/>
      <c r="BI205" s="208" t="s">
        <v>202</v>
      </c>
      <c r="BJ205" s="37">
        <v>1</v>
      </c>
      <c r="BK205" s="37">
        <f t="shared" si="151"/>
        <v>1.1000000000000001</v>
      </c>
      <c r="BL205" s="37">
        <f t="shared" si="151"/>
        <v>1.2100000000000002</v>
      </c>
      <c r="BO205" s="206"/>
      <c r="BP205" s="206"/>
    </row>
    <row r="206" spans="1:68" outlineLevel="1" x14ac:dyDescent="0.25">
      <c r="A206" s="217">
        <v>45658</v>
      </c>
      <c r="B206" s="208" t="s">
        <v>203</v>
      </c>
      <c r="C206" s="31">
        <v>9166.6666666666661</v>
      </c>
      <c r="D206" s="30">
        <v>1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206"/>
      <c r="BF206" s="206"/>
      <c r="BG206" s="206"/>
      <c r="BH206" s="206"/>
      <c r="BI206" s="208" t="s">
        <v>203</v>
      </c>
      <c r="BJ206" s="37">
        <v>1</v>
      </c>
      <c r="BK206" s="37">
        <f t="shared" si="151"/>
        <v>1.1000000000000001</v>
      </c>
      <c r="BL206" s="37">
        <f t="shared" si="151"/>
        <v>1.2100000000000002</v>
      </c>
      <c r="BO206" s="206"/>
      <c r="BP206" s="206"/>
    </row>
    <row r="207" spans="1:68" outlineLevel="1" x14ac:dyDescent="0.25">
      <c r="A207" s="217">
        <v>45658</v>
      </c>
      <c r="B207" s="208" t="s">
        <v>204</v>
      </c>
      <c r="C207" s="31">
        <v>6250</v>
      </c>
      <c r="D207" s="30">
        <v>1</v>
      </c>
      <c r="E207" s="30">
        <v>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206"/>
      <c r="BF207" s="206"/>
      <c r="BG207" s="206"/>
      <c r="BH207" s="206"/>
      <c r="BI207" s="208" t="s">
        <v>204</v>
      </c>
      <c r="BJ207" s="37">
        <v>1</v>
      </c>
      <c r="BK207" s="37">
        <f t="shared" si="151"/>
        <v>1.1000000000000001</v>
      </c>
      <c r="BL207" s="37">
        <f t="shared" si="151"/>
        <v>1.2100000000000002</v>
      </c>
      <c r="BO207" s="206"/>
      <c r="BP207" s="206"/>
    </row>
    <row r="208" spans="1:68" outlineLevel="1" x14ac:dyDescent="0.25">
      <c r="A208" s="217">
        <v>46023</v>
      </c>
      <c r="B208" s="81" t="s">
        <v>205</v>
      </c>
      <c r="C208" s="31">
        <f>100000/12</f>
        <v>8333.3333333333339</v>
      </c>
      <c r="D208" s="30">
        <v>0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1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30">
        <v>0</v>
      </c>
      <c r="AH208" s="30">
        <v>0</v>
      </c>
      <c r="AI208" s="30">
        <v>0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206"/>
      <c r="BF208" s="206"/>
      <c r="BG208" s="206"/>
      <c r="BH208" s="206"/>
      <c r="BI208" s="208" t="s">
        <v>205</v>
      </c>
      <c r="BJ208" s="37">
        <v>1</v>
      </c>
      <c r="BK208" s="37">
        <f t="shared" si="151"/>
        <v>1.1000000000000001</v>
      </c>
      <c r="BL208" s="37">
        <f t="shared" si="151"/>
        <v>1.2100000000000002</v>
      </c>
      <c r="BO208" s="206"/>
      <c r="BP208" s="206"/>
    </row>
    <row r="209" spans="1:68" outlineLevel="1" x14ac:dyDescent="0.25">
      <c r="A209" s="217">
        <v>46388</v>
      </c>
      <c r="B209" s="81" t="s">
        <v>205</v>
      </c>
      <c r="C209" s="31">
        <f t="shared" ref="C209:C210" si="152">100000/12</f>
        <v>8333.3333333333339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0">
        <v>1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206"/>
      <c r="BF209" s="206"/>
      <c r="BG209" s="206"/>
      <c r="BH209" s="206"/>
      <c r="BI209" s="208" t="s">
        <v>205</v>
      </c>
      <c r="BJ209" s="37">
        <v>1</v>
      </c>
      <c r="BK209" s="37">
        <f t="shared" si="151"/>
        <v>1.1000000000000001</v>
      </c>
      <c r="BL209" s="37">
        <f t="shared" si="151"/>
        <v>1.2100000000000002</v>
      </c>
      <c r="BO209" s="206"/>
      <c r="BP209" s="206"/>
    </row>
    <row r="210" spans="1:68" outlineLevel="1" x14ac:dyDescent="0.25">
      <c r="A210" s="217">
        <v>46753</v>
      </c>
      <c r="B210" s="81" t="s">
        <v>205</v>
      </c>
      <c r="C210" s="31">
        <f t="shared" si="152"/>
        <v>8333.3333333333339</v>
      </c>
      <c r="D210" s="30">
        <v>1</v>
      </c>
      <c r="E210" s="30">
        <v>0</v>
      </c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0">
        <v>0</v>
      </c>
      <c r="L210" s="30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1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206"/>
      <c r="BF210" s="206"/>
      <c r="BG210" s="206"/>
      <c r="BH210" s="206"/>
      <c r="BI210" s="208" t="s">
        <v>205</v>
      </c>
      <c r="BJ210" s="37">
        <v>1</v>
      </c>
      <c r="BK210" s="37">
        <f t="shared" si="151"/>
        <v>1.1000000000000001</v>
      </c>
      <c r="BL210" s="37">
        <f t="shared" si="151"/>
        <v>1.2100000000000002</v>
      </c>
      <c r="BO210" s="206"/>
      <c r="BP210" s="206"/>
    </row>
    <row r="211" spans="1:68" outlineLevel="1" x14ac:dyDescent="0.25">
      <c r="A211" s="217">
        <v>45870</v>
      </c>
      <c r="B211" s="208" t="s">
        <v>206</v>
      </c>
      <c r="C211" s="31">
        <v>6250</v>
      </c>
      <c r="D211" s="30">
        <v>1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0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206"/>
      <c r="BF211" s="206"/>
      <c r="BG211" s="206"/>
      <c r="BH211" s="206"/>
      <c r="BI211" s="208" t="s">
        <v>206</v>
      </c>
      <c r="BJ211" s="37">
        <v>1</v>
      </c>
      <c r="BK211" s="37">
        <f t="shared" si="151"/>
        <v>1.1000000000000001</v>
      </c>
      <c r="BL211" s="37">
        <f t="shared" si="151"/>
        <v>1.2100000000000002</v>
      </c>
      <c r="BO211" s="206"/>
      <c r="BP211" s="206"/>
    </row>
    <row r="212" spans="1:68" outlineLevel="1" x14ac:dyDescent="0.25">
      <c r="A212" s="217"/>
      <c r="B212" s="81"/>
      <c r="C212" s="206"/>
      <c r="D212" s="206"/>
      <c r="E212" s="206"/>
      <c r="F212" s="206"/>
      <c r="G212" s="206"/>
      <c r="H212" s="206"/>
      <c r="I212" s="206"/>
      <c r="J212" s="206"/>
      <c r="K212" s="206"/>
      <c r="L212" s="206"/>
      <c r="M212" s="206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  <c r="AB212" s="206"/>
      <c r="AC212" s="206"/>
      <c r="AD212" s="206"/>
      <c r="AE212" s="206"/>
      <c r="AF212" s="206"/>
      <c r="AG212" s="206"/>
      <c r="AH212" s="206"/>
      <c r="AI212" s="206"/>
      <c r="AJ212" s="206"/>
      <c r="AK212" s="206"/>
      <c r="AL212" s="206"/>
      <c r="AM212" s="206"/>
      <c r="AN212" s="206"/>
      <c r="AO212" s="206"/>
      <c r="AP212" s="206"/>
      <c r="AQ212" s="206"/>
      <c r="AR212" s="206"/>
      <c r="AS212" s="206"/>
      <c r="AT212" s="206"/>
      <c r="AU212" s="206"/>
      <c r="AV212" s="206"/>
      <c r="AW212" s="206"/>
      <c r="AX212" s="206"/>
      <c r="AY212" s="206"/>
      <c r="AZ212" s="206"/>
      <c r="BA212" s="206"/>
      <c r="BB212" s="206"/>
      <c r="BC212" s="206"/>
      <c r="BD212" s="206"/>
      <c r="BE212" s="206"/>
      <c r="BF212" s="206"/>
      <c r="BG212" s="206"/>
      <c r="BH212" s="206"/>
      <c r="BI212" s="81"/>
      <c r="BJ212" s="208"/>
      <c r="BK212" s="208"/>
      <c r="BL212" s="208"/>
      <c r="BO212" s="206"/>
      <c r="BP212" s="206"/>
    </row>
    <row r="213" spans="1:68" outlineLevel="1" x14ac:dyDescent="0.25">
      <c r="A213" s="217">
        <v>45658</v>
      </c>
      <c r="B213" s="208" t="s">
        <v>207</v>
      </c>
      <c r="C213" s="31">
        <v>11666.666666666666</v>
      </c>
      <c r="D213" s="30">
        <v>1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206"/>
      <c r="BF213" s="206"/>
      <c r="BG213" s="206"/>
      <c r="BH213" s="206"/>
      <c r="BI213" s="208" t="s">
        <v>207</v>
      </c>
      <c r="BJ213" s="37">
        <v>1</v>
      </c>
      <c r="BK213" s="37">
        <f t="shared" ref="BK213:BL215" si="153">BJ213*1.1</f>
        <v>1.1000000000000001</v>
      </c>
      <c r="BL213" s="37">
        <f t="shared" si="153"/>
        <v>1.2100000000000002</v>
      </c>
      <c r="BO213" s="206"/>
      <c r="BP213" s="206"/>
    </row>
    <row r="214" spans="1:68" outlineLevel="1" x14ac:dyDescent="0.25">
      <c r="A214" s="217">
        <v>45658</v>
      </c>
      <c r="B214" s="208" t="s">
        <v>208</v>
      </c>
      <c r="C214" s="31">
        <v>10416.666666666666</v>
      </c>
      <c r="D214" s="30">
        <v>1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0">
        <v>0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206"/>
      <c r="BF214" s="206"/>
      <c r="BG214" s="206"/>
      <c r="BH214" s="206"/>
      <c r="BI214" s="208" t="s">
        <v>208</v>
      </c>
      <c r="BJ214" s="37">
        <v>1</v>
      </c>
      <c r="BK214" s="37">
        <f t="shared" si="153"/>
        <v>1.1000000000000001</v>
      </c>
      <c r="BL214" s="37">
        <f t="shared" si="153"/>
        <v>1.2100000000000002</v>
      </c>
      <c r="BO214" s="206"/>
      <c r="BP214" s="206"/>
    </row>
    <row r="215" spans="1:68" outlineLevel="1" x14ac:dyDescent="0.25">
      <c r="A215" s="217">
        <v>45658</v>
      </c>
      <c r="B215" s="208" t="s">
        <v>209</v>
      </c>
      <c r="C215" s="31">
        <v>7500</v>
      </c>
      <c r="D215" s="30">
        <v>1</v>
      </c>
      <c r="E215" s="30">
        <v>0</v>
      </c>
      <c r="F215" s="30">
        <v>0</v>
      </c>
      <c r="G215" s="30">
        <v>0</v>
      </c>
      <c r="H215" s="30">
        <v>0</v>
      </c>
      <c r="I215" s="30">
        <v>0</v>
      </c>
      <c r="J215" s="30">
        <v>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206"/>
      <c r="BF215" s="206"/>
      <c r="BG215" s="206"/>
      <c r="BH215" s="206"/>
      <c r="BI215" s="208" t="s">
        <v>209</v>
      </c>
      <c r="BJ215" s="37">
        <v>1</v>
      </c>
      <c r="BK215" s="37">
        <f t="shared" si="153"/>
        <v>1.1000000000000001</v>
      </c>
      <c r="BL215" s="37">
        <f t="shared" si="153"/>
        <v>1.2100000000000002</v>
      </c>
      <c r="BN215" s="1"/>
      <c r="BO215" s="206"/>
      <c r="BP215" s="206"/>
    </row>
    <row r="216" spans="1:68" x14ac:dyDescent="0.25">
      <c r="A216" s="206"/>
      <c r="B216" s="206"/>
      <c r="C216" s="206"/>
      <c r="D216" s="206"/>
      <c r="E216" s="206"/>
      <c r="F216" s="206"/>
      <c r="G216" s="206"/>
      <c r="H216" s="206"/>
      <c r="I216" s="206"/>
      <c r="J216" s="206"/>
      <c r="K216" s="206"/>
      <c r="L216" s="206"/>
      <c r="M216" s="206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  <c r="AB216" s="206"/>
      <c r="AC216" s="206"/>
      <c r="AD216" s="206"/>
      <c r="AE216" s="206"/>
      <c r="AF216" s="206"/>
      <c r="AG216" s="206"/>
      <c r="AH216" s="206"/>
      <c r="AI216" s="206"/>
      <c r="AJ216" s="206"/>
      <c r="AK216" s="206"/>
      <c r="AL216" s="206"/>
      <c r="AM216" s="206"/>
      <c r="AN216" s="206"/>
      <c r="AO216" s="206"/>
      <c r="AP216" s="206"/>
      <c r="AQ216" s="206"/>
      <c r="AR216" s="206"/>
      <c r="AS216" s="206"/>
      <c r="AT216" s="206"/>
      <c r="AU216" s="206"/>
      <c r="AV216" s="206"/>
      <c r="AW216" s="206"/>
      <c r="AX216" s="206"/>
      <c r="AY216" s="206"/>
      <c r="AZ216" s="206"/>
      <c r="BA216" s="206"/>
      <c r="BB216" s="206"/>
      <c r="BC216" s="206"/>
      <c r="BD216" s="206"/>
      <c r="BE216" s="206"/>
      <c r="BF216" s="206"/>
      <c r="BG216" s="206"/>
      <c r="BH216" s="206"/>
      <c r="BI216" s="208"/>
      <c r="BJ216" s="208"/>
      <c r="BK216" s="208"/>
      <c r="BL216" s="208"/>
      <c r="BO216" s="206"/>
      <c r="BP216" s="206"/>
    </row>
    <row r="217" spans="1:68" outlineLevel="1" x14ac:dyDescent="0.25">
      <c r="A217" s="217">
        <v>45566</v>
      </c>
      <c r="B217" s="208" t="s">
        <v>421</v>
      </c>
      <c r="C217" s="31">
        <v>11666.666666666666</v>
      </c>
      <c r="D217" s="30">
        <v>1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0">
        <v>0</v>
      </c>
      <c r="L217" s="30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206"/>
      <c r="BF217" s="206"/>
      <c r="BG217" s="206"/>
      <c r="BH217" s="206"/>
      <c r="BI217" s="208" t="s">
        <v>421</v>
      </c>
      <c r="BJ217" s="37">
        <v>1</v>
      </c>
      <c r="BK217" s="37">
        <f t="shared" ref="BK217:BL223" si="154">BJ217*1.1</f>
        <v>1.1000000000000001</v>
      </c>
      <c r="BL217" s="37">
        <f t="shared" si="154"/>
        <v>1.2100000000000002</v>
      </c>
      <c r="BO217" s="206"/>
      <c r="BP217" s="206"/>
    </row>
    <row r="218" spans="1:68" outlineLevel="1" x14ac:dyDescent="0.25">
      <c r="A218" s="217">
        <v>45839</v>
      </c>
      <c r="B218" s="208" t="s">
        <v>422</v>
      </c>
      <c r="C218" s="31">
        <v>11250</v>
      </c>
      <c r="D218" s="30">
        <v>4</v>
      </c>
      <c r="E218" s="30">
        <v>0</v>
      </c>
      <c r="F218" s="30">
        <v>0</v>
      </c>
      <c r="G218" s="30">
        <v>0</v>
      </c>
      <c r="H218" s="30">
        <v>0</v>
      </c>
      <c r="I218" s="30">
        <v>0</v>
      </c>
      <c r="J218" s="30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206"/>
      <c r="BF218" s="206"/>
      <c r="BG218" s="206"/>
      <c r="BH218" s="206"/>
      <c r="BI218" s="208" t="s">
        <v>422</v>
      </c>
      <c r="BJ218" s="37">
        <v>1</v>
      </c>
      <c r="BK218" s="37">
        <f t="shared" si="154"/>
        <v>1.1000000000000001</v>
      </c>
      <c r="BL218" s="37">
        <f t="shared" si="154"/>
        <v>1.2100000000000002</v>
      </c>
      <c r="BO218" s="206"/>
      <c r="BP218" s="206"/>
    </row>
    <row r="219" spans="1:68" outlineLevel="1" x14ac:dyDescent="0.25">
      <c r="A219" s="217">
        <v>45778</v>
      </c>
      <c r="B219" s="208" t="s">
        <v>423</v>
      </c>
      <c r="C219" s="31">
        <v>7500</v>
      </c>
      <c r="D219" s="30">
        <v>1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0">
        <v>0</v>
      </c>
      <c r="AF219" s="30">
        <v>0</v>
      </c>
      <c r="AG219" s="30">
        <v>0</v>
      </c>
      <c r="AH219" s="30">
        <v>0</v>
      </c>
      <c r="AI219" s="30">
        <v>0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206"/>
      <c r="BF219" s="206"/>
      <c r="BG219" s="206"/>
      <c r="BH219" s="206"/>
      <c r="BI219" s="208" t="s">
        <v>423</v>
      </c>
      <c r="BJ219" s="37">
        <v>1</v>
      </c>
      <c r="BK219" s="37">
        <f t="shared" si="154"/>
        <v>1.1000000000000001</v>
      </c>
      <c r="BL219" s="37">
        <f t="shared" si="154"/>
        <v>1.2100000000000002</v>
      </c>
      <c r="BO219" s="206"/>
      <c r="BP219" s="206"/>
    </row>
    <row r="220" spans="1:68" outlineLevel="1" x14ac:dyDescent="0.25">
      <c r="A220" s="217">
        <v>45658</v>
      </c>
      <c r="B220" s="208" t="s">
        <v>210</v>
      </c>
      <c r="C220" s="31">
        <v>10000</v>
      </c>
      <c r="D220" s="30">
        <v>1</v>
      </c>
      <c r="E220" s="30">
        <v>0</v>
      </c>
      <c r="F220" s="30">
        <v>0</v>
      </c>
      <c r="G220" s="30">
        <v>0</v>
      </c>
      <c r="H220" s="30">
        <v>0</v>
      </c>
      <c r="I220" s="30">
        <v>0</v>
      </c>
      <c r="J220" s="30">
        <v>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0">
        <v>0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0</v>
      </c>
      <c r="BB220" s="30">
        <v>0</v>
      </c>
      <c r="BC220" s="30">
        <v>0</v>
      </c>
      <c r="BD220" s="30">
        <v>0</v>
      </c>
      <c r="BE220" s="206"/>
      <c r="BF220" s="206"/>
      <c r="BG220" s="206"/>
      <c r="BH220" s="206"/>
      <c r="BI220" s="208" t="s">
        <v>210</v>
      </c>
      <c r="BJ220" s="37">
        <v>1</v>
      </c>
      <c r="BK220" s="37">
        <f t="shared" si="154"/>
        <v>1.1000000000000001</v>
      </c>
      <c r="BL220" s="37">
        <f t="shared" si="154"/>
        <v>1.2100000000000002</v>
      </c>
      <c r="BO220" s="206"/>
      <c r="BP220" s="206"/>
    </row>
    <row r="221" spans="1:68" outlineLevel="1" x14ac:dyDescent="0.25">
      <c r="A221" s="217">
        <v>46023</v>
      </c>
      <c r="B221" s="81" t="s">
        <v>211</v>
      </c>
      <c r="C221" s="31">
        <v>10000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1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0</v>
      </c>
      <c r="AF221" s="30">
        <v>0</v>
      </c>
      <c r="AG221" s="30">
        <v>0</v>
      </c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206"/>
      <c r="BF221" s="206"/>
      <c r="BG221" s="206"/>
      <c r="BH221" s="206"/>
      <c r="BI221" s="81" t="s">
        <v>211</v>
      </c>
      <c r="BJ221" s="37">
        <v>1</v>
      </c>
      <c r="BK221" s="37">
        <f t="shared" si="154"/>
        <v>1.1000000000000001</v>
      </c>
      <c r="BL221" s="37">
        <f t="shared" si="154"/>
        <v>1.2100000000000002</v>
      </c>
      <c r="BO221" s="206"/>
      <c r="BP221" s="206"/>
    </row>
    <row r="222" spans="1:68" outlineLevel="1" x14ac:dyDescent="0.25">
      <c r="A222" s="217">
        <v>45962</v>
      </c>
      <c r="B222" s="208" t="s">
        <v>212</v>
      </c>
      <c r="C222" s="31">
        <v>6250</v>
      </c>
      <c r="D222" s="30">
        <v>1</v>
      </c>
      <c r="E222" s="30">
        <v>0</v>
      </c>
      <c r="F222" s="30">
        <v>0</v>
      </c>
      <c r="G222" s="30">
        <v>0</v>
      </c>
      <c r="H222" s="30">
        <v>0</v>
      </c>
      <c r="I222" s="30">
        <v>0</v>
      </c>
      <c r="J222" s="30">
        <v>0</v>
      </c>
      <c r="K222" s="30">
        <v>0</v>
      </c>
      <c r="L222" s="30">
        <v>0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0">
        <v>0</v>
      </c>
      <c r="AF222" s="30">
        <v>0</v>
      </c>
      <c r="AG222" s="30">
        <v>0</v>
      </c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206"/>
      <c r="BF222" s="206"/>
      <c r="BG222" s="206"/>
      <c r="BH222" s="206"/>
      <c r="BI222" s="208" t="s">
        <v>212</v>
      </c>
      <c r="BJ222" s="37">
        <v>1</v>
      </c>
      <c r="BK222" s="37">
        <f t="shared" si="154"/>
        <v>1.1000000000000001</v>
      </c>
      <c r="BL222" s="37">
        <f t="shared" si="154"/>
        <v>1.2100000000000002</v>
      </c>
      <c r="BO222" s="206"/>
      <c r="BP222" s="206"/>
    </row>
    <row r="223" spans="1:68" outlineLevel="1" x14ac:dyDescent="0.25">
      <c r="A223" s="217">
        <v>46235</v>
      </c>
      <c r="B223" s="208" t="s">
        <v>213</v>
      </c>
      <c r="C223" s="31">
        <v>8333.3333333333339</v>
      </c>
      <c r="D223" s="30">
        <v>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>
        <v>0</v>
      </c>
      <c r="AG223" s="30">
        <v>0</v>
      </c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206"/>
      <c r="BF223" s="206"/>
      <c r="BG223" s="206"/>
      <c r="BH223" s="206"/>
      <c r="BI223" s="208" t="s">
        <v>213</v>
      </c>
      <c r="BJ223" s="37">
        <v>1</v>
      </c>
      <c r="BK223" s="37">
        <f t="shared" si="154"/>
        <v>1.1000000000000001</v>
      </c>
      <c r="BL223" s="37">
        <f t="shared" si="154"/>
        <v>1.2100000000000002</v>
      </c>
      <c r="BO223" s="206"/>
      <c r="BP223" s="206"/>
    </row>
    <row r="224" spans="1:68" outlineLevel="1" x14ac:dyDescent="0.25">
      <c r="A224" s="217"/>
      <c r="B224" s="208"/>
      <c r="C224" s="206"/>
      <c r="D224" s="206"/>
      <c r="E224" s="206"/>
      <c r="F224" s="206"/>
      <c r="G224" s="206"/>
      <c r="H224" s="206"/>
      <c r="I224" s="206"/>
      <c r="J224" s="206"/>
      <c r="K224" s="206"/>
      <c r="L224" s="206"/>
      <c r="M224" s="206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  <c r="AB224" s="206"/>
      <c r="AC224" s="206"/>
      <c r="AD224" s="206"/>
      <c r="AE224" s="206"/>
      <c r="AF224" s="206"/>
      <c r="AG224" s="206"/>
      <c r="AH224" s="206"/>
      <c r="AI224" s="206"/>
      <c r="AJ224" s="206"/>
      <c r="AK224" s="206"/>
      <c r="AL224" s="206"/>
      <c r="AM224" s="206"/>
      <c r="AN224" s="206"/>
      <c r="AO224" s="206"/>
      <c r="AP224" s="206"/>
      <c r="AQ224" s="206"/>
      <c r="AR224" s="206"/>
      <c r="AS224" s="206"/>
      <c r="AT224" s="206"/>
      <c r="AU224" s="206"/>
      <c r="AV224" s="206"/>
      <c r="AW224" s="206"/>
      <c r="AX224" s="206"/>
      <c r="AY224" s="206"/>
      <c r="AZ224" s="206"/>
      <c r="BA224" s="206"/>
      <c r="BB224" s="206"/>
      <c r="BC224" s="206"/>
      <c r="BD224" s="206"/>
      <c r="BE224" s="206"/>
      <c r="BF224" s="206"/>
      <c r="BG224" s="206"/>
      <c r="BH224" s="206"/>
      <c r="BI224" s="208"/>
      <c r="BJ224" s="208"/>
      <c r="BK224" s="208"/>
      <c r="BL224" s="208"/>
      <c r="BO224" s="206"/>
      <c r="BP224" s="206"/>
    </row>
    <row r="225" spans="1:68" outlineLevel="1" x14ac:dyDescent="0.25">
      <c r="A225" s="217">
        <v>45658</v>
      </c>
      <c r="B225" s="208" t="s">
        <v>214</v>
      </c>
      <c r="C225" s="31">
        <v>8333.3333333333339</v>
      </c>
      <c r="D225" s="30">
        <v>1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206"/>
      <c r="BF225" s="206"/>
      <c r="BG225" s="206"/>
      <c r="BH225" s="206"/>
      <c r="BI225" s="208" t="s">
        <v>214</v>
      </c>
      <c r="BJ225" s="37">
        <v>1</v>
      </c>
      <c r="BK225" s="37">
        <f t="shared" ref="BK225:BL229" si="155">BJ225*1.1</f>
        <v>1.1000000000000001</v>
      </c>
      <c r="BL225" s="37">
        <f t="shared" si="155"/>
        <v>1.2100000000000002</v>
      </c>
      <c r="BO225" s="206"/>
      <c r="BP225" s="206"/>
    </row>
    <row r="226" spans="1:68" outlineLevel="1" x14ac:dyDescent="0.25">
      <c r="A226" s="217">
        <v>46023</v>
      </c>
      <c r="B226" s="208" t="s">
        <v>215</v>
      </c>
      <c r="C226" s="31">
        <v>8333.3333333333339</v>
      </c>
      <c r="D226" s="30">
        <v>1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0</v>
      </c>
      <c r="AF226" s="30">
        <v>0</v>
      </c>
      <c r="AG226" s="30">
        <v>0</v>
      </c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206"/>
      <c r="BF226" s="206"/>
      <c r="BG226" s="206"/>
      <c r="BH226" s="206"/>
      <c r="BI226" s="208" t="s">
        <v>215</v>
      </c>
      <c r="BJ226" s="37">
        <v>1</v>
      </c>
      <c r="BK226" s="37">
        <f t="shared" si="155"/>
        <v>1.1000000000000001</v>
      </c>
      <c r="BL226" s="37">
        <f t="shared" si="155"/>
        <v>1.2100000000000002</v>
      </c>
      <c r="BO226" s="206"/>
      <c r="BP226" s="206"/>
    </row>
    <row r="227" spans="1:68" outlineLevel="1" x14ac:dyDescent="0.25">
      <c r="A227" s="217">
        <v>46023</v>
      </c>
      <c r="B227" s="208" t="s">
        <v>216</v>
      </c>
      <c r="C227" s="31">
        <v>8333.3333333333339</v>
      </c>
      <c r="D227" s="30">
        <v>1</v>
      </c>
      <c r="E227" s="30">
        <v>0</v>
      </c>
      <c r="F227" s="30">
        <v>0</v>
      </c>
      <c r="G227" s="30">
        <v>0</v>
      </c>
      <c r="H227" s="30">
        <v>0</v>
      </c>
      <c r="I227" s="30">
        <v>0</v>
      </c>
      <c r="J227" s="30">
        <v>0</v>
      </c>
      <c r="K227" s="30">
        <v>0</v>
      </c>
      <c r="L227" s="30">
        <v>0</v>
      </c>
      <c r="M227" s="30">
        <v>0</v>
      </c>
      <c r="N227" s="30">
        <v>0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206"/>
      <c r="BF227" s="206"/>
      <c r="BG227" s="206"/>
      <c r="BH227" s="206"/>
      <c r="BI227" s="208" t="s">
        <v>216</v>
      </c>
      <c r="BJ227" s="37">
        <v>1</v>
      </c>
      <c r="BK227" s="37">
        <f t="shared" si="155"/>
        <v>1.1000000000000001</v>
      </c>
      <c r="BL227" s="37">
        <f t="shared" si="155"/>
        <v>1.2100000000000002</v>
      </c>
      <c r="BO227" s="206"/>
      <c r="BP227" s="206"/>
    </row>
    <row r="228" spans="1:68" outlineLevel="1" x14ac:dyDescent="0.25">
      <c r="A228" s="217">
        <v>46023</v>
      </c>
      <c r="B228" s="208" t="s">
        <v>217</v>
      </c>
      <c r="C228" s="31">
        <v>8333.3333333333339</v>
      </c>
      <c r="D228" s="30">
        <v>1</v>
      </c>
      <c r="E228" s="30">
        <v>0</v>
      </c>
      <c r="F228" s="30">
        <v>0</v>
      </c>
      <c r="G228" s="30">
        <v>0</v>
      </c>
      <c r="H228" s="30">
        <v>0</v>
      </c>
      <c r="I228" s="30">
        <v>0</v>
      </c>
      <c r="J228" s="30">
        <v>0</v>
      </c>
      <c r="K228" s="30">
        <v>0</v>
      </c>
      <c r="L228" s="30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0">
        <v>0</v>
      </c>
      <c r="AF228" s="30">
        <v>0</v>
      </c>
      <c r="AG228" s="30">
        <v>0</v>
      </c>
      <c r="AH228" s="30">
        <v>0</v>
      </c>
      <c r="AI228" s="30">
        <v>0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206"/>
      <c r="BF228" s="206"/>
      <c r="BG228" s="206"/>
      <c r="BH228" s="206"/>
      <c r="BI228" s="208" t="s">
        <v>217</v>
      </c>
      <c r="BJ228" s="37">
        <v>1</v>
      </c>
      <c r="BK228" s="37">
        <f t="shared" si="155"/>
        <v>1.1000000000000001</v>
      </c>
      <c r="BL228" s="37">
        <f t="shared" si="155"/>
        <v>1.2100000000000002</v>
      </c>
      <c r="BO228" s="206"/>
      <c r="BP228" s="206"/>
    </row>
    <row r="229" spans="1:68" outlineLevel="1" x14ac:dyDescent="0.25">
      <c r="A229" s="217">
        <v>46082</v>
      </c>
      <c r="B229" s="208" t="s">
        <v>424</v>
      </c>
      <c r="C229" s="31">
        <v>9583.3333333333339</v>
      </c>
      <c r="D229" s="30">
        <v>1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0">
        <v>0</v>
      </c>
      <c r="AF229" s="30">
        <v>0</v>
      </c>
      <c r="AG229" s="30">
        <v>0</v>
      </c>
      <c r="AH229" s="30">
        <v>0</v>
      </c>
      <c r="AI229" s="30">
        <v>0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206"/>
      <c r="BF229" s="206"/>
      <c r="BG229" s="206"/>
      <c r="BH229" s="206"/>
      <c r="BI229" s="208" t="s">
        <v>424</v>
      </c>
      <c r="BJ229" s="37">
        <v>1</v>
      </c>
      <c r="BK229" s="37">
        <f t="shared" si="155"/>
        <v>1.1000000000000001</v>
      </c>
      <c r="BL229" s="37">
        <f t="shared" si="155"/>
        <v>1.2100000000000002</v>
      </c>
      <c r="BO229" s="206"/>
      <c r="BP229" s="206"/>
    </row>
    <row r="230" spans="1:68" x14ac:dyDescent="0.25">
      <c r="A230" s="206"/>
      <c r="B230" s="206"/>
      <c r="C230" s="206"/>
      <c r="D230" s="206"/>
      <c r="E230" s="206"/>
      <c r="F230" s="206"/>
      <c r="G230" s="206"/>
      <c r="H230" s="206"/>
      <c r="I230" s="206"/>
      <c r="J230" s="206"/>
      <c r="K230" s="206"/>
      <c r="L230" s="206"/>
      <c r="M230" s="206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  <c r="AB230" s="206"/>
      <c r="AC230" s="206"/>
      <c r="AD230" s="206"/>
      <c r="AE230" s="206"/>
      <c r="AF230" s="206"/>
      <c r="AG230" s="206"/>
      <c r="AH230" s="206"/>
      <c r="AI230" s="206"/>
      <c r="AJ230" s="206"/>
      <c r="AK230" s="206"/>
      <c r="AL230" s="206"/>
      <c r="AM230" s="206"/>
      <c r="AN230" s="206"/>
      <c r="AO230" s="206"/>
      <c r="AP230" s="206"/>
      <c r="AQ230" s="206"/>
      <c r="AR230" s="206"/>
      <c r="AS230" s="206"/>
      <c r="AT230" s="206"/>
      <c r="AU230" s="206"/>
      <c r="AV230" s="206"/>
      <c r="AW230" s="206"/>
      <c r="AX230" s="206"/>
      <c r="AY230" s="206"/>
      <c r="AZ230" s="206"/>
      <c r="BA230" s="206"/>
      <c r="BB230" s="206"/>
      <c r="BC230" s="206"/>
      <c r="BD230" s="206"/>
      <c r="BE230" s="206"/>
      <c r="BF230" s="206"/>
      <c r="BG230" s="206"/>
      <c r="BH230" s="206"/>
      <c r="BI230" s="206"/>
      <c r="BJ230" s="208"/>
      <c r="BK230" s="208"/>
      <c r="BL230" s="208"/>
      <c r="BO230" s="206"/>
      <c r="BP230" s="206"/>
    </row>
    <row r="231" spans="1:68" outlineLevel="1" x14ac:dyDescent="0.25">
      <c r="A231" s="217">
        <v>45901</v>
      </c>
      <c r="B231" s="208" t="s">
        <v>218</v>
      </c>
      <c r="C231" s="31">
        <v>15416.666666666666</v>
      </c>
      <c r="D231" s="30">
        <v>1</v>
      </c>
      <c r="E231" s="30">
        <v>0</v>
      </c>
      <c r="F231" s="30">
        <v>0</v>
      </c>
      <c r="G231" s="30">
        <v>0</v>
      </c>
      <c r="H231" s="30">
        <v>0</v>
      </c>
      <c r="I231" s="30">
        <v>0</v>
      </c>
      <c r="J231" s="30">
        <v>0</v>
      </c>
      <c r="K231" s="30">
        <v>0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0">
        <v>0</v>
      </c>
      <c r="AF231" s="30">
        <v>0</v>
      </c>
      <c r="AG231" s="30">
        <v>0</v>
      </c>
      <c r="AH231" s="30">
        <v>0</v>
      </c>
      <c r="AI231" s="30">
        <v>0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206"/>
      <c r="BF231" s="206"/>
      <c r="BG231" s="206"/>
      <c r="BH231" s="206"/>
      <c r="BI231" s="208" t="s">
        <v>218</v>
      </c>
      <c r="BJ231" s="37">
        <v>1</v>
      </c>
      <c r="BK231" s="37">
        <f t="shared" ref="BK231:BL241" si="156">BJ231*1.1</f>
        <v>1.1000000000000001</v>
      </c>
      <c r="BL231" s="37">
        <f t="shared" si="156"/>
        <v>1.2100000000000002</v>
      </c>
      <c r="BO231" s="206"/>
      <c r="BP231" s="206"/>
    </row>
    <row r="232" spans="1:68" outlineLevel="1" x14ac:dyDescent="0.25">
      <c r="A232" s="217">
        <v>46023</v>
      </c>
      <c r="B232" s="208" t="s">
        <v>219</v>
      </c>
      <c r="C232" s="31">
        <v>5416.666666666667</v>
      </c>
      <c r="D232" s="30">
        <v>1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0">
        <v>0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206"/>
      <c r="BF232" s="206"/>
      <c r="BG232" s="206"/>
      <c r="BH232" s="206"/>
      <c r="BI232" s="208" t="s">
        <v>219</v>
      </c>
      <c r="BJ232" s="37">
        <v>1</v>
      </c>
      <c r="BK232" s="37">
        <f t="shared" si="156"/>
        <v>1.1000000000000001</v>
      </c>
      <c r="BL232" s="37">
        <f t="shared" si="156"/>
        <v>1.2100000000000002</v>
      </c>
      <c r="BO232" s="206"/>
      <c r="BP232" s="206"/>
    </row>
    <row r="233" spans="1:68" outlineLevel="1" x14ac:dyDescent="0.25">
      <c r="A233" s="217">
        <v>45658</v>
      </c>
      <c r="B233" s="208" t="s">
        <v>220</v>
      </c>
      <c r="C233" s="31">
        <v>6666.666666666667</v>
      </c>
      <c r="D233" s="30">
        <v>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0">
        <v>0</v>
      </c>
      <c r="AF233" s="30">
        <v>0</v>
      </c>
      <c r="AG233" s="30">
        <v>0</v>
      </c>
      <c r="AH233" s="30">
        <v>0</v>
      </c>
      <c r="AI233" s="30">
        <v>0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206"/>
      <c r="BF233" s="206"/>
      <c r="BG233" s="206"/>
      <c r="BH233" s="206"/>
      <c r="BI233" s="208" t="s">
        <v>220</v>
      </c>
      <c r="BJ233" s="37">
        <v>1</v>
      </c>
      <c r="BK233" s="37">
        <f t="shared" si="156"/>
        <v>1.1000000000000001</v>
      </c>
      <c r="BL233" s="37">
        <f t="shared" si="156"/>
        <v>1.2100000000000002</v>
      </c>
      <c r="BO233" s="206"/>
      <c r="BP233" s="206"/>
    </row>
    <row r="234" spans="1:68" outlineLevel="1" x14ac:dyDescent="0.25">
      <c r="A234" s="217">
        <v>45658</v>
      </c>
      <c r="B234" s="208" t="s">
        <v>221</v>
      </c>
      <c r="C234" s="31">
        <v>10000</v>
      </c>
      <c r="D234" s="30">
        <v>1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0">
        <v>0</v>
      </c>
      <c r="AF234" s="30">
        <v>0</v>
      </c>
      <c r="AG234" s="30">
        <v>0</v>
      </c>
      <c r="AH234" s="30">
        <v>0</v>
      </c>
      <c r="AI234" s="30">
        <v>0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206"/>
      <c r="BF234" s="206"/>
      <c r="BG234" s="206"/>
      <c r="BH234" s="206"/>
      <c r="BI234" s="208" t="s">
        <v>221</v>
      </c>
      <c r="BJ234" s="37">
        <v>1</v>
      </c>
      <c r="BK234" s="37">
        <f t="shared" si="156"/>
        <v>1.1000000000000001</v>
      </c>
      <c r="BL234" s="37">
        <f t="shared" si="156"/>
        <v>1.2100000000000002</v>
      </c>
      <c r="BO234" s="206"/>
      <c r="BP234" s="206"/>
    </row>
    <row r="235" spans="1:68" outlineLevel="1" x14ac:dyDescent="0.25">
      <c r="A235" s="217">
        <v>45627</v>
      </c>
      <c r="B235" s="208" t="s">
        <v>222</v>
      </c>
      <c r="C235" s="31">
        <v>9583.3333333333339</v>
      </c>
      <c r="D235" s="30">
        <v>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206"/>
      <c r="BF235" s="206"/>
      <c r="BG235" s="206"/>
      <c r="BH235" s="206"/>
      <c r="BI235" s="208" t="s">
        <v>222</v>
      </c>
      <c r="BJ235" s="37">
        <v>1</v>
      </c>
      <c r="BK235" s="37">
        <f t="shared" si="156"/>
        <v>1.1000000000000001</v>
      </c>
      <c r="BL235" s="37">
        <f t="shared" si="156"/>
        <v>1.2100000000000002</v>
      </c>
      <c r="BO235" s="206"/>
      <c r="BP235" s="206"/>
    </row>
    <row r="236" spans="1:68" outlineLevel="1" x14ac:dyDescent="0.25">
      <c r="A236" s="217">
        <v>45931</v>
      </c>
      <c r="B236" s="208" t="s">
        <v>223</v>
      </c>
      <c r="C236" s="31">
        <v>10416.666666666666</v>
      </c>
      <c r="D236" s="30">
        <v>1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0">
        <v>0</v>
      </c>
      <c r="AF236" s="30">
        <v>0</v>
      </c>
      <c r="AG236" s="30">
        <v>0</v>
      </c>
      <c r="AH236" s="30">
        <v>0</v>
      </c>
      <c r="AI236" s="30">
        <v>0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206"/>
      <c r="BF236" s="206"/>
      <c r="BG236" s="206"/>
      <c r="BH236" s="206"/>
      <c r="BI236" s="208" t="s">
        <v>223</v>
      </c>
      <c r="BJ236" s="37">
        <v>1</v>
      </c>
      <c r="BK236" s="37">
        <f t="shared" si="156"/>
        <v>1.1000000000000001</v>
      </c>
      <c r="BL236" s="37">
        <f t="shared" si="156"/>
        <v>1.2100000000000002</v>
      </c>
      <c r="BO236" s="206"/>
      <c r="BP236" s="206"/>
    </row>
    <row r="237" spans="1:68" outlineLevel="1" x14ac:dyDescent="0.25">
      <c r="A237" s="217">
        <v>45839</v>
      </c>
      <c r="B237" s="208" t="s">
        <v>224</v>
      </c>
      <c r="C237" s="31">
        <v>10833.333333333334</v>
      </c>
      <c r="D237" s="30">
        <v>1</v>
      </c>
      <c r="E237" s="30">
        <v>0</v>
      </c>
      <c r="F237" s="30">
        <v>0</v>
      </c>
      <c r="G237" s="30">
        <v>0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30">
        <v>0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206"/>
      <c r="BF237" s="206"/>
      <c r="BG237" s="206"/>
      <c r="BH237" s="206"/>
      <c r="BI237" s="208" t="s">
        <v>224</v>
      </c>
      <c r="BJ237" s="37">
        <v>1</v>
      </c>
      <c r="BK237" s="37">
        <f t="shared" si="156"/>
        <v>1.1000000000000001</v>
      </c>
      <c r="BL237" s="37">
        <f t="shared" si="156"/>
        <v>1.2100000000000002</v>
      </c>
      <c r="BO237" s="206"/>
      <c r="BP237" s="206"/>
    </row>
    <row r="238" spans="1:68" outlineLevel="1" x14ac:dyDescent="0.25">
      <c r="A238" s="217">
        <v>46023</v>
      </c>
      <c r="B238" s="81" t="s">
        <v>225</v>
      </c>
      <c r="C238" s="31">
        <v>10833.333333333334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1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206"/>
      <c r="BF238" s="206"/>
      <c r="BG238" s="206"/>
      <c r="BH238" s="206"/>
      <c r="BI238" s="81" t="s">
        <v>225</v>
      </c>
      <c r="BJ238" s="37">
        <v>1</v>
      </c>
      <c r="BK238" s="37">
        <f t="shared" si="156"/>
        <v>1.1000000000000001</v>
      </c>
      <c r="BL238" s="37">
        <f t="shared" si="156"/>
        <v>1.2100000000000002</v>
      </c>
      <c r="BO238" s="206"/>
      <c r="BP238" s="206"/>
    </row>
    <row r="239" spans="1:68" outlineLevel="1" x14ac:dyDescent="0.25">
      <c r="A239" s="217">
        <v>45778</v>
      </c>
      <c r="B239" s="208" t="s">
        <v>226</v>
      </c>
      <c r="C239" s="31">
        <v>7500</v>
      </c>
      <c r="D239" s="30">
        <v>1</v>
      </c>
      <c r="E239" s="30">
        <v>0</v>
      </c>
      <c r="F239" s="30">
        <v>0</v>
      </c>
      <c r="G239" s="30">
        <v>0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206"/>
      <c r="BF239" s="206"/>
      <c r="BG239" s="206"/>
      <c r="BH239" s="206"/>
      <c r="BI239" s="208" t="s">
        <v>226</v>
      </c>
      <c r="BJ239" s="37">
        <v>1</v>
      </c>
      <c r="BK239" s="37">
        <f t="shared" si="156"/>
        <v>1.1000000000000001</v>
      </c>
      <c r="BL239" s="37">
        <f t="shared" si="156"/>
        <v>1.2100000000000002</v>
      </c>
      <c r="BO239" s="206"/>
      <c r="BP239" s="206"/>
    </row>
    <row r="240" spans="1:68" outlineLevel="1" x14ac:dyDescent="0.25">
      <c r="A240" s="217">
        <v>46023</v>
      </c>
      <c r="B240" s="81" t="s">
        <v>227</v>
      </c>
      <c r="C240" s="31">
        <f>80000/12</f>
        <v>6666.666666666667</v>
      </c>
      <c r="D240" s="30">
        <v>1</v>
      </c>
      <c r="E240" s="30">
        <v>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1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206"/>
      <c r="BF240" s="206"/>
      <c r="BG240" s="206"/>
      <c r="BH240" s="206"/>
      <c r="BI240" s="81" t="s">
        <v>227</v>
      </c>
      <c r="BJ240" s="37">
        <v>1</v>
      </c>
      <c r="BK240" s="37">
        <f t="shared" si="156"/>
        <v>1.1000000000000001</v>
      </c>
      <c r="BL240" s="37">
        <f t="shared" si="156"/>
        <v>1.2100000000000002</v>
      </c>
      <c r="BO240" s="206"/>
      <c r="BP240" s="206"/>
    </row>
    <row r="241" spans="1:68" outlineLevel="1" x14ac:dyDescent="0.25">
      <c r="A241" s="217">
        <v>45658</v>
      </c>
      <c r="B241" s="208" t="s">
        <v>227</v>
      </c>
      <c r="C241" s="31">
        <v>4166.666666666667</v>
      </c>
      <c r="D241" s="30">
        <v>1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30">
        <v>0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206"/>
      <c r="BF241" s="206"/>
      <c r="BG241" s="206"/>
      <c r="BH241" s="206"/>
      <c r="BI241" s="208" t="s">
        <v>227</v>
      </c>
      <c r="BJ241" s="37">
        <v>1</v>
      </c>
      <c r="BK241" s="37">
        <f t="shared" si="156"/>
        <v>1.1000000000000001</v>
      </c>
      <c r="BL241" s="37">
        <f t="shared" si="156"/>
        <v>1.2100000000000002</v>
      </c>
      <c r="BO241" s="206"/>
      <c r="BP241" s="206"/>
    </row>
    <row r="242" spans="1:68" x14ac:dyDescent="0.25">
      <c r="A242" s="206"/>
      <c r="B242" s="206"/>
      <c r="C242" s="206"/>
      <c r="D242" s="206"/>
      <c r="E242" s="206"/>
      <c r="F242" s="206"/>
      <c r="G242" s="206"/>
      <c r="H242" s="206"/>
      <c r="I242" s="206"/>
      <c r="J242" s="206"/>
      <c r="K242" s="206"/>
      <c r="L242" s="206"/>
      <c r="M242" s="206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6"/>
      <c r="AC242" s="206"/>
      <c r="AD242" s="206"/>
      <c r="AE242" s="206"/>
      <c r="AF242" s="206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206"/>
      <c r="AW242" s="206"/>
      <c r="AX242" s="206"/>
      <c r="AY242" s="206"/>
      <c r="AZ242" s="206"/>
      <c r="BA242" s="206"/>
      <c r="BB242" s="206"/>
      <c r="BC242" s="206"/>
      <c r="BD242" s="206"/>
      <c r="BE242" s="206"/>
      <c r="BF242" s="206"/>
      <c r="BG242" s="206"/>
      <c r="BH242" s="206"/>
      <c r="BI242" s="206"/>
      <c r="BO242" s="206"/>
      <c r="BP242" s="206"/>
    </row>
    <row r="243" spans="1:68" outlineLevel="1" x14ac:dyDescent="0.25">
      <c r="A243" s="217">
        <v>45658</v>
      </c>
      <c r="B243" s="208" t="s">
        <v>228</v>
      </c>
      <c r="C243" s="31">
        <v>10000</v>
      </c>
      <c r="D243" s="30">
        <v>1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30">
        <v>0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206"/>
      <c r="BF243" s="206"/>
      <c r="BG243" s="206"/>
      <c r="BH243" s="206"/>
      <c r="BI243" s="208" t="s">
        <v>228</v>
      </c>
      <c r="BJ243" s="37">
        <v>1</v>
      </c>
      <c r="BK243" s="37">
        <f>BJ243*1.1</f>
        <v>1.1000000000000001</v>
      </c>
      <c r="BL243" s="37">
        <f>BK243*1.1</f>
        <v>1.2100000000000002</v>
      </c>
      <c r="BO243" s="206"/>
      <c r="BP243" s="206"/>
    </row>
    <row r="244" spans="1:68" outlineLevel="1" x14ac:dyDescent="0.25">
      <c r="A244" s="217">
        <v>45658</v>
      </c>
      <c r="B244" s="208" t="s">
        <v>229</v>
      </c>
      <c r="C244" s="31">
        <v>9583.3333333333339</v>
      </c>
      <c r="D244" s="30">
        <v>1</v>
      </c>
      <c r="E244" s="30">
        <v>0</v>
      </c>
      <c r="F244" s="30">
        <v>0</v>
      </c>
      <c r="G244" s="30">
        <v>0</v>
      </c>
      <c r="H244" s="30">
        <v>0</v>
      </c>
      <c r="I244" s="30">
        <v>0</v>
      </c>
      <c r="J244" s="30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0">
        <v>0</v>
      </c>
      <c r="AF244" s="30">
        <v>0</v>
      </c>
      <c r="AG244" s="30">
        <v>0</v>
      </c>
      <c r="AH244" s="30">
        <v>0</v>
      </c>
      <c r="AI244" s="30">
        <v>0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206"/>
      <c r="BF244" s="206"/>
      <c r="BG244" s="206"/>
      <c r="BH244" s="206"/>
      <c r="BI244" s="208" t="s">
        <v>229</v>
      </c>
      <c r="BJ244" s="37">
        <v>1</v>
      </c>
      <c r="BK244" s="37">
        <f>BJ244*1.1</f>
        <v>1.1000000000000001</v>
      </c>
      <c r="BL244" s="37">
        <f>BK244*1.1</f>
        <v>1.2100000000000002</v>
      </c>
      <c r="BO244" s="206"/>
      <c r="BP244" s="206"/>
    </row>
    <row r="245" spans="1:68" x14ac:dyDescent="0.25">
      <c r="A245" s="206"/>
      <c r="B245" s="206"/>
      <c r="C245" s="206"/>
      <c r="D245" s="206"/>
      <c r="E245" s="206"/>
      <c r="F245" s="206"/>
      <c r="G245" s="206"/>
      <c r="H245" s="20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  <c r="AD245" s="206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206"/>
      <c r="BJ245" s="208"/>
      <c r="BK245" s="208"/>
      <c r="BL245" s="208"/>
      <c r="BO245" s="206"/>
      <c r="BP245" s="206"/>
    </row>
    <row r="246" spans="1:68" outlineLevel="1" x14ac:dyDescent="0.25">
      <c r="A246" s="217">
        <v>45748</v>
      </c>
      <c r="B246" s="208" t="s">
        <v>230</v>
      </c>
      <c r="C246" s="31">
        <v>12500</v>
      </c>
      <c r="D246" s="30">
        <v>1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0">
        <v>0</v>
      </c>
      <c r="AF246" s="30">
        <v>0</v>
      </c>
      <c r="AG246" s="30">
        <v>0</v>
      </c>
      <c r="AH246" s="30">
        <v>0</v>
      </c>
      <c r="AI246" s="30">
        <v>0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206"/>
      <c r="BF246" s="206"/>
      <c r="BG246" s="206"/>
      <c r="BH246" s="206"/>
      <c r="BI246" s="208" t="s">
        <v>230</v>
      </c>
      <c r="BJ246" s="37">
        <v>1</v>
      </c>
      <c r="BK246" s="37">
        <f t="shared" ref="BK246:BL248" si="157">BJ246*1.1</f>
        <v>1.1000000000000001</v>
      </c>
      <c r="BL246" s="37">
        <f t="shared" si="157"/>
        <v>1.2100000000000002</v>
      </c>
      <c r="BO246" s="206"/>
      <c r="BP246" s="206"/>
    </row>
    <row r="247" spans="1:68" outlineLevel="1" x14ac:dyDescent="0.25">
      <c r="A247" s="217">
        <v>45658</v>
      </c>
      <c r="B247" s="208" t="s">
        <v>231</v>
      </c>
      <c r="C247" s="31">
        <v>5416.666666666667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2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0">
        <v>0</v>
      </c>
      <c r="AF247" s="30">
        <v>0</v>
      </c>
      <c r="AG247" s="30">
        <v>0</v>
      </c>
      <c r="AH247" s="30">
        <v>0</v>
      </c>
      <c r="AI247" s="30">
        <v>0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206"/>
      <c r="BF247" s="206"/>
      <c r="BG247" s="206"/>
      <c r="BH247" s="206"/>
      <c r="BI247" s="208" t="s">
        <v>231</v>
      </c>
      <c r="BJ247" s="37">
        <v>1</v>
      </c>
      <c r="BK247" s="37">
        <f t="shared" si="157"/>
        <v>1.1000000000000001</v>
      </c>
      <c r="BL247" s="37">
        <f t="shared" si="157"/>
        <v>1.2100000000000002</v>
      </c>
      <c r="BO247" s="206"/>
      <c r="BP247" s="206"/>
    </row>
    <row r="248" spans="1:68" outlineLevel="1" x14ac:dyDescent="0.25">
      <c r="A248" s="217">
        <v>46023</v>
      </c>
      <c r="B248" s="81" t="s">
        <v>232</v>
      </c>
      <c r="C248" s="31">
        <f>100000/12</f>
        <v>8333.3333333333339</v>
      </c>
      <c r="D248" s="30">
        <v>0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1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0">
        <v>0</v>
      </c>
      <c r="AF248" s="30">
        <v>0</v>
      </c>
      <c r="AG248" s="30">
        <v>0</v>
      </c>
      <c r="AH248" s="30">
        <v>0</v>
      </c>
      <c r="AI248" s="30">
        <v>0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206"/>
      <c r="BF248" s="206"/>
      <c r="BG248" s="206"/>
      <c r="BH248" s="206"/>
      <c r="BI248" s="81" t="s">
        <v>232</v>
      </c>
      <c r="BJ248" s="37">
        <v>1</v>
      </c>
      <c r="BK248" s="37">
        <f t="shared" si="157"/>
        <v>1.1000000000000001</v>
      </c>
      <c r="BL248" s="37">
        <f t="shared" si="157"/>
        <v>1.2100000000000002</v>
      </c>
      <c r="BO248" s="206"/>
      <c r="BP248" s="206"/>
    </row>
    <row r="249" spans="1:68" x14ac:dyDescent="0.25">
      <c r="A249" s="206"/>
      <c r="B249" s="206"/>
      <c r="C249" s="206"/>
      <c r="D249" s="206"/>
      <c r="E249" s="206"/>
      <c r="F249" s="206"/>
      <c r="G249" s="206"/>
      <c r="H249" s="206"/>
      <c r="I249" s="206"/>
      <c r="J249" s="206"/>
      <c r="K249" s="206"/>
      <c r="L249" s="206"/>
      <c r="M249" s="206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  <c r="AB249" s="206"/>
      <c r="AC249" s="206"/>
      <c r="AD249" s="206"/>
      <c r="AE249" s="206"/>
      <c r="AF249" s="206"/>
      <c r="AG249" s="206"/>
      <c r="AH249" s="206"/>
      <c r="AI249" s="206"/>
      <c r="AJ249" s="206"/>
      <c r="AK249" s="206"/>
      <c r="AL249" s="206"/>
      <c r="AM249" s="206"/>
      <c r="AN249" s="206"/>
      <c r="AO249" s="206"/>
      <c r="AP249" s="206"/>
      <c r="AQ249" s="206"/>
      <c r="AR249" s="206"/>
      <c r="AS249" s="206"/>
      <c r="AT249" s="206"/>
      <c r="AU249" s="206"/>
      <c r="AV249" s="206"/>
      <c r="AW249" s="206"/>
      <c r="AX249" s="206"/>
      <c r="AY249" s="206"/>
      <c r="AZ249" s="206"/>
      <c r="BA249" s="206"/>
      <c r="BB249" s="206"/>
      <c r="BC249" s="206"/>
      <c r="BD249" s="206"/>
      <c r="BE249" s="206"/>
      <c r="BF249" s="206"/>
      <c r="BG249" s="206"/>
      <c r="BH249" s="206"/>
      <c r="BI249" s="208"/>
      <c r="BJ249" s="208"/>
      <c r="BK249" s="208"/>
      <c r="BL249" s="208"/>
      <c r="BO249" s="206"/>
      <c r="BP249" s="206"/>
    </row>
    <row r="250" spans="1:68" outlineLevel="1" x14ac:dyDescent="0.25">
      <c r="A250" s="217">
        <v>45658</v>
      </c>
      <c r="B250" s="208" t="s">
        <v>233</v>
      </c>
      <c r="C250" s="31">
        <v>9166.6666666666661</v>
      </c>
      <c r="D250" s="30">
        <v>1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0">
        <v>0</v>
      </c>
      <c r="AF250" s="30">
        <v>0</v>
      </c>
      <c r="AG250" s="30">
        <v>0</v>
      </c>
      <c r="AH250" s="30">
        <v>0</v>
      </c>
      <c r="AI250" s="30">
        <v>0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206"/>
      <c r="BF250" s="206"/>
      <c r="BG250" s="206"/>
      <c r="BH250" s="206"/>
      <c r="BI250" s="208" t="s">
        <v>233</v>
      </c>
      <c r="BJ250" s="37">
        <v>1</v>
      </c>
      <c r="BK250" s="37">
        <f t="shared" ref="BK250:BL254" si="158">BJ250*1.1</f>
        <v>1.1000000000000001</v>
      </c>
      <c r="BL250" s="37">
        <f t="shared" si="158"/>
        <v>1.2100000000000002</v>
      </c>
      <c r="BO250" s="206"/>
      <c r="BP250" s="206"/>
    </row>
    <row r="251" spans="1:68" outlineLevel="1" x14ac:dyDescent="0.25">
      <c r="A251" s="217">
        <v>45839</v>
      </c>
      <c r="B251" s="208" t="s">
        <v>234</v>
      </c>
      <c r="C251" s="31">
        <v>10000</v>
      </c>
      <c r="D251" s="30">
        <v>1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0">
        <v>0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206"/>
      <c r="BF251" s="206"/>
      <c r="BG251" s="206"/>
      <c r="BH251" s="206"/>
      <c r="BI251" s="208" t="s">
        <v>234</v>
      </c>
      <c r="BJ251" s="37">
        <v>1</v>
      </c>
      <c r="BK251" s="37">
        <f t="shared" si="158"/>
        <v>1.1000000000000001</v>
      </c>
      <c r="BL251" s="37">
        <f t="shared" si="158"/>
        <v>1.2100000000000002</v>
      </c>
      <c r="BO251" s="206"/>
      <c r="BP251" s="206"/>
    </row>
    <row r="252" spans="1:68" outlineLevel="1" x14ac:dyDescent="0.25">
      <c r="A252" s="217">
        <v>45778</v>
      </c>
      <c r="B252" s="208" t="s">
        <v>235</v>
      </c>
      <c r="C252" s="31">
        <v>10000</v>
      </c>
      <c r="D252" s="30">
        <v>1</v>
      </c>
      <c r="E252" s="30">
        <v>0</v>
      </c>
      <c r="F252" s="30">
        <v>0</v>
      </c>
      <c r="G252" s="30">
        <v>0</v>
      </c>
      <c r="H252" s="30">
        <v>0</v>
      </c>
      <c r="I252" s="30">
        <v>0</v>
      </c>
      <c r="J252" s="30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0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0">
        <v>0</v>
      </c>
      <c r="AF252" s="30">
        <v>0</v>
      </c>
      <c r="AG252" s="30">
        <v>0</v>
      </c>
      <c r="AH252" s="30">
        <v>0</v>
      </c>
      <c r="AI252" s="30">
        <v>0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206"/>
      <c r="BF252" s="206"/>
      <c r="BG252" s="206"/>
      <c r="BH252" s="206"/>
      <c r="BI252" s="208" t="s">
        <v>235</v>
      </c>
      <c r="BJ252" s="37">
        <v>1</v>
      </c>
      <c r="BK252" s="37">
        <f t="shared" si="158"/>
        <v>1.1000000000000001</v>
      </c>
      <c r="BL252" s="37">
        <f t="shared" si="158"/>
        <v>1.2100000000000002</v>
      </c>
      <c r="BO252" s="206"/>
      <c r="BP252" s="206"/>
    </row>
    <row r="253" spans="1:68" outlineLevel="1" x14ac:dyDescent="0.25">
      <c r="A253" s="217">
        <v>45901</v>
      </c>
      <c r="B253" s="208" t="s">
        <v>236</v>
      </c>
      <c r="C253" s="31">
        <v>6250</v>
      </c>
      <c r="D253" s="30">
        <v>2</v>
      </c>
      <c r="E253" s="30">
        <v>0</v>
      </c>
      <c r="F253" s="30">
        <v>0</v>
      </c>
      <c r="G253" s="30">
        <v>0</v>
      </c>
      <c r="H253" s="30">
        <v>0</v>
      </c>
      <c r="I253" s="30">
        <v>0</v>
      </c>
      <c r="J253" s="30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30">
        <v>0</v>
      </c>
      <c r="Y253" s="30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0</v>
      </c>
      <c r="AF253" s="30">
        <v>0</v>
      </c>
      <c r="AG253" s="30">
        <v>0</v>
      </c>
      <c r="AH253" s="30">
        <v>0</v>
      </c>
      <c r="AI253" s="30">
        <v>0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206"/>
      <c r="BF253" s="206"/>
      <c r="BG253" s="206"/>
      <c r="BH253" s="206"/>
      <c r="BI253" s="208" t="s">
        <v>236</v>
      </c>
      <c r="BJ253" s="37">
        <v>1</v>
      </c>
      <c r="BK253" s="37">
        <f t="shared" si="158"/>
        <v>1.1000000000000001</v>
      </c>
      <c r="BL253" s="37">
        <f t="shared" si="158"/>
        <v>1.2100000000000002</v>
      </c>
      <c r="BN253" s="1"/>
      <c r="BO253" s="206"/>
      <c r="BP253" s="206"/>
    </row>
    <row r="254" spans="1:68" outlineLevel="1" x14ac:dyDescent="0.25">
      <c r="A254" s="217">
        <v>45658</v>
      </c>
      <c r="B254" s="115" t="s">
        <v>237</v>
      </c>
      <c r="C254" s="42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95">
        <v>0</v>
      </c>
      <c r="K254" s="95">
        <v>0</v>
      </c>
      <c r="L254" s="95">
        <v>0</v>
      </c>
      <c r="M254" s="95">
        <v>0</v>
      </c>
      <c r="N254" s="95">
        <v>0</v>
      </c>
      <c r="O254" s="95">
        <v>0</v>
      </c>
      <c r="P254" s="95">
        <v>0</v>
      </c>
      <c r="Q254" s="95">
        <v>0</v>
      </c>
      <c r="R254" s="95">
        <v>0</v>
      </c>
      <c r="S254" s="95">
        <v>0</v>
      </c>
      <c r="T254" s="95">
        <v>0</v>
      </c>
      <c r="U254" s="95">
        <v>0</v>
      </c>
      <c r="V254" s="95">
        <v>0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0</v>
      </c>
      <c r="AC254" s="95">
        <v>0</v>
      </c>
      <c r="AD254" s="95">
        <v>0</v>
      </c>
      <c r="AE254" s="95">
        <v>0</v>
      </c>
      <c r="AF254" s="95">
        <v>0</v>
      </c>
      <c r="AG254" s="95">
        <v>0</v>
      </c>
      <c r="AH254" s="95">
        <v>0</v>
      </c>
      <c r="AI254" s="95">
        <v>0</v>
      </c>
      <c r="AJ254" s="95">
        <v>0</v>
      </c>
      <c r="AK254" s="95">
        <v>0</v>
      </c>
      <c r="AL254" s="95">
        <v>0</v>
      </c>
      <c r="AM254" s="95">
        <v>0</v>
      </c>
      <c r="AN254" s="95">
        <v>0</v>
      </c>
      <c r="AO254" s="95">
        <v>0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0</v>
      </c>
      <c r="BD254" s="95">
        <v>0</v>
      </c>
      <c r="BE254" s="206"/>
      <c r="BF254" s="206"/>
      <c r="BG254" s="206"/>
      <c r="BH254" s="206"/>
      <c r="BI254" s="81" t="s">
        <v>237</v>
      </c>
      <c r="BJ254" s="37">
        <v>1</v>
      </c>
      <c r="BK254" s="37">
        <f t="shared" si="158"/>
        <v>1.1000000000000001</v>
      </c>
      <c r="BL254" s="37">
        <f t="shared" si="158"/>
        <v>1.2100000000000002</v>
      </c>
      <c r="BO254" s="206"/>
      <c r="BP254" s="206"/>
    </row>
    <row r="255" spans="1:68" x14ac:dyDescent="0.25">
      <c r="A255" s="206"/>
      <c r="B255" s="206"/>
      <c r="C255" s="206"/>
      <c r="D255" s="206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  <c r="AB255" s="206"/>
      <c r="AC255" s="206"/>
      <c r="AD255" s="206"/>
      <c r="AE255" s="206"/>
      <c r="AF255" s="206"/>
      <c r="AG255" s="206"/>
      <c r="AH255" s="206"/>
      <c r="AI255" s="206"/>
      <c r="AJ255" s="206"/>
      <c r="AK255" s="206"/>
      <c r="AL255" s="206"/>
      <c r="AM255" s="206"/>
      <c r="AN255" s="206"/>
      <c r="AO255" s="206"/>
      <c r="AP255" s="206"/>
      <c r="AQ255" s="206"/>
      <c r="AR255" s="206"/>
      <c r="AS255" s="206"/>
      <c r="AT255" s="206"/>
      <c r="AU255" s="206"/>
      <c r="AV255" s="206"/>
      <c r="AW255" s="206"/>
      <c r="AX255" s="206"/>
      <c r="AY255" s="206"/>
      <c r="AZ255" s="206"/>
      <c r="BA255" s="206"/>
      <c r="BB255" s="206"/>
      <c r="BC255" s="206"/>
      <c r="BD255" s="206"/>
      <c r="BE255" s="206"/>
      <c r="BF255" s="206"/>
      <c r="BG255" s="206"/>
      <c r="BH255" s="206"/>
      <c r="BI255" s="208"/>
      <c r="BJ255" s="208"/>
      <c r="BK255" s="208"/>
      <c r="BL255" s="208"/>
      <c r="BO255" s="206"/>
      <c r="BP255" s="206"/>
    </row>
    <row r="256" spans="1:68" x14ac:dyDescent="0.25">
      <c r="A256" s="87"/>
      <c r="B256" s="93" t="s">
        <v>238</v>
      </c>
      <c r="C256" s="34" t="s">
        <v>239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206"/>
      <c r="BF256" s="206"/>
      <c r="BG256" s="206"/>
      <c r="BH256" s="206"/>
      <c r="BI256" s="139" t="s">
        <v>270</v>
      </c>
      <c r="BJ256" s="208"/>
      <c r="BK256" s="208"/>
      <c r="BL256" s="208"/>
      <c r="BO256" s="206"/>
      <c r="BP256" s="206"/>
    </row>
    <row r="257" spans="1:68" outlineLevel="1" x14ac:dyDescent="0.25">
      <c r="A257" s="217">
        <v>45931</v>
      </c>
      <c r="B257" s="94" t="s">
        <v>240</v>
      </c>
      <c r="C257" s="31">
        <v>5000</v>
      </c>
      <c r="D257" s="30">
        <v>100</v>
      </c>
      <c r="E257" s="30">
        <v>99999999</v>
      </c>
      <c r="F257" s="30">
        <v>99999999</v>
      </c>
      <c r="G257" s="30">
        <v>99999999</v>
      </c>
      <c r="H257" s="30">
        <v>99999999</v>
      </c>
      <c r="I257" s="30">
        <v>99999999</v>
      </c>
      <c r="J257" s="30">
        <v>99999999</v>
      </c>
      <c r="K257" s="30">
        <v>99999999</v>
      </c>
      <c r="L257" s="30">
        <v>99999999</v>
      </c>
      <c r="M257" s="30">
        <v>99999999</v>
      </c>
      <c r="N257" s="30">
        <v>99999999</v>
      </c>
      <c r="O257" s="30">
        <v>99999999</v>
      </c>
      <c r="P257" s="30">
        <v>99999999</v>
      </c>
      <c r="Q257" s="30">
        <v>99999999</v>
      </c>
      <c r="R257" s="30">
        <v>99999999</v>
      </c>
      <c r="S257" s="30">
        <v>99999999</v>
      </c>
      <c r="T257" s="30">
        <v>99999999</v>
      </c>
      <c r="U257" s="30">
        <v>99999999</v>
      </c>
      <c r="V257" s="30">
        <v>99999999</v>
      </c>
      <c r="W257" s="30">
        <v>99999999</v>
      </c>
      <c r="X257" s="30">
        <v>99999999</v>
      </c>
      <c r="Y257" s="30">
        <v>99999999</v>
      </c>
      <c r="Z257" s="30">
        <v>99999999</v>
      </c>
      <c r="AA257" s="30">
        <v>99999999</v>
      </c>
      <c r="AB257" s="30">
        <v>99999999</v>
      </c>
      <c r="AC257" s="30">
        <v>99999999</v>
      </c>
      <c r="AD257" s="30">
        <v>99999999</v>
      </c>
      <c r="AE257" s="30">
        <v>99999999</v>
      </c>
      <c r="AF257" s="30">
        <v>99999999</v>
      </c>
      <c r="AG257" s="30">
        <v>99999999</v>
      </c>
      <c r="AH257" s="30">
        <v>99999999</v>
      </c>
      <c r="AI257" s="30">
        <v>99999999</v>
      </c>
      <c r="AJ257" s="30">
        <v>99999999</v>
      </c>
      <c r="AK257" s="30">
        <v>99999999</v>
      </c>
      <c r="AL257" s="30">
        <v>99999999</v>
      </c>
      <c r="AM257" s="30">
        <v>99999999</v>
      </c>
      <c r="AN257" s="30">
        <v>99999999</v>
      </c>
      <c r="AO257" s="30">
        <v>99999999</v>
      </c>
      <c r="AP257" s="30">
        <v>99999999</v>
      </c>
      <c r="AQ257" s="30">
        <v>99999999</v>
      </c>
      <c r="AR257" s="30">
        <v>99999999</v>
      </c>
      <c r="AS257" s="30">
        <v>99999999</v>
      </c>
      <c r="AT257" s="30">
        <v>99999999</v>
      </c>
      <c r="AU257" s="30">
        <v>99999999</v>
      </c>
      <c r="AV257" s="30">
        <v>99999999</v>
      </c>
      <c r="AW257" s="30">
        <v>99999999</v>
      </c>
      <c r="AX257" s="30">
        <v>99999999</v>
      </c>
      <c r="AY257" s="30">
        <v>99999999</v>
      </c>
      <c r="AZ257" s="30">
        <v>99999999</v>
      </c>
      <c r="BA257" s="30">
        <v>99999999</v>
      </c>
      <c r="BB257" s="30">
        <v>99999999</v>
      </c>
      <c r="BC257" s="30">
        <v>99999999</v>
      </c>
      <c r="BD257" s="30">
        <v>99999999</v>
      </c>
      <c r="BE257" s="206"/>
      <c r="BF257" s="206"/>
      <c r="BG257" s="206"/>
      <c r="BH257" s="206"/>
      <c r="BI257" s="208" t="s">
        <v>240</v>
      </c>
      <c r="BJ257" s="37">
        <v>1</v>
      </c>
      <c r="BK257" s="37">
        <f t="shared" ref="BK257:BL271" si="159">BJ257*1.1</f>
        <v>1.1000000000000001</v>
      </c>
      <c r="BL257" s="37">
        <f t="shared" si="159"/>
        <v>1.2100000000000002</v>
      </c>
      <c r="BO257" s="206"/>
      <c r="BP257" s="206"/>
    </row>
    <row r="258" spans="1:68" outlineLevel="1" x14ac:dyDescent="0.25">
      <c r="A258" s="217">
        <v>45839</v>
      </c>
      <c r="B258" s="94" t="s">
        <v>241</v>
      </c>
      <c r="C258" s="31">
        <v>5416.666666666667</v>
      </c>
      <c r="D258" s="30">
        <f>100/1.05</f>
        <v>95.238095238095241</v>
      </c>
      <c r="E258" s="30">
        <v>99999999</v>
      </c>
      <c r="F258" s="30">
        <v>99999999</v>
      </c>
      <c r="G258" s="30">
        <v>99999999</v>
      </c>
      <c r="H258" s="30">
        <v>99999999</v>
      </c>
      <c r="I258" s="30">
        <v>99999999</v>
      </c>
      <c r="J258" s="30">
        <v>99999999</v>
      </c>
      <c r="K258" s="30">
        <v>99999999</v>
      </c>
      <c r="L258" s="30">
        <v>99999999</v>
      </c>
      <c r="M258" s="30">
        <v>99999999</v>
      </c>
      <c r="N258" s="30">
        <v>99999999</v>
      </c>
      <c r="O258" s="30">
        <v>99999999</v>
      </c>
      <c r="P258" s="30">
        <v>99999999</v>
      </c>
      <c r="Q258" s="30">
        <v>99999999</v>
      </c>
      <c r="R258" s="30">
        <v>99999999</v>
      </c>
      <c r="S258" s="30">
        <v>99999999</v>
      </c>
      <c r="T258" s="30">
        <v>99999999</v>
      </c>
      <c r="U258" s="30">
        <v>99999999</v>
      </c>
      <c r="V258" s="30">
        <v>99999999</v>
      </c>
      <c r="W258" s="30">
        <v>99999999</v>
      </c>
      <c r="X258" s="30">
        <v>99999999</v>
      </c>
      <c r="Y258" s="30">
        <v>99999999</v>
      </c>
      <c r="Z258" s="30">
        <v>99999999</v>
      </c>
      <c r="AA258" s="30">
        <v>99999999</v>
      </c>
      <c r="AB258" s="30">
        <v>99999999</v>
      </c>
      <c r="AC258" s="30">
        <v>99999999</v>
      </c>
      <c r="AD258" s="30">
        <v>99999999</v>
      </c>
      <c r="AE258" s="30">
        <v>99999999</v>
      </c>
      <c r="AF258" s="30">
        <v>99999999</v>
      </c>
      <c r="AG258" s="30">
        <v>99999999</v>
      </c>
      <c r="AH258" s="30">
        <v>99999999</v>
      </c>
      <c r="AI258" s="30">
        <v>99999999</v>
      </c>
      <c r="AJ258" s="30">
        <v>99999999</v>
      </c>
      <c r="AK258" s="30">
        <v>99999999</v>
      </c>
      <c r="AL258" s="30">
        <v>99999999</v>
      </c>
      <c r="AM258" s="30">
        <v>99999999</v>
      </c>
      <c r="AN258" s="30">
        <v>99999999</v>
      </c>
      <c r="AO258" s="30">
        <v>99999999</v>
      </c>
      <c r="AP258" s="30">
        <v>99999999</v>
      </c>
      <c r="AQ258" s="30">
        <v>99999999</v>
      </c>
      <c r="AR258" s="30">
        <v>99999999</v>
      </c>
      <c r="AS258" s="30">
        <v>99999999</v>
      </c>
      <c r="AT258" s="30">
        <v>99999999</v>
      </c>
      <c r="AU258" s="30">
        <v>99999999</v>
      </c>
      <c r="AV258" s="30">
        <v>99999999</v>
      </c>
      <c r="AW258" s="30">
        <v>99999999</v>
      </c>
      <c r="AX258" s="30">
        <v>99999999</v>
      </c>
      <c r="AY258" s="30">
        <v>99999999</v>
      </c>
      <c r="AZ258" s="30">
        <v>99999999</v>
      </c>
      <c r="BA258" s="30">
        <v>99999999</v>
      </c>
      <c r="BB258" s="30">
        <v>99999999</v>
      </c>
      <c r="BC258" s="30">
        <v>99999999</v>
      </c>
      <c r="BD258" s="30">
        <v>99999999</v>
      </c>
      <c r="BE258" s="206"/>
      <c r="BF258" s="206"/>
      <c r="BG258" s="206"/>
      <c r="BH258" s="206"/>
      <c r="BI258" s="208" t="s">
        <v>241</v>
      </c>
      <c r="BJ258" s="37">
        <v>1</v>
      </c>
      <c r="BK258" s="37">
        <f t="shared" si="159"/>
        <v>1.1000000000000001</v>
      </c>
      <c r="BL258" s="37">
        <f t="shared" si="159"/>
        <v>1.2100000000000002</v>
      </c>
      <c r="BO258" s="206"/>
      <c r="BP258" s="206"/>
    </row>
    <row r="259" spans="1:68" outlineLevel="1" x14ac:dyDescent="0.25">
      <c r="A259" s="217">
        <v>45839</v>
      </c>
      <c r="B259" s="94" t="s">
        <v>242</v>
      </c>
      <c r="C259" s="31">
        <v>6250</v>
      </c>
      <c r="D259" s="30">
        <v>100</v>
      </c>
      <c r="E259" s="30">
        <v>99999999</v>
      </c>
      <c r="F259" s="30">
        <v>99999999</v>
      </c>
      <c r="G259" s="30">
        <v>99999999</v>
      </c>
      <c r="H259" s="30">
        <v>99999999</v>
      </c>
      <c r="I259" s="30">
        <v>99999999</v>
      </c>
      <c r="J259" s="30">
        <v>99999999</v>
      </c>
      <c r="K259" s="30">
        <v>99999999</v>
      </c>
      <c r="L259" s="30">
        <v>99999999</v>
      </c>
      <c r="M259" s="30">
        <v>99999999</v>
      </c>
      <c r="N259" s="30">
        <v>99999999</v>
      </c>
      <c r="O259" s="30">
        <v>99999999</v>
      </c>
      <c r="P259" s="30">
        <v>99999999</v>
      </c>
      <c r="Q259" s="30">
        <v>99999999</v>
      </c>
      <c r="R259" s="30">
        <v>99999999</v>
      </c>
      <c r="S259" s="30">
        <v>99999999</v>
      </c>
      <c r="T259" s="30">
        <v>99999999</v>
      </c>
      <c r="U259" s="30">
        <v>99999999</v>
      </c>
      <c r="V259" s="30">
        <v>99999999</v>
      </c>
      <c r="W259" s="30">
        <v>99999999</v>
      </c>
      <c r="X259" s="30">
        <v>99999999</v>
      </c>
      <c r="Y259" s="30">
        <v>99999999</v>
      </c>
      <c r="Z259" s="30">
        <v>99999999</v>
      </c>
      <c r="AA259" s="30">
        <v>99999999</v>
      </c>
      <c r="AB259" s="30">
        <v>99999999</v>
      </c>
      <c r="AC259" s="30">
        <v>99999999</v>
      </c>
      <c r="AD259" s="30">
        <v>99999999</v>
      </c>
      <c r="AE259" s="30">
        <v>99999999</v>
      </c>
      <c r="AF259" s="30">
        <v>99999999</v>
      </c>
      <c r="AG259" s="30">
        <v>99999999</v>
      </c>
      <c r="AH259" s="30">
        <v>99999999</v>
      </c>
      <c r="AI259" s="30">
        <v>99999999</v>
      </c>
      <c r="AJ259" s="30">
        <v>99999999</v>
      </c>
      <c r="AK259" s="30">
        <v>99999999</v>
      </c>
      <c r="AL259" s="30">
        <v>99999999</v>
      </c>
      <c r="AM259" s="30">
        <v>99999999</v>
      </c>
      <c r="AN259" s="30">
        <v>99999999</v>
      </c>
      <c r="AO259" s="30">
        <v>99999999</v>
      </c>
      <c r="AP259" s="30">
        <v>99999999</v>
      </c>
      <c r="AQ259" s="30">
        <v>99999999</v>
      </c>
      <c r="AR259" s="30">
        <v>99999999</v>
      </c>
      <c r="AS259" s="30">
        <v>99999999</v>
      </c>
      <c r="AT259" s="30">
        <v>99999999</v>
      </c>
      <c r="AU259" s="30">
        <v>99999999</v>
      </c>
      <c r="AV259" s="30">
        <v>99999999</v>
      </c>
      <c r="AW259" s="30">
        <v>99999999</v>
      </c>
      <c r="AX259" s="30">
        <v>99999999</v>
      </c>
      <c r="AY259" s="30">
        <v>99999999</v>
      </c>
      <c r="AZ259" s="30">
        <v>99999999</v>
      </c>
      <c r="BA259" s="30">
        <v>99999999</v>
      </c>
      <c r="BB259" s="30">
        <v>99999999</v>
      </c>
      <c r="BC259" s="30">
        <v>99999999</v>
      </c>
      <c r="BD259" s="30">
        <v>99999999</v>
      </c>
      <c r="BE259" s="206"/>
      <c r="BF259" s="206"/>
      <c r="BG259" s="206"/>
      <c r="BH259" s="206"/>
      <c r="BI259" s="208" t="s">
        <v>242</v>
      </c>
      <c r="BJ259" s="37">
        <v>1</v>
      </c>
      <c r="BK259" s="37">
        <f t="shared" si="159"/>
        <v>1.1000000000000001</v>
      </c>
      <c r="BL259" s="37">
        <f t="shared" si="159"/>
        <v>1.2100000000000002</v>
      </c>
      <c r="BO259" s="206"/>
      <c r="BP259" s="206"/>
    </row>
    <row r="260" spans="1:68" outlineLevel="1" x14ac:dyDescent="0.25">
      <c r="A260" s="217">
        <v>45658</v>
      </c>
      <c r="B260" s="94" t="s">
        <v>243</v>
      </c>
      <c r="C260" s="31">
        <v>7083.333333333333</v>
      </c>
      <c r="D260" s="30">
        <v>99999999</v>
      </c>
      <c r="E260" s="30">
        <v>99999999</v>
      </c>
      <c r="F260" s="30">
        <v>99999999</v>
      </c>
      <c r="G260" s="30">
        <v>99999999</v>
      </c>
      <c r="H260" s="30">
        <v>99999999</v>
      </c>
      <c r="I260" s="30">
        <v>53.333333333333336</v>
      </c>
      <c r="J260" s="30">
        <v>99999999</v>
      </c>
      <c r="K260" s="30">
        <v>53.333333333333336</v>
      </c>
      <c r="L260" s="30">
        <v>99999999</v>
      </c>
      <c r="M260" s="30">
        <v>53.333333333333336</v>
      </c>
      <c r="N260" s="30">
        <v>53.333333333333336</v>
      </c>
      <c r="O260" s="30">
        <v>53.333333333333336</v>
      </c>
      <c r="P260" s="30">
        <v>99999999</v>
      </c>
      <c r="Q260" s="30">
        <v>53.333333333333336</v>
      </c>
      <c r="R260" s="30">
        <v>99999999</v>
      </c>
      <c r="S260" s="30">
        <v>53.333333333333336</v>
      </c>
      <c r="T260" s="30">
        <v>99999999</v>
      </c>
      <c r="U260" s="30">
        <v>53.333333333333336</v>
      </c>
      <c r="V260" s="30">
        <v>53.333333333333336</v>
      </c>
      <c r="W260" s="30">
        <v>99999999</v>
      </c>
      <c r="X260" s="30">
        <v>53.333333333333336</v>
      </c>
      <c r="Y260" s="30">
        <v>99999999</v>
      </c>
      <c r="Z260" s="30">
        <v>53.333333333333336</v>
      </c>
      <c r="AA260" s="30">
        <v>99999999</v>
      </c>
      <c r="AB260" s="30">
        <v>53.333333333333336</v>
      </c>
      <c r="AC260" s="30">
        <v>99999999</v>
      </c>
      <c r="AD260" s="30">
        <v>53.333333333333336</v>
      </c>
      <c r="AE260" s="30">
        <v>99999999</v>
      </c>
      <c r="AF260" s="30">
        <v>53.333333333333336</v>
      </c>
      <c r="AG260" s="30">
        <v>53.333333333333336</v>
      </c>
      <c r="AH260" s="30">
        <v>99999999</v>
      </c>
      <c r="AI260" s="30">
        <v>53.333333333333336</v>
      </c>
      <c r="AJ260" s="30">
        <v>53.333333333333336</v>
      </c>
      <c r="AK260" s="30">
        <v>99999999</v>
      </c>
      <c r="AL260" s="30">
        <v>53.333333333333336</v>
      </c>
      <c r="AM260" s="30">
        <v>99999999</v>
      </c>
      <c r="AN260" s="30">
        <v>53.333333333333336</v>
      </c>
      <c r="AO260" s="30">
        <v>53.333333333333336</v>
      </c>
      <c r="AP260" s="30">
        <v>53.333333333333336</v>
      </c>
      <c r="AQ260" s="30">
        <v>99999999</v>
      </c>
      <c r="AR260" s="30">
        <v>53.333333333333336</v>
      </c>
      <c r="AS260" s="30">
        <v>99999999</v>
      </c>
      <c r="AT260" s="30">
        <v>53.333333333333336</v>
      </c>
      <c r="AU260" s="30">
        <v>53.333333333333336</v>
      </c>
      <c r="AV260" s="30">
        <v>53.333333333333336</v>
      </c>
      <c r="AW260" s="30">
        <v>53.333333333333336</v>
      </c>
      <c r="AX260" s="30">
        <v>53.333333333333336</v>
      </c>
      <c r="AY260" s="30">
        <v>53.333333333333336</v>
      </c>
      <c r="AZ260" s="30">
        <v>99999999</v>
      </c>
      <c r="BA260" s="30">
        <v>53.333333333333336</v>
      </c>
      <c r="BB260" s="30">
        <v>99999999</v>
      </c>
      <c r="BC260" s="30">
        <v>99999999</v>
      </c>
      <c r="BD260" s="30">
        <v>99999999</v>
      </c>
      <c r="BE260" s="206"/>
      <c r="BF260" s="206"/>
      <c r="BG260" s="206"/>
      <c r="BH260" s="206"/>
      <c r="BI260" s="208" t="s">
        <v>243</v>
      </c>
      <c r="BJ260" s="37">
        <v>1</v>
      </c>
      <c r="BK260" s="37">
        <f t="shared" si="159"/>
        <v>1.1000000000000001</v>
      </c>
      <c r="BL260" s="37">
        <f t="shared" si="159"/>
        <v>1.2100000000000002</v>
      </c>
      <c r="BO260" s="206"/>
      <c r="BP260" s="206"/>
    </row>
    <row r="261" spans="1:68" outlineLevel="1" x14ac:dyDescent="0.25">
      <c r="A261" s="217">
        <v>45901</v>
      </c>
      <c r="B261" s="94" t="s">
        <v>244</v>
      </c>
      <c r="C261" s="31">
        <v>7083.333333333333</v>
      </c>
      <c r="D261" s="30">
        <v>200</v>
      </c>
      <c r="E261" s="30">
        <v>99999999</v>
      </c>
      <c r="F261" s="30">
        <v>99999999</v>
      </c>
      <c r="G261" s="30">
        <v>99999999</v>
      </c>
      <c r="H261" s="30">
        <v>99999999</v>
      </c>
      <c r="I261" s="30">
        <v>99999999</v>
      </c>
      <c r="J261" s="30">
        <v>99999999</v>
      </c>
      <c r="K261" s="30">
        <v>99999999</v>
      </c>
      <c r="L261" s="30">
        <v>99999999</v>
      </c>
      <c r="M261" s="30">
        <v>99999999</v>
      </c>
      <c r="N261" s="30">
        <v>99999999</v>
      </c>
      <c r="O261" s="30">
        <v>99999999</v>
      </c>
      <c r="P261" s="30">
        <v>99999999</v>
      </c>
      <c r="Q261" s="30">
        <v>99999999</v>
      </c>
      <c r="R261" s="30">
        <v>99999999</v>
      </c>
      <c r="S261" s="30">
        <v>99999999</v>
      </c>
      <c r="T261" s="30">
        <v>99999999</v>
      </c>
      <c r="U261" s="30">
        <v>99999999</v>
      </c>
      <c r="V261" s="30">
        <v>99999999</v>
      </c>
      <c r="W261" s="30">
        <v>99999999</v>
      </c>
      <c r="X261" s="30">
        <v>99999999</v>
      </c>
      <c r="Y261" s="30">
        <v>99999999</v>
      </c>
      <c r="Z261" s="30">
        <v>99999999</v>
      </c>
      <c r="AA261" s="30">
        <v>99999999</v>
      </c>
      <c r="AB261" s="30">
        <v>99999999</v>
      </c>
      <c r="AC261" s="30">
        <v>99999999</v>
      </c>
      <c r="AD261" s="30">
        <v>99999999</v>
      </c>
      <c r="AE261" s="30">
        <v>99999999</v>
      </c>
      <c r="AF261" s="30">
        <v>99999999</v>
      </c>
      <c r="AG261" s="30">
        <v>99999999</v>
      </c>
      <c r="AH261" s="30">
        <v>99999999</v>
      </c>
      <c r="AI261" s="30">
        <v>99999999</v>
      </c>
      <c r="AJ261" s="30">
        <v>99999999</v>
      </c>
      <c r="AK261" s="30">
        <v>99999999</v>
      </c>
      <c r="AL261" s="30">
        <v>99999999</v>
      </c>
      <c r="AM261" s="30">
        <v>99999999</v>
      </c>
      <c r="AN261" s="30">
        <v>99999999</v>
      </c>
      <c r="AO261" s="30">
        <v>99999999</v>
      </c>
      <c r="AP261" s="30">
        <v>99999999</v>
      </c>
      <c r="AQ261" s="30">
        <v>99999999</v>
      </c>
      <c r="AR261" s="30">
        <v>99999999</v>
      </c>
      <c r="AS261" s="30">
        <v>99999999</v>
      </c>
      <c r="AT261" s="30">
        <v>99999999</v>
      </c>
      <c r="AU261" s="30">
        <v>99999999</v>
      </c>
      <c r="AV261" s="30">
        <v>99999999</v>
      </c>
      <c r="AW261" s="30">
        <v>99999999</v>
      </c>
      <c r="AX261" s="30">
        <v>99999999</v>
      </c>
      <c r="AY261" s="30">
        <v>99999999</v>
      </c>
      <c r="AZ261" s="30">
        <v>99999999</v>
      </c>
      <c r="BA261" s="30">
        <v>99999999</v>
      </c>
      <c r="BB261" s="30">
        <v>99999999</v>
      </c>
      <c r="BC261" s="30">
        <v>99999999</v>
      </c>
      <c r="BD261" s="30">
        <v>99999999</v>
      </c>
      <c r="BE261" s="206"/>
      <c r="BF261" s="206"/>
      <c r="BG261" s="206"/>
      <c r="BH261" s="206"/>
      <c r="BI261" s="208" t="s">
        <v>244</v>
      </c>
      <c r="BJ261" s="37">
        <v>1</v>
      </c>
      <c r="BK261" s="37">
        <f t="shared" si="159"/>
        <v>1.1000000000000001</v>
      </c>
      <c r="BL261" s="37">
        <f t="shared" si="159"/>
        <v>1.2100000000000002</v>
      </c>
      <c r="BO261" s="206"/>
      <c r="BP261" s="206"/>
    </row>
    <row r="262" spans="1:68" outlineLevel="1" x14ac:dyDescent="0.25">
      <c r="A262" s="217">
        <v>45658</v>
      </c>
      <c r="B262" s="94" t="s">
        <v>245</v>
      </c>
      <c r="C262" s="31">
        <f>65000/12</f>
        <v>5416.666666666667</v>
      </c>
      <c r="D262" s="30">
        <v>99999999</v>
      </c>
      <c r="E262" s="30">
        <v>99999999</v>
      </c>
      <c r="F262" s="30">
        <v>99999999</v>
      </c>
      <c r="G262" s="30">
        <v>99999999</v>
      </c>
      <c r="H262" s="30">
        <v>99999999</v>
      </c>
      <c r="I262" s="30">
        <v>288</v>
      </c>
      <c r="J262" s="30">
        <v>99999999</v>
      </c>
      <c r="K262" s="30">
        <v>288</v>
      </c>
      <c r="L262" s="30">
        <v>99999999</v>
      </c>
      <c r="M262" s="30">
        <v>288</v>
      </c>
      <c r="N262" s="30">
        <v>288</v>
      </c>
      <c r="O262" s="30">
        <v>288</v>
      </c>
      <c r="P262" s="30">
        <v>99999999</v>
      </c>
      <c r="Q262" s="30">
        <v>288</v>
      </c>
      <c r="R262" s="30">
        <v>99999999</v>
      </c>
      <c r="S262" s="30">
        <v>288</v>
      </c>
      <c r="T262" s="30">
        <v>99999999</v>
      </c>
      <c r="U262" s="30">
        <v>288</v>
      </c>
      <c r="V262" s="30">
        <v>288</v>
      </c>
      <c r="W262" s="30">
        <v>99999999</v>
      </c>
      <c r="X262" s="30">
        <v>288</v>
      </c>
      <c r="Y262" s="30">
        <v>99999999</v>
      </c>
      <c r="Z262" s="30">
        <v>288</v>
      </c>
      <c r="AA262" s="30">
        <v>99999999</v>
      </c>
      <c r="AB262" s="30">
        <v>288</v>
      </c>
      <c r="AC262" s="30">
        <v>99999999</v>
      </c>
      <c r="AD262" s="30">
        <v>288</v>
      </c>
      <c r="AE262" s="30">
        <v>99999999</v>
      </c>
      <c r="AF262" s="30">
        <v>288</v>
      </c>
      <c r="AG262" s="30">
        <v>288</v>
      </c>
      <c r="AH262" s="30">
        <v>99999999</v>
      </c>
      <c r="AI262" s="30">
        <v>288</v>
      </c>
      <c r="AJ262" s="30">
        <v>288</v>
      </c>
      <c r="AK262" s="30">
        <v>99999999</v>
      </c>
      <c r="AL262" s="30">
        <v>288</v>
      </c>
      <c r="AM262" s="30">
        <v>99999999</v>
      </c>
      <c r="AN262" s="30">
        <v>288</v>
      </c>
      <c r="AO262" s="30">
        <v>288</v>
      </c>
      <c r="AP262" s="30">
        <v>288</v>
      </c>
      <c r="AQ262" s="30">
        <v>99999999</v>
      </c>
      <c r="AR262" s="30">
        <v>288</v>
      </c>
      <c r="AS262" s="30">
        <v>99999999</v>
      </c>
      <c r="AT262" s="30">
        <v>288</v>
      </c>
      <c r="AU262" s="30">
        <v>288</v>
      </c>
      <c r="AV262" s="30">
        <v>288</v>
      </c>
      <c r="AW262" s="30">
        <v>288</v>
      </c>
      <c r="AX262" s="30">
        <v>288</v>
      </c>
      <c r="AY262" s="30">
        <v>288</v>
      </c>
      <c r="AZ262" s="30">
        <v>99999999</v>
      </c>
      <c r="BA262" s="30">
        <v>288</v>
      </c>
      <c r="BB262" s="30">
        <v>99999999</v>
      </c>
      <c r="BC262" s="30">
        <v>99999999</v>
      </c>
      <c r="BD262" s="30">
        <v>99999999</v>
      </c>
      <c r="BE262" s="206"/>
      <c r="BF262" s="206"/>
      <c r="BG262" s="206"/>
      <c r="BH262" s="206"/>
      <c r="BI262" s="208" t="s">
        <v>245</v>
      </c>
      <c r="BJ262" s="37">
        <v>1</v>
      </c>
      <c r="BK262" s="37">
        <f t="shared" si="159"/>
        <v>1.1000000000000001</v>
      </c>
      <c r="BL262" s="37">
        <f t="shared" si="159"/>
        <v>1.2100000000000002</v>
      </c>
      <c r="BO262" s="206"/>
      <c r="BP262" s="206"/>
    </row>
    <row r="263" spans="1:68" outlineLevel="1" x14ac:dyDescent="0.25">
      <c r="A263" s="217">
        <v>45962</v>
      </c>
      <c r="B263" s="94" t="s">
        <v>246</v>
      </c>
      <c r="C263" s="31">
        <f>55000/12</f>
        <v>4583.333333333333</v>
      </c>
      <c r="D263" s="30">
        <v>99999999</v>
      </c>
      <c r="E263" s="30">
        <v>99999999</v>
      </c>
      <c r="F263" s="30">
        <v>99999999</v>
      </c>
      <c r="G263" s="30">
        <v>99999999</v>
      </c>
      <c r="H263" s="30">
        <v>99999999</v>
      </c>
      <c r="I263" s="30">
        <v>576</v>
      </c>
      <c r="J263" s="30">
        <v>99999999</v>
      </c>
      <c r="K263" s="30">
        <v>576</v>
      </c>
      <c r="L263" s="30">
        <v>99999999</v>
      </c>
      <c r="M263" s="30">
        <v>576</v>
      </c>
      <c r="N263" s="30">
        <v>576</v>
      </c>
      <c r="O263" s="30">
        <v>576</v>
      </c>
      <c r="P263" s="30">
        <v>99999999</v>
      </c>
      <c r="Q263" s="30">
        <v>576</v>
      </c>
      <c r="R263" s="30">
        <v>99999999</v>
      </c>
      <c r="S263" s="30">
        <v>576</v>
      </c>
      <c r="T263" s="30">
        <v>99999999</v>
      </c>
      <c r="U263" s="30">
        <v>576</v>
      </c>
      <c r="V263" s="30">
        <v>576</v>
      </c>
      <c r="W263" s="30">
        <v>99999999</v>
      </c>
      <c r="X263" s="30">
        <v>576</v>
      </c>
      <c r="Y263" s="30">
        <v>99999999</v>
      </c>
      <c r="Z263" s="30">
        <v>576</v>
      </c>
      <c r="AA263" s="30">
        <v>99999999</v>
      </c>
      <c r="AB263" s="30">
        <v>576</v>
      </c>
      <c r="AC263" s="30">
        <v>99999999</v>
      </c>
      <c r="AD263" s="30">
        <v>576</v>
      </c>
      <c r="AE263" s="30">
        <v>99999999</v>
      </c>
      <c r="AF263" s="30">
        <v>576</v>
      </c>
      <c r="AG263" s="30">
        <v>576</v>
      </c>
      <c r="AH263" s="30">
        <v>99999999</v>
      </c>
      <c r="AI263" s="30">
        <v>576</v>
      </c>
      <c r="AJ263" s="30">
        <v>576</v>
      </c>
      <c r="AK263" s="30">
        <v>99999999</v>
      </c>
      <c r="AL263" s="30">
        <v>576</v>
      </c>
      <c r="AM263" s="30">
        <v>99999999</v>
      </c>
      <c r="AN263" s="30">
        <v>576</v>
      </c>
      <c r="AO263" s="30">
        <v>576</v>
      </c>
      <c r="AP263" s="30">
        <v>576</v>
      </c>
      <c r="AQ263" s="30">
        <v>99999999</v>
      </c>
      <c r="AR263" s="30">
        <v>576</v>
      </c>
      <c r="AS263" s="30">
        <v>99999999</v>
      </c>
      <c r="AT263" s="30">
        <v>576</v>
      </c>
      <c r="AU263" s="30">
        <v>576</v>
      </c>
      <c r="AV263" s="30">
        <v>576</v>
      </c>
      <c r="AW263" s="30">
        <v>576</v>
      </c>
      <c r="AX263" s="30">
        <v>576</v>
      </c>
      <c r="AY263" s="30">
        <v>576</v>
      </c>
      <c r="AZ263" s="30">
        <v>99999999</v>
      </c>
      <c r="BA263" s="30">
        <v>576</v>
      </c>
      <c r="BB263" s="30">
        <v>99999999</v>
      </c>
      <c r="BC263" s="30">
        <v>99999999</v>
      </c>
      <c r="BD263" s="30">
        <v>99999999</v>
      </c>
      <c r="BE263" s="206"/>
      <c r="BF263" s="206"/>
      <c r="BG263" s="206"/>
      <c r="BH263" s="206"/>
      <c r="BI263" s="208" t="s">
        <v>246</v>
      </c>
      <c r="BJ263" s="37">
        <v>1</v>
      </c>
      <c r="BK263" s="37">
        <f t="shared" si="159"/>
        <v>1.1000000000000001</v>
      </c>
      <c r="BL263" s="37">
        <f t="shared" si="159"/>
        <v>1.2100000000000002</v>
      </c>
      <c r="BO263" s="206"/>
      <c r="BP263" s="206"/>
    </row>
    <row r="264" spans="1:68" outlineLevel="1" x14ac:dyDescent="0.25">
      <c r="A264" s="217">
        <v>45658</v>
      </c>
      <c r="B264" s="94" t="s">
        <v>247</v>
      </c>
      <c r="C264" s="31">
        <v>7083.333333333333</v>
      </c>
      <c r="D264" s="30">
        <v>99999999</v>
      </c>
      <c r="E264" s="30">
        <v>99999999</v>
      </c>
      <c r="F264" s="30">
        <v>99999999</v>
      </c>
      <c r="G264" s="30">
        <v>99999999</v>
      </c>
      <c r="H264" s="30">
        <v>99999999</v>
      </c>
      <c r="I264" s="30">
        <v>333</v>
      </c>
      <c r="J264" s="30">
        <v>99999999</v>
      </c>
      <c r="K264" s="30">
        <v>333</v>
      </c>
      <c r="L264" s="30">
        <v>99999999</v>
      </c>
      <c r="M264" s="30">
        <v>333</v>
      </c>
      <c r="N264" s="30">
        <v>333</v>
      </c>
      <c r="O264" s="30">
        <v>333</v>
      </c>
      <c r="P264" s="30">
        <v>99999999</v>
      </c>
      <c r="Q264" s="30">
        <v>333</v>
      </c>
      <c r="R264" s="30">
        <v>99999999</v>
      </c>
      <c r="S264" s="30">
        <v>333</v>
      </c>
      <c r="T264" s="30">
        <v>99999999</v>
      </c>
      <c r="U264" s="30">
        <v>333</v>
      </c>
      <c r="V264" s="30">
        <v>333</v>
      </c>
      <c r="W264" s="30">
        <v>99999999</v>
      </c>
      <c r="X264" s="30">
        <v>333</v>
      </c>
      <c r="Y264" s="30">
        <v>99999999</v>
      </c>
      <c r="Z264" s="30">
        <v>333</v>
      </c>
      <c r="AA264" s="30">
        <v>99999999</v>
      </c>
      <c r="AB264" s="30">
        <v>333</v>
      </c>
      <c r="AC264" s="30">
        <v>99999999</v>
      </c>
      <c r="AD264" s="30">
        <v>333</v>
      </c>
      <c r="AE264" s="30">
        <v>99999999</v>
      </c>
      <c r="AF264" s="30">
        <v>333</v>
      </c>
      <c r="AG264" s="30">
        <v>333</v>
      </c>
      <c r="AH264" s="30">
        <v>99999999</v>
      </c>
      <c r="AI264" s="30">
        <v>333</v>
      </c>
      <c r="AJ264" s="30">
        <v>333</v>
      </c>
      <c r="AK264" s="30">
        <v>99999999</v>
      </c>
      <c r="AL264" s="30">
        <v>333</v>
      </c>
      <c r="AM264" s="30">
        <v>99999999</v>
      </c>
      <c r="AN264" s="30">
        <v>333</v>
      </c>
      <c r="AO264" s="30">
        <v>333</v>
      </c>
      <c r="AP264" s="30">
        <v>333</v>
      </c>
      <c r="AQ264" s="30">
        <v>99999999</v>
      </c>
      <c r="AR264" s="30">
        <v>333</v>
      </c>
      <c r="AS264" s="30">
        <v>99999999</v>
      </c>
      <c r="AT264" s="30">
        <v>333</v>
      </c>
      <c r="AU264" s="30">
        <v>333</v>
      </c>
      <c r="AV264" s="30">
        <v>333</v>
      </c>
      <c r="AW264" s="30">
        <v>333</v>
      </c>
      <c r="AX264" s="30">
        <v>333</v>
      </c>
      <c r="AY264" s="30">
        <v>333</v>
      </c>
      <c r="AZ264" s="30">
        <v>99999999</v>
      </c>
      <c r="BA264" s="30">
        <v>333</v>
      </c>
      <c r="BB264" s="30">
        <v>99999999</v>
      </c>
      <c r="BC264" s="30">
        <v>99999999</v>
      </c>
      <c r="BD264" s="30">
        <v>99999999</v>
      </c>
      <c r="BE264" s="206"/>
      <c r="BF264" s="206"/>
      <c r="BG264" s="206"/>
      <c r="BH264" s="206"/>
      <c r="BI264" s="208" t="s">
        <v>247</v>
      </c>
      <c r="BJ264" s="37">
        <v>1</v>
      </c>
      <c r="BK264" s="37">
        <f t="shared" si="159"/>
        <v>1.1000000000000001</v>
      </c>
      <c r="BL264" s="37">
        <f t="shared" si="159"/>
        <v>1.2100000000000002</v>
      </c>
      <c r="BO264" s="206"/>
      <c r="BP264" s="206"/>
    </row>
    <row r="265" spans="1:68" outlineLevel="1" x14ac:dyDescent="0.25">
      <c r="A265" s="217">
        <v>45901</v>
      </c>
      <c r="B265" s="94" t="s">
        <v>248</v>
      </c>
      <c r="C265" s="31">
        <v>7500</v>
      </c>
      <c r="D265" s="30">
        <v>1000</v>
      </c>
      <c r="E265" s="30">
        <v>99999999</v>
      </c>
      <c r="F265" s="30">
        <v>99999999</v>
      </c>
      <c r="G265" s="30">
        <v>99999999</v>
      </c>
      <c r="H265" s="30">
        <v>99999999</v>
      </c>
      <c r="I265" s="30">
        <v>99999999</v>
      </c>
      <c r="J265" s="30">
        <v>99999999</v>
      </c>
      <c r="K265" s="30">
        <v>99999999</v>
      </c>
      <c r="L265" s="30">
        <v>99999999</v>
      </c>
      <c r="M265" s="30">
        <v>99999999</v>
      </c>
      <c r="N265" s="30">
        <v>99999999</v>
      </c>
      <c r="O265" s="30">
        <v>99999999</v>
      </c>
      <c r="P265" s="30">
        <v>99999999</v>
      </c>
      <c r="Q265" s="30">
        <v>99999999</v>
      </c>
      <c r="R265" s="30">
        <v>99999999</v>
      </c>
      <c r="S265" s="30">
        <v>99999999</v>
      </c>
      <c r="T265" s="30">
        <v>99999999</v>
      </c>
      <c r="U265" s="30">
        <v>99999999</v>
      </c>
      <c r="V265" s="30">
        <v>99999999</v>
      </c>
      <c r="W265" s="30">
        <v>99999999</v>
      </c>
      <c r="X265" s="30">
        <v>99999999</v>
      </c>
      <c r="Y265" s="30">
        <v>99999999</v>
      </c>
      <c r="Z265" s="30">
        <v>99999999</v>
      </c>
      <c r="AA265" s="30">
        <v>99999999</v>
      </c>
      <c r="AB265" s="30">
        <v>99999999</v>
      </c>
      <c r="AC265" s="30">
        <v>99999999</v>
      </c>
      <c r="AD265" s="30">
        <v>99999999</v>
      </c>
      <c r="AE265" s="30">
        <v>99999999</v>
      </c>
      <c r="AF265" s="30">
        <v>99999999</v>
      </c>
      <c r="AG265" s="30">
        <v>99999999</v>
      </c>
      <c r="AH265" s="30">
        <v>99999999</v>
      </c>
      <c r="AI265" s="30">
        <v>99999999</v>
      </c>
      <c r="AJ265" s="30">
        <v>99999999</v>
      </c>
      <c r="AK265" s="30">
        <v>99999999</v>
      </c>
      <c r="AL265" s="30">
        <v>99999999</v>
      </c>
      <c r="AM265" s="30">
        <v>99999999</v>
      </c>
      <c r="AN265" s="30">
        <v>99999999</v>
      </c>
      <c r="AO265" s="30">
        <v>99999999</v>
      </c>
      <c r="AP265" s="30">
        <v>99999999</v>
      </c>
      <c r="AQ265" s="30">
        <v>99999999</v>
      </c>
      <c r="AR265" s="30">
        <v>99999999</v>
      </c>
      <c r="AS265" s="30">
        <v>99999999</v>
      </c>
      <c r="AT265" s="30">
        <v>99999999</v>
      </c>
      <c r="AU265" s="30">
        <v>99999999</v>
      </c>
      <c r="AV265" s="30">
        <v>99999999</v>
      </c>
      <c r="AW265" s="30">
        <v>99999999</v>
      </c>
      <c r="AX265" s="30">
        <v>99999999</v>
      </c>
      <c r="AY265" s="30">
        <v>99999999</v>
      </c>
      <c r="AZ265" s="30">
        <v>99999999</v>
      </c>
      <c r="BA265" s="30">
        <v>99999999</v>
      </c>
      <c r="BB265" s="30">
        <v>99999999</v>
      </c>
      <c r="BC265" s="30">
        <v>99999999</v>
      </c>
      <c r="BD265" s="30">
        <v>99999999</v>
      </c>
      <c r="BE265" s="206"/>
      <c r="BF265" s="206"/>
      <c r="BG265" s="206"/>
      <c r="BH265" s="206"/>
      <c r="BI265" s="208" t="s">
        <v>248</v>
      </c>
      <c r="BJ265" s="37">
        <v>1</v>
      </c>
      <c r="BK265" s="37">
        <f t="shared" si="159"/>
        <v>1.1000000000000001</v>
      </c>
      <c r="BL265" s="37">
        <f t="shared" si="159"/>
        <v>1.2100000000000002</v>
      </c>
      <c r="BO265" s="206"/>
      <c r="BP265" s="206"/>
    </row>
    <row r="266" spans="1:68" outlineLevel="1" x14ac:dyDescent="0.25">
      <c r="A266" s="217">
        <v>45658</v>
      </c>
      <c r="B266" s="94" t="s">
        <v>249</v>
      </c>
      <c r="C266" s="31">
        <v>5000</v>
      </c>
      <c r="D266" s="30">
        <v>70</v>
      </c>
      <c r="E266" s="30">
        <v>99999999</v>
      </c>
      <c r="F266" s="30">
        <v>99999999</v>
      </c>
      <c r="G266" s="30">
        <v>99999999</v>
      </c>
      <c r="H266" s="30">
        <v>99999999</v>
      </c>
      <c r="I266" s="30">
        <v>99999999</v>
      </c>
      <c r="J266" s="30">
        <v>99999999</v>
      </c>
      <c r="K266" s="30">
        <v>99999999</v>
      </c>
      <c r="L266" s="30">
        <v>99999999</v>
      </c>
      <c r="M266" s="30">
        <v>99999999</v>
      </c>
      <c r="N266" s="30">
        <v>99999999</v>
      </c>
      <c r="O266" s="30">
        <v>99999999</v>
      </c>
      <c r="P266" s="30">
        <v>99999999</v>
      </c>
      <c r="Q266" s="30">
        <v>99999999</v>
      </c>
      <c r="R266" s="30">
        <v>99999999</v>
      </c>
      <c r="S266" s="30">
        <v>99999999</v>
      </c>
      <c r="T266" s="30">
        <v>99999999</v>
      </c>
      <c r="U266" s="30">
        <v>99999999</v>
      </c>
      <c r="V266" s="30">
        <v>99999999</v>
      </c>
      <c r="W266" s="30">
        <v>99999999</v>
      </c>
      <c r="X266" s="30">
        <v>99999999</v>
      </c>
      <c r="Y266" s="30">
        <v>99999999</v>
      </c>
      <c r="Z266" s="30">
        <v>99999999</v>
      </c>
      <c r="AA266" s="30">
        <v>99999999</v>
      </c>
      <c r="AB266" s="30">
        <v>99999999</v>
      </c>
      <c r="AC266" s="30">
        <v>99999999</v>
      </c>
      <c r="AD266" s="30">
        <v>99999999</v>
      </c>
      <c r="AE266" s="30">
        <v>99999999</v>
      </c>
      <c r="AF266" s="30">
        <v>99999999</v>
      </c>
      <c r="AG266" s="30">
        <v>99999999</v>
      </c>
      <c r="AH266" s="30">
        <v>99999999</v>
      </c>
      <c r="AI266" s="30">
        <v>99999999</v>
      </c>
      <c r="AJ266" s="30">
        <v>99999999</v>
      </c>
      <c r="AK266" s="30">
        <v>99999999</v>
      </c>
      <c r="AL266" s="30">
        <v>99999999</v>
      </c>
      <c r="AM266" s="30">
        <v>99999999</v>
      </c>
      <c r="AN266" s="30">
        <v>99999999</v>
      </c>
      <c r="AO266" s="30">
        <v>99999999</v>
      </c>
      <c r="AP266" s="30">
        <v>99999999</v>
      </c>
      <c r="AQ266" s="30">
        <v>99999999</v>
      </c>
      <c r="AR266" s="30">
        <v>99999999</v>
      </c>
      <c r="AS266" s="30">
        <v>99999999</v>
      </c>
      <c r="AT266" s="30">
        <v>99999999</v>
      </c>
      <c r="AU266" s="30">
        <v>99999999</v>
      </c>
      <c r="AV266" s="30">
        <v>99999999</v>
      </c>
      <c r="AW266" s="30">
        <v>99999999</v>
      </c>
      <c r="AX266" s="30">
        <v>99999999</v>
      </c>
      <c r="AY266" s="30">
        <v>99999999</v>
      </c>
      <c r="AZ266" s="30">
        <v>99999999</v>
      </c>
      <c r="BA266" s="30">
        <v>99999999</v>
      </c>
      <c r="BB266" s="30">
        <v>99999999</v>
      </c>
      <c r="BC266" s="30">
        <v>99999999</v>
      </c>
      <c r="BD266" s="30">
        <v>99999999</v>
      </c>
      <c r="BE266" s="206"/>
      <c r="BF266" s="206"/>
      <c r="BG266" s="206"/>
      <c r="BH266" s="206"/>
      <c r="BI266" s="94" t="s">
        <v>249</v>
      </c>
      <c r="BJ266" s="37">
        <v>1</v>
      </c>
      <c r="BK266" s="37">
        <f t="shared" si="159"/>
        <v>1.1000000000000001</v>
      </c>
      <c r="BL266" s="37">
        <f t="shared" si="159"/>
        <v>1.2100000000000002</v>
      </c>
      <c r="BO266" s="206"/>
      <c r="BP266" s="206"/>
    </row>
    <row r="267" spans="1:68" outlineLevel="1" x14ac:dyDescent="0.25">
      <c r="A267" s="217">
        <v>45566</v>
      </c>
      <c r="B267" s="94" t="s">
        <v>250</v>
      </c>
      <c r="C267" s="31">
        <v>5000</v>
      </c>
      <c r="D267" s="30">
        <v>70</v>
      </c>
      <c r="E267" s="30">
        <v>99999999</v>
      </c>
      <c r="F267" s="30">
        <v>99999999</v>
      </c>
      <c r="G267" s="30">
        <v>99999999</v>
      </c>
      <c r="H267" s="30">
        <v>99999999</v>
      </c>
      <c r="I267" s="30">
        <v>99999999</v>
      </c>
      <c r="J267" s="30">
        <v>99999999</v>
      </c>
      <c r="K267" s="30">
        <v>99999999</v>
      </c>
      <c r="L267" s="30">
        <v>99999999</v>
      </c>
      <c r="M267" s="30">
        <v>99999999</v>
      </c>
      <c r="N267" s="30">
        <v>99999999</v>
      </c>
      <c r="O267" s="30">
        <v>99999999</v>
      </c>
      <c r="P267" s="30">
        <v>99999999</v>
      </c>
      <c r="Q267" s="30">
        <v>99999999</v>
      </c>
      <c r="R267" s="30">
        <v>99999999</v>
      </c>
      <c r="S267" s="30">
        <v>99999999</v>
      </c>
      <c r="T267" s="30">
        <v>99999999</v>
      </c>
      <c r="U267" s="30">
        <v>99999999</v>
      </c>
      <c r="V267" s="30">
        <v>99999999</v>
      </c>
      <c r="W267" s="30">
        <v>99999999</v>
      </c>
      <c r="X267" s="30">
        <v>99999999</v>
      </c>
      <c r="Y267" s="30">
        <v>99999999</v>
      </c>
      <c r="Z267" s="30">
        <v>99999999</v>
      </c>
      <c r="AA267" s="30">
        <v>99999999</v>
      </c>
      <c r="AB267" s="30">
        <v>99999999</v>
      </c>
      <c r="AC267" s="30">
        <v>99999999</v>
      </c>
      <c r="AD267" s="30">
        <v>99999999</v>
      </c>
      <c r="AE267" s="30">
        <v>99999999</v>
      </c>
      <c r="AF267" s="30">
        <v>99999999</v>
      </c>
      <c r="AG267" s="30">
        <v>99999999</v>
      </c>
      <c r="AH267" s="30">
        <v>99999999</v>
      </c>
      <c r="AI267" s="30">
        <v>99999999</v>
      </c>
      <c r="AJ267" s="30">
        <v>99999999</v>
      </c>
      <c r="AK267" s="30">
        <v>99999999</v>
      </c>
      <c r="AL267" s="30">
        <v>99999999</v>
      </c>
      <c r="AM267" s="30">
        <v>99999999</v>
      </c>
      <c r="AN267" s="30">
        <v>99999999</v>
      </c>
      <c r="AO267" s="30">
        <v>99999999</v>
      </c>
      <c r="AP267" s="30">
        <v>99999999</v>
      </c>
      <c r="AQ267" s="30">
        <v>99999999</v>
      </c>
      <c r="AR267" s="30">
        <v>99999999</v>
      </c>
      <c r="AS267" s="30">
        <v>99999999</v>
      </c>
      <c r="AT267" s="30">
        <v>99999999</v>
      </c>
      <c r="AU267" s="30">
        <v>99999999</v>
      </c>
      <c r="AV267" s="30">
        <v>99999999</v>
      </c>
      <c r="AW267" s="30">
        <v>99999999</v>
      </c>
      <c r="AX267" s="30">
        <v>99999999</v>
      </c>
      <c r="AY267" s="30">
        <v>99999999</v>
      </c>
      <c r="AZ267" s="30">
        <v>99999999</v>
      </c>
      <c r="BA267" s="30">
        <v>99999999</v>
      </c>
      <c r="BB267" s="30">
        <v>99999999</v>
      </c>
      <c r="BC267" s="30">
        <v>99999999</v>
      </c>
      <c r="BD267" s="30">
        <v>99999999</v>
      </c>
      <c r="BE267" s="206"/>
      <c r="BF267" s="206"/>
      <c r="BG267" s="206"/>
      <c r="BH267" s="206"/>
      <c r="BI267" s="94" t="s">
        <v>250</v>
      </c>
      <c r="BJ267" s="37">
        <v>1</v>
      </c>
      <c r="BK267" s="37">
        <f t="shared" si="159"/>
        <v>1.1000000000000001</v>
      </c>
      <c r="BL267" s="37">
        <f t="shared" si="159"/>
        <v>1.2100000000000002</v>
      </c>
      <c r="BO267" s="206"/>
      <c r="BP267" s="206"/>
    </row>
    <row r="268" spans="1:68" outlineLevel="1" x14ac:dyDescent="0.25">
      <c r="A268" s="217">
        <v>46388</v>
      </c>
      <c r="B268" s="81" t="s">
        <v>251</v>
      </c>
      <c r="C268" s="31">
        <f>100000/12</f>
        <v>8333.3333333333339</v>
      </c>
      <c r="D268" s="30">
        <v>99999999</v>
      </c>
      <c r="E268" s="30">
        <v>99999999</v>
      </c>
      <c r="F268" s="30">
        <v>99999999</v>
      </c>
      <c r="G268" s="30">
        <v>99999999</v>
      </c>
      <c r="H268" s="30">
        <v>99999999</v>
      </c>
      <c r="I268" s="30">
        <v>99999999</v>
      </c>
      <c r="J268" s="30">
        <v>99999999</v>
      </c>
      <c r="K268" s="30">
        <v>99999999</v>
      </c>
      <c r="L268" s="30">
        <v>99999999</v>
      </c>
      <c r="M268" s="30">
        <v>99999999</v>
      </c>
      <c r="N268" s="30">
        <v>99999999</v>
      </c>
      <c r="O268" s="30">
        <v>99999999</v>
      </c>
      <c r="P268" s="30">
        <v>99999999</v>
      </c>
      <c r="Q268" s="30">
        <v>99999999</v>
      </c>
      <c r="R268" s="30">
        <v>99999999</v>
      </c>
      <c r="S268" s="30">
        <v>99999999</v>
      </c>
      <c r="T268" s="30">
        <v>99999999</v>
      </c>
      <c r="U268" s="30">
        <v>99999999</v>
      </c>
      <c r="V268" s="30">
        <v>99999999</v>
      </c>
      <c r="W268" s="30">
        <v>99999999</v>
      </c>
      <c r="X268" s="30">
        <v>99999999</v>
      </c>
      <c r="Y268" s="30">
        <v>99999999</v>
      </c>
      <c r="Z268" s="30">
        <v>40</v>
      </c>
      <c r="AA268" s="30">
        <v>99999999</v>
      </c>
      <c r="AB268" s="30">
        <v>99999999</v>
      </c>
      <c r="AC268" s="30">
        <v>99999999</v>
      </c>
      <c r="AD268" s="30">
        <v>99999999</v>
      </c>
      <c r="AE268" s="30">
        <v>99999999</v>
      </c>
      <c r="AF268" s="30">
        <v>99999999</v>
      </c>
      <c r="AG268" s="30">
        <v>99999999</v>
      </c>
      <c r="AH268" s="30">
        <v>99999999</v>
      </c>
      <c r="AI268" s="30">
        <v>99999999</v>
      </c>
      <c r="AJ268" s="30">
        <v>99999999</v>
      </c>
      <c r="AK268" s="30">
        <v>99999999</v>
      </c>
      <c r="AL268" s="30">
        <v>99999999</v>
      </c>
      <c r="AM268" s="30">
        <v>99999999</v>
      </c>
      <c r="AN268" s="30">
        <v>99999999</v>
      </c>
      <c r="AO268" s="30">
        <v>99999999</v>
      </c>
      <c r="AP268" s="30">
        <v>99999999</v>
      </c>
      <c r="AQ268" s="30">
        <v>99999999</v>
      </c>
      <c r="AR268" s="30">
        <v>99999999</v>
      </c>
      <c r="AS268" s="30">
        <v>99999999</v>
      </c>
      <c r="AT268" s="30">
        <v>99999999</v>
      </c>
      <c r="AU268" s="30">
        <v>99999999</v>
      </c>
      <c r="AV268" s="30">
        <v>99999999</v>
      </c>
      <c r="AW268" s="30">
        <v>99999999</v>
      </c>
      <c r="AX268" s="30">
        <v>99999999</v>
      </c>
      <c r="AY268" s="30">
        <v>99999999</v>
      </c>
      <c r="AZ268" s="30">
        <v>99999999</v>
      </c>
      <c r="BA268" s="30">
        <v>99999999</v>
      </c>
      <c r="BB268" s="30">
        <v>99999999</v>
      </c>
      <c r="BC268" s="30">
        <v>99999999</v>
      </c>
      <c r="BD268" s="30">
        <v>99999999</v>
      </c>
      <c r="BE268" s="206"/>
      <c r="BF268" s="206"/>
      <c r="BG268" s="206"/>
      <c r="BH268" s="206"/>
      <c r="BI268" s="81" t="s">
        <v>251</v>
      </c>
      <c r="BJ268" s="37">
        <v>1</v>
      </c>
      <c r="BK268" s="37">
        <f t="shared" si="159"/>
        <v>1.1000000000000001</v>
      </c>
      <c r="BL268" s="37">
        <f t="shared" si="159"/>
        <v>1.2100000000000002</v>
      </c>
      <c r="BO268" s="206"/>
      <c r="BP268" s="206"/>
    </row>
    <row r="269" spans="1:68" outlineLevel="1" x14ac:dyDescent="0.25">
      <c r="A269" s="217">
        <v>46753</v>
      </c>
      <c r="B269" s="81" t="s">
        <v>251</v>
      </c>
      <c r="C269" s="31">
        <f>100000/12</f>
        <v>8333.3333333333339</v>
      </c>
      <c r="D269" s="30">
        <v>99999999</v>
      </c>
      <c r="E269" s="30">
        <v>99999999</v>
      </c>
      <c r="F269" s="30">
        <v>99999999</v>
      </c>
      <c r="G269" s="30">
        <v>99999999</v>
      </c>
      <c r="H269" s="30">
        <v>99999999</v>
      </c>
      <c r="I269" s="30">
        <v>99999999</v>
      </c>
      <c r="J269" s="30">
        <v>99999999</v>
      </c>
      <c r="K269" s="30">
        <v>99999999</v>
      </c>
      <c r="L269" s="30">
        <v>99999999</v>
      </c>
      <c r="M269" s="30">
        <v>99999999</v>
      </c>
      <c r="N269" s="30">
        <v>99999999</v>
      </c>
      <c r="O269" s="30">
        <v>99999999</v>
      </c>
      <c r="P269" s="30">
        <v>99999999</v>
      </c>
      <c r="Q269" s="30">
        <v>99999999</v>
      </c>
      <c r="R269" s="30">
        <v>99999999</v>
      </c>
      <c r="S269" s="30">
        <v>99999999</v>
      </c>
      <c r="T269" s="30">
        <v>99999999</v>
      </c>
      <c r="U269" s="30">
        <v>99999999</v>
      </c>
      <c r="V269" s="30">
        <v>99999999</v>
      </c>
      <c r="W269" s="30">
        <v>99999999</v>
      </c>
      <c r="X269" s="30">
        <v>99999999</v>
      </c>
      <c r="Y269" s="30">
        <v>99999999</v>
      </c>
      <c r="Z269" s="30">
        <v>99999999</v>
      </c>
      <c r="AA269" s="30">
        <v>99999999</v>
      </c>
      <c r="AB269" s="30">
        <v>99999999</v>
      </c>
      <c r="AC269" s="30">
        <v>99999999</v>
      </c>
      <c r="AD269" s="30">
        <v>40</v>
      </c>
      <c r="AE269" s="30">
        <v>99999999</v>
      </c>
      <c r="AF269" s="30">
        <v>99999999</v>
      </c>
      <c r="AG269" s="30">
        <v>99999999</v>
      </c>
      <c r="AH269" s="30">
        <v>99999999</v>
      </c>
      <c r="AI269" s="30">
        <v>99999999</v>
      </c>
      <c r="AJ269" s="30">
        <v>99999999</v>
      </c>
      <c r="AK269" s="30">
        <v>99999999</v>
      </c>
      <c r="AL269" s="30">
        <v>99999999</v>
      </c>
      <c r="AM269" s="30">
        <v>99999999</v>
      </c>
      <c r="AN269" s="30">
        <v>99999999</v>
      </c>
      <c r="AO269" s="30">
        <v>99999999</v>
      </c>
      <c r="AP269" s="30">
        <v>99999999</v>
      </c>
      <c r="AQ269" s="30">
        <v>99999999</v>
      </c>
      <c r="AR269" s="30">
        <v>99999999</v>
      </c>
      <c r="AS269" s="30">
        <v>99999999</v>
      </c>
      <c r="AT269" s="30">
        <v>99999999</v>
      </c>
      <c r="AU269" s="30">
        <v>99999999</v>
      </c>
      <c r="AV269" s="30">
        <v>99999999</v>
      </c>
      <c r="AW269" s="30">
        <v>99999999</v>
      </c>
      <c r="AX269" s="30">
        <v>99999999</v>
      </c>
      <c r="AY269" s="30">
        <v>99999999</v>
      </c>
      <c r="AZ269" s="30">
        <v>99999999</v>
      </c>
      <c r="BA269" s="30">
        <v>99999999</v>
      </c>
      <c r="BB269" s="30">
        <v>99999999</v>
      </c>
      <c r="BC269" s="30">
        <v>99999999</v>
      </c>
      <c r="BD269" s="30">
        <v>99999999</v>
      </c>
      <c r="BE269" s="206"/>
      <c r="BF269" s="206"/>
      <c r="BG269" s="206"/>
      <c r="BH269" s="206"/>
      <c r="BI269" s="81" t="s">
        <v>251</v>
      </c>
      <c r="BJ269" s="37">
        <v>1</v>
      </c>
      <c r="BK269" s="37">
        <f t="shared" si="159"/>
        <v>1.1000000000000001</v>
      </c>
      <c r="BL269" s="37">
        <f t="shared" si="159"/>
        <v>1.2100000000000002</v>
      </c>
      <c r="BO269" s="206"/>
      <c r="BP269" s="206"/>
    </row>
    <row r="270" spans="1:68" outlineLevel="1" x14ac:dyDescent="0.25">
      <c r="A270" s="217">
        <v>46023</v>
      </c>
      <c r="B270" s="81" t="s">
        <v>205</v>
      </c>
      <c r="C270" s="31">
        <f>100000/12</f>
        <v>8333.3333333333339</v>
      </c>
      <c r="D270" s="30">
        <v>99999999</v>
      </c>
      <c r="E270" s="30">
        <v>99999999</v>
      </c>
      <c r="F270" s="30">
        <v>99999999</v>
      </c>
      <c r="G270" s="30">
        <v>99999999</v>
      </c>
      <c r="H270" s="30">
        <v>99999999</v>
      </c>
      <c r="I270" s="30">
        <v>99999999</v>
      </c>
      <c r="J270" s="30">
        <v>99999999</v>
      </c>
      <c r="K270" s="30">
        <v>99999999</v>
      </c>
      <c r="L270" s="30">
        <v>99999999</v>
      </c>
      <c r="M270" s="30">
        <v>99999999</v>
      </c>
      <c r="N270" s="30">
        <v>99999999</v>
      </c>
      <c r="O270" s="30">
        <v>99999999</v>
      </c>
      <c r="P270" s="30">
        <v>99999999</v>
      </c>
      <c r="Q270" s="30">
        <v>99999999</v>
      </c>
      <c r="R270" s="30">
        <v>99999999</v>
      </c>
      <c r="S270" s="30">
        <v>99999999</v>
      </c>
      <c r="T270" s="30">
        <v>99999999</v>
      </c>
      <c r="U270" s="30">
        <v>99999999</v>
      </c>
      <c r="V270" s="30">
        <v>99999999</v>
      </c>
      <c r="W270" s="30">
        <v>99999999</v>
      </c>
      <c r="X270" s="30">
        <v>40</v>
      </c>
      <c r="Y270" s="30">
        <v>99999999</v>
      </c>
      <c r="Z270" s="30">
        <v>99999999</v>
      </c>
      <c r="AA270" s="30">
        <v>99999999</v>
      </c>
      <c r="AB270" s="30">
        <v>40</v>
      </c>
      <c r="AC270" s="30">
        <v>99999999</v>
      </c>
      <c r="AD270" s="30">
        <v>99999999</v>
      </c>
      <c r="AE270" s="30">
        <v>99999999</v>
      </c>
      <c r="AF270" s="30">
        <v>40</v>
      </c>
      <c r="AG270" s="30">
        <v>99999999</v>
      </c>
      <c r="AH270" s="30">
        <v>99999999</v>
      </c>
      <c r="AI270" s="30">
        <v>99999999</v>
      </c>
      <c r="AJ270" s="30">
        <v>99999999</v>
      </c>
      <c r="AK270" s="30">
        <v>99999999</v>
      </c>
      <c r="AL270" s="30">
        <v>99999999</v>
      </c>
      <c r="AM270" s="30">
        <v>99999999</v>
      </c>
      <c r="AN270" s="30">
        <v>99999999</v>
      </c>
      <c r="AO270" s="30">
        <v>99999999</v>
      </c>
      <c r="AP270" s="30">
        <v>99999999</v>
      </c>
      <c r="AQ270" s="30">
        <v>99999999</v>
      </c>
      <c r="AR270" s="30">
        <v>99999999</v>
      </c>
      <c r="AS270" s="30">
        <v>99999999</v>
      </c>
      <c r="AT270" s="30">
        <v>99999999</v>
      </c>
      <c r="AU270" s="30">
        <v>99999999</v>
      </c>
      <c r="AV270" s="30">
        <v>99999999</v>
      </c>
      <c r="AW270" s="30">
        <v>99999999</v>
      </c>
      <c r="AX270" s="30">
        <v>99999999</v>
      </c>
      <c r="AY270" s="30">
        <v>99999999</v>
      </c>
      <c r="AZ270" s="30">
        <v>99999999</v>
      </c>
      <c r="BA270" s="30">
        <v>99999999</v>
      </c>
      <c r="BB270" s="30">
        <v>99999999</v>
      </c>
      <c r="BC270" s="30">
        <v>99999999</v>
      </c>
      <c r="BD270" s="30">
        <v>99999999</v>
      </c>
      <c r="BE270" s="206"/>
      <c r="BF270" s="206"/>
      <c r="BG270" s="206"/>
      <c r="BH270" s="206"/>
      <c r="BI270" s="81" t="s">
        <v>205</v>
      </c>
      <c r="BJ270" s="37">
        <v>1</v>
      </c>
      <c r="BK270" s="37">
        <f t="shared" si="159"/>
        <v>1.1000000000000001</v>
      </c>
      <c r="BL270" s="37">
        <f t="shared" si="159"/>
        <v>1.2100000000000002</v>
      </c>
      <c r="BO270" s="206"/>
      <c r="BP270" s="206"/>
    </row>
    <row r="271" spans="1:68" outlineLevel="1" x14ac:dyDescent="0.25">
      <c r="A271" s="217">
        <v>45658</v>
      </c>
      <c r="B271" s="115" t="s">
        <v>237</v>
      </c>
      <c r="C271" s="42">
        <v>1</v>
      </c>
      <c r="D271" s="95">
        <v>99999999</v>
      </c>
      <c r="E271" s="95">
        <v>99999999</v>
      </c>
      <c r="F271" s="95">
        <v>99999999</v>
      </c>
      <c r="G271" s="95">
        <v>99999999</v>
      </c>
      <c r="H271" s="95">
        <v>99999999</v>
      </c>
      <c r="I271" s="95">
        <v>99999999</v>
      </c>
      <c r="J271" s="95">
        <v>99999999</v>
      </c>
      <c r="K271" s="95">
        <v>99999999</v>
      </c>
      <c r="L271" s="95">
        <v>99999999</v>
      </c>
      <c r="M271" s="95">
        <v>99999999</v>
      </c>
      <c r="N271" s="95">
        <v>99999999</v>
      </c>
      <c r="O271" s="95">
        <v>99999999</v>
      </c>
      <c r="P271" s="95">
        <v>99999999</v>
      </c>
      <c r="Q271" s="95">
        <v>99999999</v>
      </c>
      <c r="R271" s="95">
        <v>99999999</v>
      </c>
      <c r="S271" s="95">
        <v>99999999</v>
      </c>
      <c r="T271" s="95">
        <v>99999999</v>
      </c>
      <c r="U271" s="95">
        <v>99999999</v>
      </c>
      <c r="V271" s="95">
        <v>99999999</v>
      </c>
      <c r="W271" s="95">
        <v>99999999</v>
      </c>
      <c r="X271" s="95">
        <v>99999999</v>
      </c>
      <c r="Y271" s="95">
        <v>99999999</v>
      </c>
      <c r="Z271" s="95">
        <v>99999999</v>
      </c>
      <c r="AA271" s="95">
        <v>99999999</v>
      </c>
      <c r="AB271" s="95">
        <v>99999999</v>
      </c>
      <c r="AC271" s="95">
        <v>99999999</v>
      </c>
      <c r="AD271" s="95">
        <v>99999999</v>
      </c>
      <c r="AE271" s="95">
        <v>99999999</v>
      </c>
      <c r="AF271" s="95">
        <v>99999999</v>
      </c>
      <c r="AG271" s="95">
        <v>99999999</v>
      </c>
      <c r="AH271" s="95">
        <v>99999999</v>
      </c>
      <c r="AI271" s="95">
        <v>99999999</v>
      </c>
      <c r="AJ271" s="95">
        <v>99999999</v>
      </c>
      <c r="AK271" s="95">
        <v>99999999</v>
      </c>
      <c r="AL271" s="95">
        <v>99999999</v>
      </c>
      <c r="AM271" s="95">
        <v>99999999</v>
      </c>
      <c r="AN271" s="95">
        <v>99999999</v>
      </c>
      <c r="AO271" s="95">
        <v>99999999</v>
      </c>
      <c r="AP271" s="95">
        <v>99999999</v>
      </c>
      <c r="AQ271" s="95">
        <v>99999999</v>
      </c>
      <c r="AR271" s="95">
        <v>99999999</v>
      </c>
      <c r="AS271" s="95">
        <v>99999999</v>
      </c>
      <c r="AT271" s="95">
        <v>99999999</v>
      </c>
      <c r="AU271" s="95">
        <v>99999999</v>
      </c>
      <c r="AV271" s="95">
        <v>99999999</v>
      </c>
      <c r="AW271" s="95">
        <v>99999999</v>
      </c>
      <c r="AX271" s="95">
        <v>99999999</v>
      </c>
      <c r="AY271" s="95">
        <v>99999999</v>
      </c>
      <c r="AZ271" s="95">
        <v>99999999</v>
      </c>
      <c r="BA271" s="95">
        <v>99999999</v>
      </c>
      <c r="BB271" s="95">
        <v>99999999</v>
      </c>
      <c r="BC271" s="95">
        <v>99999999</v>
      </c>
      <c r="BD271" s="95">
        <v>99999999</v>
      </c>
      <c r="BE271" s="206"/>
      <c r="BF271" s="206"/>
      <c r="BG271" s="206"/>
      <c r="BH271" s="206"/>
      <c r="BI271" s="81" t="s">
        <v>237</v>
      </c>
      <c r="BJ271" s="37">
        <v>1</v>
      </c>
      <c r="BK271" s="37">
        <f t="shared" si="159"/>
        <v>1.1000000000000001</v>
      </c>
      <c r="BL271" s="37">
        <f t="shared" si="159"/>
        <v>1.2100000000000002</v>
      </c>
      <c r="BO271" s="206"/>
      <c r="BP271" s="206"/>
    </row>
    <row r="272" spans="1:68" x14ac:dyDescent="0.25">
      <c r="A272" s="206"/>
      <c r="B272" s="206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  <c r="AI272" s="206"/>
      <c r="AJ272" s="206"/>
      <c r="AK272" s="206"/>
      <c r="AL272" s="206"/>
      <c r="AM272" s="206"/>
      <c r="AN272" s="206"/>
      <c r="AO272" s="206"/>
      <c r="AP272" s="206"/>
      <c r="AQ272" s="206"/>
      <c r="AR272" s="206"/>
      <c r="AS272" s="206"/>
      <c r="AT272" s="206"/>
      <c r="AU272" s="206"/>
      <c r="AV272" s="206"/>
      <c r="AW272" s="206"/>
      <c r="AX272" s="206"/>
      <c r="AY272" s="206"/>
      <c r="AZ272" s="206"/>
      <c r="BA272" s="206"/>
      <c r="BB272" s="206"/>
      <c r="BC272" s="206"/>
      <c r="BD272" s="206"/>
      <c r="BE272" s="206"/>
      <c r="BF272" s="206"/>
      <c r="BG272" s="206"/>
      <c r="BH272" s="206"/>
      <c r="BO272" s="206"/>
      <c r="BP272" s="206"/>
    </row>
    <row r="273" spans="1:68" x14ac:dyDescent="0.25">
      <c r="A273" s="206"/>
      <c r="B273" s="206"/>
      <c r="C273" s="206"/>
      <c r="D273" s="206"/>
      <c r="E273" s="206"/>
      <c r="F273" s="206"/>
      <c r="G273" s="206"/>
      <c r="H273" s="206"/>
      <c r="I273" s="206"/>
      <c r="J273" s="206"/>
      <c r="K273" s="206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  <c r="AD273" s="206"/>
      <c r="AE273" s="206"/>
      <c r="AF273" s="206"/>
      <c r="AG273" s="206"/>
      <c r="AH273" s="206"/>
      <c r="AI273" s="206"/>
      <c r="AJ273" s="206"/>
      <c r="AK273" s="206"/>
      <c r="AL273" s="206"/>
      <c r="AM273" s="206"/>
      <c r="AN273" s="206"/>
      <c r="AO273" s="206"/>
      <c r="AP273" s="206"/>
      <c r="AQ273" s="206"/>
      <c r="AR273" s="206"/>
      <c r="AS273" s="206"/>
      <c r="AT273" s="206"/>
      <c r="AU273" s="206"/>
      <c r="AV273" s="206"/>
      <c r="AW273" s="206"/>
      <c r="AX273" s="206"/>
      <c r="AY273" s="206"/>
      <c r="AZ273" s="206"/>
      <c r="BA273" s="206"/>
      <c r="BB273" s="206"/>
      <c r="BC273" s="206"/>
      <c r="BD273" s="206"/>
      <c r="BE273" s="206"/>
      <c r="BF273" s="206"/>
      <c r="BG273" s="206"/>
      <c r="BH273" s="206"/>
      <c r="BO273" s="206"/>
      <c r="BP273" s="206"/>
    </row>
    <row r="274" spans="1:68" x14ac:dyDescent="0.25">
      <c r="A274" s="206"/>
      <c r="B274" s="206" t="s">
        <v>240</v>
      </c>
      <c r="C274" s="80" t="s">
        <v>252</v>
      </c>
      <c r="D274" s="206"/>
      <c r="E274" s="206"/>
      <c r="F274" s="206"/>
      <c r="G274" s="206"/>
      <c r="H274" s="206"/>
      <c r="I274" s="206"/>
      <c r="J274" s="206"/>
      <c r="K274" s="206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  <c r="AD274" s="206"/>
      <c r="AE274" s="206"/>
      <c r="AF274" s="206"/>
      <c r="AG274" s="206"/>
      <c r="AH274" s="206"/>
      <c r="AI274" s="206"/>
      <c r="AJ274" s="206"/>
      <c r="AK274" s="206"/>
      <c r="AL274" s="206"/>
      <c r="AM274" s="206"/>
      <c r="AN274" s="206"/>
      <c r="AO274" s="206"/>
      <c r="AP274" s="206"/>
      <c r="AQ274" s="206"/>
      <c r="AR274" s="206"/>
      <c r="AS274" s="206"/>
      <c r="AT274" s="206"/>
      <c r="AU274" s="206"/>
      <c r="AV274" s="206"/>
      <c r="AW274" s="206"/>
      <c r="AX274" s="206"/>
      <c r="AY274" s="206"/>
      <c r="AZ274" s="206"/>
      <c r="BA274" s="206"/>
      <c r="BB274" s="206"/>
      <c r="BC274" s="206"/>
      <c r="BD274" s="206"/>
      <c r="BE274" s="206"/>
      <c r="BF274" s="206"/>
      <c r="BG274" s="206"/>
      <c r="BH274" s="206"/>
      <c r="BI274" s="34" t="s">
        <v>271</v>
      </c>
      <c r="BO274" s="206"/>
      <c r="BP274" s="206"/>
    </row>
    <row r="275" spans="1:68" x14ac:dyDescent="0.25">
      <c r="A275" s="206"/>
      <c r="B275" s="206" t="s">
        <v>241</v>
      </c>
      <c r="C275" s="81" t="s">
        <v>253</v>
      </c>
      <c r="D275" s="206"/>
      <c r="E275" s="206"/>
      <c r="F275" s="206"/>
      <c r="G275" s="206"/>
      <c r="H275" s="206"/>
      <c r="I275" s="206"/>
      <c r="J275" s="206"/>
      <c r="K275" s="206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  <c r="AD275" s="206"/>
      <c r="AE275" s="206"/>
      <c r="AF275" s="206"/>
      <c r="AG275" s="206"/>
      <c r="AH275" s="206"/>
      <c r="AI275" s="206"/>
      <c r="AJ275" s="206"/>
      <c r="AK275" s="206"/>
      <c r="AL275" s="206"/>
      <c r="AM275" s="206"/>
      <c r="AN275" s="206"/>
      <c r="AO275" s="206"/>
      <c r="AP275" s="206"/>
      <c r="AQ275" s="206"/>
      <c r="AR275" s="206"/>
      <c r="AS275" s="206"/>
      <c r="AT275" s="206"/>
      <c r="AU275" s="206"/>
      <c r="AV275" s="206"/>
      <c r="AW275" s="206"/>
      <c r="AX275" s="206"/>
      <c r="AY275" s="206"/>
      <c r="AZ275" s="206"/>
      <c r="BA275" s="206"/>
      <c r="BB275" s="206"/>
      <c r="BC275" s="206"/>
      <c r="BD275" s="206"/>
      <c r="BE275" s="206"/>
      <c r="BF275" s="206"/>
      <c r="BG275" s="206"/>
      <c r="BH275" s="206"/>
      <c r="BI275" t="s">
        <v>272</v>
      </c>
      <c r="BO275" s="206"/>
      <c r="BP275" s="206"/>
    </row>
    <row r="276" spans="1:68" x14ac:dyDescent="0.25">
      <c r="A276" s="206"/>
      <c r="B276" s="206" t="s">
        <v>242</v>
      </c>
      <c r="C276" s="81" t="s">
        <v>254</v>
      </c>
      <c r="D276" s="206"/>
      <c r="E276" s="206"/>
      <c r="F276" s="206"/>
      <c r="G276" s="206"/>
      <c r="H276" s="206"/>
      <c r="I276" s="206"/>
      <c r="J276" s="206"/>
      <c r="K276" s="206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  <c r="AD276" s="206"/>
      <c r="AE276" s="206"/>
      <c r="AF276" s="206"/>
      <c r="AG276" s="206"/>
      <c r="AH276" s="206"/>
      <c r="AI276" s="206"/>
      <c r="AJ276" s="206"/>
      <c r="AK276" s="206"/>
      <c r="AL276" s="206"/>
      <c r="AM276" s="206"/>
      <c r="AN276" s="206"/>
      <c r="AO276" s="206"/>
      <c r="AP276" s="206"/>
      <c r="AQ276" s="206"/>
      <c r="AR276" s="206"/>
      <c r="AS276" s="206"/>
      <c r="AT276" s="206"/>
      <c r="AU276" s="206"/>
      <c r="AV276" s="206"/>
      <c r="AW276" s="206"/>
      <c r="AX276" s="206"/>
      <c r="AY276" s="206"/>
      <c r="AZ276" s="206"/>
      <c r="BA276" s="206"/>
      <c r="BB276" s="206"/>
      <c r="BC276" s="206"/>
      <c r="BD276" s="206"/>
      <c r="BE276" s="206"/>
      <c r="BF276" s="206"/>
      <c r="BG276" s="206"/>
      <c r="BH276" s="206"/>
      <c r="BI276" t="s">
        <v>273</v>
      </c>
      <c r="BJ276" s="156">
        <v>0.09</v>
      </c>
      <c r="BK276" s="156">
        <v>0.09</v>
      </c>
      <c r="BL276" s="156">
        <v>0.09</v>
      </c>
      <c r="BO276" s="206"/>
      <c r="BP276" s="206"/>
    </row>
    <row r="277" spans="1:68" ht="15" customHeight="1" x14ac:dyDescent="0.25">
      <c r="A277" s="206"/>
      <c r="B277" s="206" t="s">
        <v>243</v>
      </c>
      <c r="C277" s="206"/>
      <c r="D277" s="206"/>
      <c r="E277" s="206"/>
      <c r="F277" s="206"/>
      <c r="G277" s="206"/>
      <c r="H277" s="206"/>
      <c r="I277" s="206"/>
      <c r="J277" s="206"/>
      <c r="K277" s="206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  <c r="AD277" s="206"/>
      <c r="AE277" s="206"/>
      <c r="AF277" s="206"/>
      <c r="AG277" s="206"/>
      <c r="AH277" s="206"/>
      <c r="AI277" s="206"/>
      <c r="AJ277" s="206"/>
      <c r="AK277" s="206"/>
      <c r="AL277" s="206"/>
      <c r="AM277" s="206"/>
      <c r="AN277" s="206"/>
      <c r="AO277" s="206"/>
      <c r="AP277" s="206"/>
      <c r="AQ277" s="206"/>
      <c r="AR277" s="206"/>
      <c r="AS277" s="206"/>
      <c r="AT277" s="206"/>
      <c r="AU277" s="206"/>
      <c r="AV277" s="206"/>
      <c r="AW277" s="206"/>
      <c r="AX277" s="206"/>
      <c r="AY277" s="206"/>
      <c r="AZ277" s="206"/>
      <c r="BA277" s="206"/>
      <c r="BB277" s="206"/>
      <c r="BC277" s="206"/>
      <c r="BD277" s="206"/>
      <c r="BE277" s="206"/>
      <c r="BF277" s="206"/>
      <c r="BG277" s="206"/>
      <c r="BH277" s="206"/>
      <c r="BO277" s="206"/>
      <c r="BP277" s="206"/>
    </row>
    <row r="278" spans="1:68" ht="15" customHeight="1" x14ac:dyDescent="0.25">
      <c r="A278" s="206"/>
      <c r="B278" s="206" t="s">
        <v>244</v>
      </c>
      <c r="C278" s="206"/>
      <c r="D278" s="206"/>
      <c r="E278" s="206"/>
      <c r="F278" s="206"/>
      <c r="G278" s="206"/>
      <c r="H278" s="206"/>
      <c r="I278" s="206"/>
      <c r="J278" s="206"/>
      <c r="K278" s="206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  <c r="AD278" s="206"/>
      <c r="AE278" s="206"/>
      <c r="AF278" s="206"/>
      <c r="AG278" s="206"/>
      <c r="AH278" s="206"/>
      <c r="AI278" s="206"/>
      <c r="AJ278" s="206"/>
      <c r="AK278" s="206"/>
      <c r="AL278" s="206"/>
      <c r="AM278" s="206"/>
      <c r="AN278" s="206"/>
      <c r="AO278" s="206"/>
      <c r="AP278" s="206"/>
      <c r="AQ278" s="206"/>
      <c r="AR278" s="206"/>
      <c r="AS278" s="206"/>
      <c r="AT278" s="206"/>
      <c r="AU278" s="206"/>
      <c r="AV278" s="206"/>
      <c r="AW278" s="206"/>
      <c r="AX278" s="206"/>
      <c r="AY278" s="206"/>
      <c r="AZ278" s="206"/>
      <c r="BA278" s="206"/>
      <c r="BB278" s="206"/>
      <c r="BC278" s="206"/>
      <c r="BD278" s="206"/>
      <c r="BE278" s="206"/>
      <c r="BF278" s="206"/>
      <c r="BG278" s="206"/>
      <c r="BH278" s="206"/>
      <c r="BI278" t="s">
        <v>274</v>
      </c>
      <c r="BO278" s="206"/>
      <c r="BP278" s="206"/>
    </row>
    <row r="279" spans="1:68" ht="15" customHeight="1" x14ac:dyDescent="0.25">
      <c r="A279" s="206"/>
      <c r="B279" s="206" t="s">
        <v>245</v>
      </c>
      <c r="C279" s="80" t="s">
        <v>255</v>
      </c>
      <c r="D279" s="206"/>
      <c r="E279" s="206"/>
      <c r="F279" s="206"/>
      <c r="G279" s="206"/>
      <c r="H279" s="206"/>
      <c r="I279" s="206"/>
      <c r="J279" s="206"/>
      <c r="K279" s="206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  <c r="AD279" s="206"/>
      <c r="AE279" s="206"/>
      <c r="AF279" s="206"/>
      <c r="AG279" s="206"/>
      <c r="AH279" s="206"/>
      <c r="AI279" s="206"/>
      <c r="AJ279" s="206"/>
      <c r="AK279" s="206"/>
      <c r="AL279" s="206"/>
      <c r="AM279" s="206"/>
      <c r="AN279" s="206"/>
      <c r="AO279" s="206"/>
      <c r="AP279" s="206"/>
      <c r="AQ279" s="206"/>
      <c r="AR279" s="206"/>
      <c r="AS279" s="206"/>
      <c r="AT279" s="206"/>
      <c r="AU279" s="206"/>
      <c r="AV279" s="206"/>
      <c r="AW279" s="206"/>
      <c r="AX279" s="206"/>
      <c r="AY279" s="206"/>
      <c r="AZ279" s="206"/>
      <c r="BA279" s="206"/>
      <c r="BB279" s="206"/>
      <c r="BC279" s="206"/>
      <c r="BD279" s="206"/>
      <c r="BE279" s="206"/>
      <c r="BF279" s="206"/>
      <c r="BG279" s="206"/>
      <c r="BH279" s="206"/>
      <c r="BI279" t="s">
        <v>273</v>
      </c>
      <c r="BJ279" s="156">
        <v>0.01</v>
      </c>
      <c r="BK279" s="156">
        <v>0.01</v>
      </c>
      <c r="BL279" s="156">
        <v>0.01</v>
      </c>
      <c r="BO279" s="206"/>
      <c r="BP279" s="206"/>
    </row>
    <row r="280" spans="1:68" ht="15" customHeight="1" x14ac:dyDescent="0.25">
      <c r="A280" s="206"/>
      <c r="B280" s="206" t="s">
        <v>246</v>
      </c>
      <c r="C280" s="206"/>
      <c r="D280" s="206"/>
      <c r="E280" s="206"/>
      <c r="F280" s="206"/>
      <c r="G280" s="206"/>
      <c r="H280" s="206"/>
      <c r="I280" s="206"/>
      <c r="J280" s="206"/>
      <c r="K280" s="206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  <c r="AD280" s="206"/>
      <c r="AE280" s="206"/>
      <c r="AF280" s="206"/>
      <c r="AG280" s="206"/>
      <c r="AH280" s="206"/>
      <c r="AI280" s="206"/>
      <c r="AJ280" s="206"/>
      <c r="AK280" s="206"/>
      <c r="AL280" s="206"/>
      <c r="AM280" s="206"/>
      <c r="AN280" s="206"/>
      <c r="AO280" s="206"/>
      <c r="AP280" s="206"/>
      <c r="AQ280" s="206"/>
      <c r="AR280" s="206"/>
      <c r="AS280" s="206"/>
      <c r="AT280" s="206"/>
      <c r="AU280" s="206"/>
      <c r="AV280" s="206"/>
      <c r="AW280" s="206"/>
      <c r="AX280" s="206"/>
      <c r="AY280" s="206"/>
      <c r="AZ280" s="206"/>
      <c r="BA280" s="206"/>
      <c r="BB280" s="206"/>
      <c r="BC280" s="206"/>
      <c r="BD280" s="206"/>
      <c r="BE280" s="206"/>
      <c r="BF280" s="206"/>
      <c r="BG280" s="206"/>
      <c r="BH280" s="206"/>
      <c r="BO280" s="206"/>
      <c r="BP280" s="206"/>
    </row>
    <row r="281" spans="1:68" ht="15" customHeight="1" x14ac:dyDescent="0.25">
      <c r="A281" s="206"/>
      <c r="B281" s="206" t="s">
        <v>247</v>
      </c>
      <c r="C281" s="206"/>
      <c r="D281" s="206"/>
      <c r="E281" s="206"/>
      <c r="F281" s="206"/>
      <c r="G281" s="206"/>
      <c r="H281" s="206"/>
      <c r="I281" s="206"/>
      <c r="J281" s="206"/>
      <c r="K281" s="206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  <c r="AD281" s="206"/>
      <c r="AE281" s="206"/>
      <c r="AF281" s="206"/>
      <c r="AG281" s="206"/>
      <c r="AH281" s="206"/>
      <c r="AI281" s="206"/>
      <c r="AJ281" s="206"/>
      <c r="AK281" s="206"/>
      <c r="AL281" s="206"/>
      <c r="AM281" s="206"/>
      <c r="AN281" s="206"/>
      <c r="AO281" s="206"/>
      <c r="AP281" s="206"/>
      <c r="AQ281" s="206"/>
      <c r="AR281" s="206"/>
      <c r="AS281" s="206"/>
      <c r="AT281" s="206"/>
      <c r="AU281" s="206"/>
      <c r="AV281" s="206"/>
      <c r="AW281" s="206"/>
      <c r="AX281" s="206"/>
      <c r="AY281" s="206"/>
      <c r="AZ281" s="206"/>
      <c r="BA281" s="206"/>
      <c r="BB281" s="206"/>
      <c r="BC281" s="206"/>
      <c r="BD281" s="206"/>
      <c r="BE281" s="206"/>
      <c r="BF281" s="206"/>
      <c r="BG281" s="206"/>
      <c r="BH281" s="206"/>
      <c r="BI281" t="s">
        <v>275</v>
      </c>
      <c r="BJ281" s="155">
        <v>4816282.09</v>
      </c>
      <c r="BO281" s="206"/>
      <c r="BP281" s="206"/>
    </row>
    <row r="282" spans="1:68" ht="15" customHeight="1" x14ac:dyDescent="0.25">
      <c r="A282" s="206"/>
      <c r="B282" s="206" t="s">
        <v>248</v>
      </c>
      <c r="C282" s="206"/>
      <c r="D282" s="206"/>
      <c r="E282" s="206"/>
      <c r="F282" s="206"/>
      <c r="G282" s="206"/>
      <c r="H282" s="206"/>
      <c r="I282" s="206"/>
      <c r="J282" s="206"/>
      <c r="K282" s="206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  <c r="AD282" s="206"/>
      <c r="AE282" s="206"/>
      <c r="AF282" s="206"/>
      <c r="AG282" s="206"/>
      <c r="AH282" s="206"/>
      <c r="AI282" s="206"/>
      <c r="AJ282" s="206"/>
      <c r="AK282" s="206"/>
      <c r="AL282" s="206"/>
      <c r="AM282" s="206"/>
      <c r="AN282" s="206"/>
      <c r="AO282" s="206"/>
      <c r="AP282" s="206"/>
      <c r="AQ282" s="206"/>
      <c r="AR282" s="206"/>
      <c r="AS282" s="206"/>
      <c r="AT282" s="206"/>
      <c r="AU282" s="206"/>
      <c r="AV282" s="206"/>
      <c r="AW282" s="206"/>
      <c r="AX282" s="206"/>
      <c r="AY282" s="206"/>
      <c r="AZ282" s="206"/>
      <c r="BA282" s="206"/>
      <c r="BB282" s="206"/>
      <c r="BC282" s="206"/>
      <c r="BD282" s="206"/>
      <c r="BE282" s="206"/>
      <c r="BF282" s="206"/>
      <c r="BG282" s="206"/>
      <c r="BH282" s="206"/>
      <c r="BO282" s="206"/>
      <c r="BP282" s="206"/>
    </row>
    <row r="283" spans="1:68" ht="15" customHeight="1" x14ac:dyDescent="0.25">
      <c r="A283" s="206"/>
      <c r="B283" s="206" t="s">
        <v>249</v>
      </c>
      <c r="C283" s="29" t="s">
        <v>256</v>
      </c>
      <c r="D283" s="206"/>
      <c r="E283" s="206"/>
      <c r="F283" s="206"/>
      <c r="G283" s="206"/>
      <c r="H283" s="206"/>
      <c r="I283" s="206"/>
      <c r="J283" s="206"/>
      <c r="K283" s="206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  <c r="AD283" s="206"/>
      <c r="AE283" s="206"/>
      <c r="AF283" s="206"/>
      <c r="AG283" s="206"/>
      <c r="AH283" s="206"/>
      <c r="AI283" s="206"/>
      <c r="AJ283" s="206"/>
      <c r="AK283" s="206"/>
      <c r="AL283" s="206"/>
      <c r="AM283" s="206"/>
      <c r="AN283" s="206"/>
      <c r="AO283" s="206"/>
      <c r="AP283" s="206"/>
      <c r="AQ283" s="206"/>
      <c r="AR283" s="206"/>
      <c r="AS283" s="206"/>
      <c r="AT283" s="206"/>
      <c r="AU283" s="206"/>
      <c r="AV283" s="206"/>
      <c r="AW283" s="206"/>
      <c r="AX283" s="206"/>
      <c r="AY283" s="206"/>
      <c r="AZ283" s="206"/>
      <c r="BA283" s="206"/>
      <c r="BB283" s="206"/>
      <c r="BC283" s="206"/>
      <c r="BD283" s="206"/>
      <c r="BE283" s="206"/>
      <c r="BF283" s="206"/>
      <c r="BG283" s="206"/>
      <c r="BH283" s="206"/>
      <c r="BI283" t="s">
        <v>276</v>
      </c>
      <c r="BJ283" s="155">
        <v>3200000</v>
      </c>
      <c r="BO283" s="206"/>
      <c r="BP283" s="206"/>
    </row>
    <row r="284" spans="1:68" ht="15" customHeight="1" x14ac:dyDescent="0.25">
      <c r="A284" s="206"/>
      <c r="B284" s="206" t="s">
        <v>250</v>
      </c>
      <c r="C284" s="104" t="s">
        <v>257</v>
      </c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  <c r="AD284" s="206"/>
      <c r="AE284" s="206"/>
      <c r="AF284" s="206"/>
      <c r="AG284" s="206"/>
      <c r="AH284" s="206"/>
      <c r="AI284" s="206"/>
      <c r="AJ284" s="206"/>
      <c r="AK284" s="206"/>
      <c r="AL284" s="206"/>
      <c r="AM284" s="206"/>
      <c r="AN284" s="206"/>
      <c r="AO284" s="206"/>
      <c r="AP284" s="206"/>
      <c r="AQ284" s="206"/>
      <c r="AR284" s="206"/>
      <c r="AS284" s="206"/>
      <c r="AT284" s="206"/>
      <c r="AU284" s="206"/>
      <c r="AV284" s="206"/>
      <c r="AW284" s="206"/>
      <c r="AX284" s="206"/>
      <c r="AY284" s="206"/>
      <c r="AZ284" s="206"/>
      <c r="BA284" s="206"/>
      <c r="BB284" s="206"/>
      <c r="BC284" s="206"/>
      <c r="BD284" s="206"/>
      <c r="BE284" s="206"/>
      <c r="BF284" s="206"/>
      <c r="BG284" s="206"/>
      <c r="BH284" s="206"/>
      <c r="BI284" t="s">
        <v>277</v>
      </c>
      <c r="BJ284" s="6">
        <v>3400000</v>
      </c>
      <c r="BK284" s="6">
        <v>6800000</v>
      </c>
      <c r="BL284" s="6">
        <v>20000000</v>
      </c>
      <c r="BO284" s="206"/>
      <c r="BP284" s="206"/>
    </row>
    <row r="285" spans="1:68" ht="15" customHeight="1" x14ac:dyDescent="0.25">
      <c r="A285" s="206"/>
      <c r="B285" s="206"/>
      <c r="C285" s="4"/>
      <c r="D285" s="206"/>
      <c r="E285" s="206"/>
      <c r="F285" s="206"/>
      <c r="G285" s="206"/>
      <c r="H285" s="206"/>
      <c r="I285" s="206"/>
      <c r="J285" s="206"/>
      <c r="K285" s="206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O285" s="206"/>
      <c r="BP285" s="206"/>
    </row>
    <row r="286" spans="1:68" ht="15" customHeight="1" x14ac:dyDescent="0.25">
      <c r="A286" s="206"/>
      <c r="B286" s="206"/>
      <c r="C286" s="206"/>
      <c r="D286" s="206"/>
      <c r="E286" s="206"/>
      <c r="F286" s="206"/>
      <c r="G286" s="206"/>
      <c r="H286" s="206"/>
      <c r="I286" s="206"/>
      <c r="J286" s="206"/>
      <c r="K286" s="206"/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  <c r="AD286" s="206"/>
      <c r="AE286" s="206"/>
      <c r="AF286" s="206"/>
      <c r="AG286" s="206"/>
      <c r="AH286" s="206"/>
      <c r="AI286" s="206"/>
      <c r="AJ286" s="206"/>
      <c r="AK286" s="206"/>
      <c r="AL286" s="206"/>
      <c r="AM286" s="206"/>
      <c r="AN286" s="206"/>
      <c r="AO286" s="206"/>
      <c r="AP286" s="206"/>
      <c r="AQ286" s="206"/>
      <c r="AR286" s="206"/>
      <c r="AS286" s="206"/>
      <c r="AT286" s="206"/>
      <c r="AU286" s="206"/>
      <c r="AV286" s="206"/>
      <c r="AW286" s="206"/>
      <c r="AX286" s="206"/>
      <c r="AY286" s="206"/>
      <c r="AZ286" s="206"/>
      <c r="BA286" s="206"/>
      <c r="BB286" s="206"/>
      <c r="BC286" s="206"/>
      <c r="BD286" s="206"/>
      <c r="BE286" s="206"/>
      <c r="BF286" s="206"/>
      <c r="BG286" s="206"/>
      <c r="BH286" s="206"/>
      <c r="BO286" s="206"/>
      <c r="BP286" s="206"/>
    </row>
    <row r="287" spans="1:68" ht="15" customHeight="1" x14ac:dyDescent="0.25">
      <c r="A287" s="206"/>
      <c r="B287" s="206"/>
      <c r="C287" s="206"/>
      <c r="D287" s="206"/>
      <c r="E287" s="206"/>
      <c r="F287" s="206"/>
      <c r="G287" s="206"/>
      <c r="H287" s="206"/>
      <c r="I287" s="206"/>
      <c r="J287" s="206"/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O287" s="206"/>
      <c r="BP287" s="206"/>
    </row>
    <row r="288" spans="1:68" ht="15" customHeight="1" x14ac:dyDescent="0.25">
      <c r="A288" s="206"/>
      <c r="B288" s="206"/>
      <c r="C288" s="206"/>
      <c r="D288" s="206"/>
      <c r="E288" s="206"/>
      <c r="F288" s="206"/>
      <c r="G288" s="206"/>
      <c r="H288" s="206"/>
      <c r="I288" s="206"/>
      <c r="J288" s="206"/>
      <c r="K288" s="206"/>
      <c r="L288" s="206"/>
      <c r="M288" s="206"/>
      <c r="N288" s="206"/>
      <c r="O288" s="206"/>
      <c r="P288" s="206">
        <v>0</v>
      </c>
      <c r="Q288" s="206">
        <v>0.8</v>
      </c>
      <c r="R288" s="206">
        <v>0</v>
      </c>
      <c r="S288" s="206">
        <v>0.8</v>
      </c>
      <c r="T288" s="206">
        <v>0</v>
      </c>
      <c r="U288" s="206">
        <v>0.8</v>
      </c>
      <c r="V288" s="206">
        <v>0.8</v>
      </c>
      <c r="W288" s="206">
        <v>0</v>
      </c>
      <c r="X288" s="206">
        <v>0.8</v>
      </c>
      <c r="Y288" s="206">
        <v>0</v>
      </c>
      <c r="Z288" s="206">
        <v>0.8</v>
      </c>
      <c r="AA288" s="206">
        <v>0</v>
      </c>
      <c r="AB288" s="206">
        <v>0.8</v>
      </c>
      <c r="AC288" s="206">
        <v>0</v>
      </c>
      <c r="AD288" s="206">
        <v>0.8</v>
      </c>
      <c r="AE288" s="206">
        <v>0</v>
      </c>
      <c r="AF288" s="206">
        <v>0.8</v>
      </c>
      <c r="AG288" s="206">
        <v>0.8</v>
      </c>
      <c r="AH288" s="206">
        <v>0</v>
      </c>
      <c r="AI288" s="206">
        <v>0.8</v>
      </c>
      <c r="AJ288" s="206">
        <v>0.8</v>
      </c>
      <c r="AK288" s="206">
        <v>0</v>
      </c>
      <c r="AL288" s="206">
        <v>0.8</v>
      </c>
      <c r="AM288" s="206">
        <v>0</v>
      </c>
      <c r="AN288" s="206">
        <v>0.8</v>
      </c>
      <c r="AO288" s="206">
        <v>0.8</v>
      </c>
      <c r="AP288" s="206">
        <v>0.8</v>
      </c>
      <c r="AQ288" s="206">
        <v>0</v>
      </c>
      <c r="AR288" s="206">
        <v>0.8</v>
      </c>
      <c r="AS288" s="206">
        <v>0</v>
      </c>
      <c r="AT288" s="206">
        <v>0.8</v>
      </c>
      <c r="AU288" s="206">
        <v>0.8</v>
      </c>
      <c r="AV288" s="206">
        <v>0.8</v>
      </c>
      <c r="AW288" s="206">
        <v>0.8</v>
      </c>
      <c r="AX288" s="206">
        <v>0.8</v>
      </c>
      <c r="AY288" s="206">
        <v>0.8</v>
      </c>
      <c r="AZ288" s="206">
        <v>0</v>
      </c>
      <c r="BA288" s="206">
        <v>0.8</v>
      </c>
      <c r="BB288" s="206">
        <v>0</v>
      </c>
      <c r="BC288" s="206">
        <v>0</v>
      </c>
      <c r="BD288" s="206">
        <v>0</v>
      </c>
      <c r="BE288" s="206"/>
      <c r="BF288" s="206"/>
      <c r="BG288" s="206"/>
      <c r="BH288" s="206"/>
      <c r="BO288" s="206"/>
      <c r="BP288" s="206"/>
    </row>
    <row r="289" spans="1:68" ht="15" customHeight="1" x14ac:dyDescent="0.25">
      <c r="A289" s="206"/>
      <c r="B289" s="206"/>
      <c r="C289" s="206"/>
      <c r="D289" s="206"/>
      <c r="E289" s="206"/>
      <c r="F289" s="206"/>
      <c r="G289" s="206"/>
      <c r="H289" s="206"/>
      <c r="I289" s="206"/>
      <c r="J289" s="206"/>
      <c r="K289" s="206"/>
      <c r="L289" s="206"/>
      <c r="M289" s="206"/>
      <c r="N289" s="206"/>
      <c r="O289" s="206"/>
      <c r="P289" s="206">
        <v>0</v>
      </c>
      <c r="Q289" s="206">
        <v>9.2307692307692327E-2</v>
      </c>
      <c r="R289" s="206">
        <v>0</v>
      </c>
      <c r="S289" s="206">
        <v>9.2307692307692327E-2</v>
      </c>
      <c r="T289" s="206">
        <v>0</v>
      </c>
      <c r="U289" s="206">
        <v>9.2307692307692327E-2</v>
      </c>
      <c r="V289" s="206">
        <v>9.2307692307692327E-2</v>
      </c>
      <c r="W289" s="206">
        <v>0</v>
      </c>
      <c r="X289" s="206">
        <v>9.2307692307692327E-2</v>
      </c>
      <c r="Y289" s="206">
        <v>0</v>
      </c>
      <c r="Z289" s="206">
        <v>9.2307692307692327E-2</v>
      </c>
      <c r="AA289" s="206">
        <v>0</v>
      </c>
      <c r="AB289" s="206">
        <v>9.2307692307692327E-2</v>
      </c>
      <c r="AC289" s="206">
        <v>0</v>
      </c>
      <c r="AD289" s="206">
        <v>9.2307692307692327E-2</v>
      </c>
      <c r="AE289" s="206">
        <v>0</v>
      </c>
      <c r="AF289" s="206">
        <v>9.2307692307692327E-2</v>
      </c>
      <c r="AG289" s="206">
        <v>9.2307692307692327E-2</v>
      </c>
      <c r="AH289" s="206">
        <v>0</v>
      </c>
      <c r="AI289" s="206">
        <v>9.2307692307692327E-2</v>
      </c>
      <c r="AJ289" s="206">
        <v>9.2307692307692327E-2</v>
      </c>
      <c r="AK289" s="206">
        <v>0</v>
      </c>
      <c r="AL289" s="206">
        <v>9.2307692307692327E-2</v>
      </c>
      <c r="AM289" s="206">
        <v>0</v>
      </c>
      <c r="AN289" s="206">
        <v>9.2307692307692327E-2</v>
      </c>
      <c r="AO289" s="206">
        <v>9.2307692307692327E-2</v>
      </c>
      <c r="AP289" s="206">
        <v>9.2307692307692327E-2</v>
      </c>
      <c r="AQ289" s="206">
        <v>0</v>
      </c>
      <c r="AR289" s="206">
        <v>9.2307692307692327E-2</v>
      </c>
      <c r="AS289" s="206">
        <v>0</v>
      </c>
      <c r="AT289" s="206">
        <v>9.2307692307692327E-2</v>
      </c>
      <c r="AU289" s="206">
        <v>9.2307692307692327E-2</v>
      </c>
      <c r="AV289" s="206">
        <v>9.2307692307692327E-2</v>
      </c>
      <c r="AW289" s="206">
        <v>9.2307692307692327E-2</v>
      </c>
      <c r="AX289" s="206">
        <v>9.2307692307692327E-2</v>
      </c>
      <c r="AY289" s="206">
        <v>9.2307692307692327E-2</v>
      </c>
      <c r="AZ289" s="206">
        <v>0</v>
      </c>
      <c r="BA289" s="206">
        <v>9.2307692307692327E-2</v>
      </c>
      <c r="BB289" s="206">
        <v>0</v>
      </c>
      <c r="BC289" s="206">
        <v>0</v>
      </c>
      <c r="BD289" s="206">
        <v>0</v>
      </c>
      <c r="BE289" s="206"/>
      <c r="BF289" s="206"/>
      <c r="BG289" s="206"/>
      <c r="BH289" s="206"/>
      <c r="BO289" s="206"/>
      <c r="BP289" s="206"/>
    </row>
    <row r="290" spans="1:68" ht="15" customHeight="1" x14ac:dyDescent="0.25">
      <c r="A290" s="206"/>
      <c r="B290" s="206"/>
      <c r="C290" s="206"/>
      <c r="D290" s="206"/>
      <c r="E290" s="206"/>
      <c r="F290" s="206"/>
      <c r="G290" s="206"/>
      <c r="H290" s="206"/>
      <c r="I290" s="206"/>
      <c r="J290" s="206"/>
      <c r="K290" s="206"/>
      <c r="L290" s="206"/>
      <c r="M290" s="206"/>
      <c r="N290" s="206"/>
      <c r="O290" s="206"/>
      <c r="P290" s="206">
        <v>0</v>
      </c>
      <c r="Q290" s="206">
        <v>2</v>
      </c>
      <c r="R290" s="206">
        <v>0</v>
      </c>
      <c r="S290" s="206">
        <v>2</v>
      </c>
      <c r="T290" s="206">
        <v>0</v>
      </c>
      <c r="U290" s="206">
        <v>2</v>
      </c>
      <c r="V290" s="206">
        <v>2</v>
      </c>
      <c r="W290" s="206">
        <v>0</v>
      </c>
      <c r="X290" s="206">
        <v>2</v>
      </c>
      <c r="Y290" s="206">
        <v>0</v>
      </c>
      <c r="Z290" s="206">
        <v>2</v>
      </c>
      <c r="AA290" s="206">
        <v>0</v>
      </c>
      <c r="AB290" s="206">
        <v>2</v>
      </c>
      <c r="AC290" s="206">
        <v>0</v>
      </c>
      <c r="AD290" s="206">
        <v>2</v>
      </c>
      <c r="AE290" s="206">
        <v>0</v>
      </c>
      <c r="AF290" s="206">
        <v>2</v>
      </c>
      <c r="AG290" s="206">
        <v>2</v>
      </c>
      <c r="AH290" s="206">
        <v>0</v>
      </c>
      <c r="AI290" s="206">
        <v>2</v>
      </c>
      <c r="AJ290" s="206">
        <v>2</v>
      </c>
      <c r="AK290" s="206">
        <v>0</v>
      </c>
      <c r="AL290" s="206">
        <v>2</v>
      </c>
      <c r="AM290" s="206">
        <v>0</v>
      </c>
      <c r="AN290" s="206">
        <v>2</v>
      </c>
      <c r="AO290" s="206">
        <v>2</v>
      </c>
      <c r="AP290" s="206">
        <v>2</v>
      </c>
      <c r="AQ290" s="206">
        <v>0</v>
      </c>
      <c r="AR290" s="206">
        <v>2</v>
      </c>
      <c r="AS290" s="206">
        <v>0</v>
      </c>
      <c r="AT290" s="206">
        <v>2</v>
      </c>
      <c r="AU290" s="206">
        <v>2</v>
      </c>
      <c r="AV290" s="206">
        <v>2</v>
      </c>
      <c r="AW290" s="206">
        <v>2</v>
      </c>
      <c r="AX290" s="206">
        <v>2</v>
      </c>
      <c r="AY290" s="206">
        <v>2</v>
      </c>
      <c r="AZ290" s="206">
        <v>0</v>
      </c>
      <c r="BA290" s="206">
        <v>2</v>
      </c>
      <c r="BB290" s="206">
        <v>0</v>
      </c>
      <c r="BC290" s="206">
        <v>0</v>
      </c>
      <c r="BD290" s="206">
        <v>0</v>
      </c>
      <c r="BE290" s="206"/>
      <c r="BF290" s="206"/>
      <c r="BG290" s="206"/>
      <c r="BH290" s="206"/>
      <c r="BO290" s="206"/>
      <c r="BP290" s="206"/>
    </row>
    <row r="291" spans="1:68" ht="15" customHeight="1" x14ac:dyDescent="0.25">
      <c r="A291" s="206"/>
      <c r="B291" s="206"/>
      <c r="C291" s="206"/>
      <c r="D291" s="206"/>
      <c r="E291" s="206"/>
      <c r="F291" s="206"/>
      <c r="G291" s="206"/>
      <c r="H291" s="206"/>
      <c r="I291" s="206"/>
      <c r="J291" s="206"/>
      <c r="K291" s="206"/>
      <c r="L291" s="206"/>
      <c r="M291" s="206"/>
      <c r="N291" s="206"/>
      <c r="O291" s="206"/>
      <c r="P291" s="206">
        <v>0</v>
      </c>
      <c r="Q291" s="206">
        <v>0.8</v>
      </c>
      <c r="R291" s="206">
        <v>0</v>
      </c>
      <c r="S291" s="206">
        <v>0.8</v>
      </c>
      <c r="T291" s="206">
        <v>0</v>
      </c>
      <c r="U291" s="206">
        <v>0.8</v>
      </c>
      <c r="V291" s="206">
        <v>0.8</v>
      </c>
      <c r="W291" s="206">
        <v>0</v>
      </c>
      <c r="X291" s="206">
        <v>0.8</v>
      </c>
      <c r="Y291" s="206">
        <v>0</v>
      </c>
      <c r="Z291" s="206">
        <v>0.8</v>
      </c>
      <c r="AA291" s="206">
        <v>0</v>
      </c>
      <c r="AB291" s="206">
        <v>0.8</v>
      </c>
      <c r="AC291" s="206">
        <v>0</v>
      </c>
      <c r="AD291" s="206">
        <v>0.8</v>
      </c>
      <c r="AE291" s="206">
        <v>0</v>
      </c>
      <c r="AF291" s="206">
        <v>0.8</v>
      </c>
      <c r="AG291" s="206">
        <v>0.8</v>
      </c>
      <c r="AH291" s="206">
        <v>0</v>
      </c>
      <c r="AI291" s="206">
        <v>0.8</v>
      </c>
      <c r="AJ291" s="206">
        <v>0.8</v>
      </c>
      <c r="AK291" s="206">
        <v>0</v>
      </c>
      <c r="AL291" s="206">
        <v>0.8</v>
      </c>
      <c r="AM291" s="206">
        <v>0</v>
      </c>
      <c r="AN291" s="206">
        <v>0.8</v>
      </c>
      <c r="AO291" s="206">
        <v>0.8</v>
      </c>
      <c r="AP291" s="206">
        <v>0.8</v>
      </c>
      <c r="AQ291" s="206">
        <v>0</v>
      </c>
      <c r="AR291" s="206">
        <v>0.8</v>
      </c>
      <c r="AS291" s="206">
        <v>0</v>
      </c>
      <c r="AT291" s="206">
        <v>0.8</v>
      </c>
      <c r="AU291" s="206">
        <v>0.8</v>
      </c>
      <c r="AV291" s="206">
        <v>0.8</v>
      </c>
      <c r="AW291" s="206">
        <v>0.8</v>
      </c>
      <c r="AX291" s="206">
        <v>0.8</v>
      </c>
      <c r="AY291" s="206">
        <v>0.8</v>
      </c>
      <c r="AZ291" s="206">
        <v>0</v>
      </c>
      <c r="BA291" s="206">
        <v>0.8</v>
      </c>
      <c r="BB291" s="206">
        <v>0</v>
      </c>
      <c r="BC291" s="206">
        <v>0</v>
      </c>
      <c r="BD291" s="206">
        <v>0</v>
      </c>
      <c r="BE291" s="206"/>
      <c r="BF291" s="206"/>
      <c r="BG291" s="206"/>
      <c r="BH291" s="206"/>
      <c r="BO291" s="206"/>
      <c r="BP291" s="206"/>
    </row>
    <row r="292" spans="1:68" ht="15" customHeight="1" x14ac:dyDescent="0.25">
      <c r="A292" s="206"/>
      <c r="B292" s="206"/>
      <c r="C292" s="206"/>
      <c r="D292" s="206"/>
      <c r="E292" s="206"/>
      <c r="F292" s="206"/>
      <c r="G292" s="206"/>
      <c r="H292" s="206"/>
      <c r="I292" s="206"/>
      <c r="J292" s="206"/>
      <c r="K292" s="206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  <c r="AD292" s="206"/>
      <c r="AE292" s="206"/>
      <c r="AF292" s="206"/>
      <c r="AG292" s="206"/>
      <c r="AH292" s="206"/>
      <c r="AI292" s="206"/>
      <c r="AJ292" s="206"/>
      <c r="AK292" s="206"/>
      <c r="AL292" s="206"/>
      <c r="AM292" s="206"/>
      <c r="AN292" s="206"/>
      <c r="AO292" s="206"/>
      <c r="AP292" s="206"/>
      <c r="AQ292" s="206"/>
      <c r="AR292" s="206"/>
      <c r="AS292" s="206"/>
      <c r="AT292" s="206"/>
      <c r="AU292" s="206"/>
      <c r="AV292" s="206"/>
      <c r="AW292" s="206"/>
      <c r="AX292" s="206"/>
      <c r="AY292" s="206"/>
      <c r="AZ292" s="206"/>
      <c r="BA292" s="206"/>
      <c r="BB292" s="206"/>
      <c r="BC292" s="206"/>
      <c r="BD292" s="206"/>
      <c r="BE292" s="206"/>
      <c r="BF292" s="206"/>
      <c r="BG292" s="206"/>
      <c r="BH292" s="206"/>
      <c r="BO292" s="206"/>
      <c r="BP292" s="206"/>
    </row>
    <row r="293" spans="1:68" ht="15" customHeight="1" x14ac:dyDescent="0.25">
      <c r="BO293" s="206"/>
    </row>
    <row r="294" spans="1:68" ht="15" customHeight="1" x14ac:dyDescent="0.25">
      <c r="BO294" s="206"/>
    </row>
    <row r="295" spans="1:68" ht="15" customHeight="1" x14ac:dyDescent="0.25">
      <c r="BO295" s="206"/>
    </row>
    <row r="296" spans="1:68" ht="15" customHeight="1" x14ac:dyDescent="0.25">
      <c r="BO296" s="206"/>
    </row>
    <row r="297" spans="1:68" ht="15" customHeight="1" x14ac:dyDescent="0.25">
      <c r="BO297" s="206"/>
    </row>
    <row r="298" spans="1:68" ht="15" customHeight="1" x14ac:dyDescent="0.25">
      <c r="BO298" s="206"/>
    </row>
    <row r="299" spans="1:68" ht="15" customHeight="1" x14ac:dyDescent="0.25">
      <c r="BO299" s="206"/>
    </row>
    <row r="300" spans="1:68" ht="15" customHeight="1" x14ac:dyDescent="0.25">
      <c r="BO300" s="206"/>
    </row>
    <row r="301" spans="1:68" ht="15" customHeight="1" x14ac:dyDescent="0.25">
      <c r="BO301" s="206"/>
    </row>
    <row r="302" spans="1:68" ht="15" customHeight="1" x14ac:dyDescent="0.25">
      <c r="BO302" s="206"/>
    </row>
    <row r="303" spans="1:68" ht="15" customHeight="1" x14ac:dyDescent="0.25">
      <c r="BO303" s="206"/>
    </row>
    <row r="304" spans="1:68" ht="15" customHeight="1" x14ac:dyDescent="0.25">
      <c r="BO304" s="206"/>
    </row>
    <row r="305" spans="67:67" ht="15" customHeight="1" x14ac:dyDescent="0.25">
      <c r="BO305" s="206"/>
    </row>
    <row r="306" spans="67:67" ht="15" customHeight="1" x14ac:dyDescent="0.25">
      <c r="BO306" s="206"/>
    </row>
    <row r="307" spans="67:67" ht="15" customHeight="1" x14ac:dyDescent="0.25">
      <c r="BO307" s="206"/>
    </row>
    <row r="308" spans="67:67" ht="15" customHeight="1" x14ac:dyDescent="0.25">
      <c r="BO308" s="206"/>
    </row>
    <row r="309" spans="67:67" ht="15" customHeight="1" x14ac:dyDescent="0.25">
      <c r="BO309" s="206"/>
    </row>
    <row r="310" spans="67:67" ht="15" customHeight="1" x14ac:dyDescent="0.25">
      <c r="BO310" s="206"/>
    </row>
    <row r="311" spans="67:67" ht="15" customHeight="1" x14ac:dyDescent="0.25">
      <c r="BO311" s="206"/>
    </row>
    <row r="312" spans="67:67" ht="15" customHeight="1" x14ac:dyDescent="0.25">
      <c r="BO312" s="206"/>
    </row>
    <row r="313" spans="67:67" ht="15" customHeight="1" x14ac:dyDescent="0.25">
      <c r="BO313" s="206"/>
    </row>
    <row r="314" spans="67:67" ht="15" customHeight="1" x14ac:dyDescent="0.25">
      <c r="BO314" s="206"/>
    </row>
    <row r="315" spans="67:67" ht="15" customHeight="1" x14ac:dyDescent="0.25">
      <c r="BO315" s="206"/>
    </row>
    <row r="316" spans="67:67" ht="15" customHeight="1" x14ac:dyDescent="0.25">
      <c r="BO316" s="206"/>
    </row>
    <row r="317" spans="67:67" ht="15" customHeight="1" x14ac:dyDescent="0.25">
      <c r="BO317" s="206"/>
    </row>
    <row r="318" spans="67:67" ht="15" customHeight="1" x14ac:dyDescent="0.25">
      <c r="BO318" s="206"/>
    </row>
    <row r="319" spans="67:67" ht="15" customHeight="1" x14ac:dyDescent="0.25">
      <c r="BO319" s="206"/>
    </row>
    <row r="320" spans="67:67" ht="15" customHeight="1" x14ac:dyDescent="0.25">
      <c r="BO320" s="206"/>
    </row>
    <row r="321" spans="67:67" ht="15" customHeight="1" x14ac:dyDescent="0.25">
      <c r="BO321" s="206"/>
    </row>
    <row r="322" spans="67:67" ht="15" customHeight="1" x14ac:dyDescent="0.25">
      <c r="BO322" s="206"/>
    </row>
    <row r="323" spans="67:67" ht="15" customHeight="1" x14ac:dyDescent="0.25">
      <c r="BO323" s="206"/>
    </row>
    <row r="324" spans="67:67" ht="15" customHeight="1" x14ac:dyDescent="0.25">
      <c r="BO324" s="206"/>
    </row>
    <row r="325" spans="67:67" ht="15" customHeight="1" x14ac:dyDescent="0.25">
      <c r="BO325" s="206"/>
    </row>
    <row r="326" spans="67:67" ht="15" customHeight="1" x14ac:dyDescent="0.25">
      <c r="BO326" s="206"/>
    </row>
    <row r="327" spans="67:67" ht="15" customHeight="1" x14ac:dyDescent="0.25">
      <c r="BO327" s="206"/>
    </row>
    <row r="328" spans="67:67" ht="15" customHeight="1" x14ac:dyDescent="0.25">
      <c r="BO328" s="206"/>
    </row>
    <row r="329" spans="67:67" ht="15" customHeight="1" x14ac:dyDescent="0.25">
      <c r="BO329" s="206"/>
    </row>
    <row r="330" spans="67:67" ht="15" customHeight="1" x14ac:dyDescent="0.25">
      <c r="BO330" s="206"/>
    </row>
    <row r="331" spans="67:67" ht="15" customHeight="1" x14ac:dyDescent="0.25">
      <c r="BO331" s="206"/>
    </row>
    <row r="332" spans="67:67" ht="15" customHeight="1" x14ac:dyDescent="0.25">
      <c r="BO332" s="206"/>
    </row>
    <row r="333" spans="67:67" ht="15" customHeight="1" x14ac:dyDescent="0.25">
      <c r="BO333" s="206"/>
    </row>
    <row r="334" spans="67:67" ht="15" customHeight="1" x14ac:dyDescent="0.25">
      <c r="BO334" s="206"/>
    </row>
    <row r="335" spans="67:67" ht="15" customHeight="1" x14ac:dyDescent="0.25">
      <c r="BO335" s="206"/>
    </row>
    <row r="336" spans="67:67" ht="15" customHeight="1" x14ac:dyDescent="0.25">
      <c r="BO336" s="206"/>
    </row>
    <row r="337" spans="67:67" ht="15" customHeight="1" x14ac:dyDescent="0.25">
      <c r="BO337" s="206"/>
    </row>
    <row r="338" spans="67:67" ht="15" customHeight="1" x14ac:dyDescent="0.25">
      <c r="BO338" s="206"/>
    </row>
    <row r="339" spans="67:67" ht="15" customHeight="1" x14ac:dyDescent="0.25">
      <c r="BO339" s="206"/>
    </row>
    <row r="340" spans="67:67" ht="15" customHeight="1" x14ac:dyDescent="0.25">
      <c r="BO340" s="206"/>
    </row>
    <row r="341" spans="67:67" ht="15" customHeight="1" x14ac:dyDescent="0.25">
      <c r="BO341" s="206"/>
    </row>
    <row r="342" spans="67:67" ht="15" customHeight="1" x14ac:dyDescent="0.25">
      <c r="BO342" s="206"/>
    </row>
    <row r="343" spans="67:67" ht="15" customHeight="1" x14ac:dyDescent="0.25">
      <c r="BO343" s="206"/>
    </row>
    <row r="344" spans="67:67" ht="15" customHeight="1" x14ac:dyDescent="0.25">
      <c r="BO344" s="206"/>
    </row>
    <row r="345" spans="67:67" ht="15" customHeight="1" x14ac:dyDescent="0.25">
      <c r="BO345" s="206"/>
    </row>
    <row r="346" spans="67:67" ht="15" customHeight="1" x14ac:dyDescent="0.25">
      <c r="BO346" s="206"/>
    </row>
    <row r="347" spans="67:67" ht="15" customHeight="1" x14ac:dyDescent="0.25">
      <c r="BO347" s="206"/>
    </row>
    <row r="348" spans="67:67" ht="15" customHeight="1" x14ac:dyDescent="0.25">
      <c r="BO348" s="206"/>
    </row>
    <row r="349" spans="67:67" ht="15" customHeight="1" x14ac:dyDescent="0.25">
      <c r="BO349" s="206"/>
    </row>
    <row r="350" spans="67:67" ht="15" customHeight="1" x14ac:dyDescent="0.25">
      <c r="BO350" s="206"/>
    </row>
    <row r="351" spans="67:67" ht="15" customHeight="1" x14ac:dyDescent="0.25">
      <c r="BO351" s="206"/>
    </row>
    <row r="352" spans="67:67" ht="15" customHeight="1" x14ac:dyDescent="0.25">
      <c r="BO352" s="206"/>
    </row>
    <row r="353" spans="67:67" ht="15" customHeight="1" x14ac:dyDescent="0.25">
      <c r="BO353" s="206"/>
    </row>
    <row r="354" spans="67:67" ht="15" customHeight="1" x14ac:dyDescent="0.25">
      <c r="BO354" s="206"/>
    </row>
    <row r="355" spans="67:67" ht="15" customHeight="1" x14ac:dyDescent="0.25">
      <c r="BO355" s="206"/>
    </row>
    <row r="356" spans="67:67" ht="15" customHeight="1" x14ac:dyDescent="0.25">
      <c r="BO356" s="206"/>
    </row>
  </sheetData>
  <pageMargins left="0.7" right="0.7" top="0.75" bottom="0.75" header="0.3" footer="0.3"/>
  <ignoredErrors>
    <ignoredError sqref="D119 BD166 D40 D166:K166 AT166:AZ166 M166:AR16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2FA1-BA0A-43FF-B15A-E1B3B4C2B965}">
  <sheetPr>
    <tabColor theme="7" tint="0.79998168889431442"/>
  </sheetPr>
  <dimension ref="A2:BD31"/>
  <sheetViews>
    <sheetView workbookViewId="0">
      <pane xSplit="3" ySplit="3" topLeftCell="G4" activePane="bottomRight" state="frozen"/>
      <selection pane="topRight" activeCell="D1" sqref="D1"/>
      <selection pane="bottomLeft" activeCell="A4" sqref="A4"/>
      <selection pane="bottomRight" activeCell="BI4" sqref="BI4"/>
    </sheetView>
  </sheetViews>
  <sheetFormatPr defaultRowHeight="15" customHeight="1" x14ac:dyDescent="0.25"/>
  <cols>
    <col min="2" max="2" width="50.5703125" bestFit="1" customWidth="1"/>
    <col min="3" max="3" width="18.140625" customWidth="1"/>
    <col min="4" max="4" width="12.7109375" bestFit="1" customWidth="1"/>
    <col min="5" max="8" width="12.7109375" customWidth="1"/>
    <col min="9" max="9" width="12.7109375" bestFit="1" customWidth="1"/>
    <col min="10" max="10" width="12" customWidth="1"/>
    <col min="11" max="11" width="10.7109375" bestFit="1" customWidth="1"/>
    <col min="12" max="12" width="10.7109375" customWidth="1"/>
    <col min="13" max="15" width="11.5703125" bestFit="1" customWidth="1"/>
    <col min="16" max="16" width="9.7109375" customWidth="1"/>
    <col min="17" max="17" width="11.5703125" bestFit="1" customWidth="1"/>
    <col min="18" max="18" width="9.28515625" bestFit="1" customWidth="1"/>
    <col min="19" max="19" width="11.5703125" bestFit="1" customWidth="1"/>
    <col min="20" max="20" width="9.28515625" customWidth="1"/>
    <col min="21" max="21" width="11.5703125" bestFit="1" customWidth="1"/>
    <col min="22" max="22" width="11.5703125" customWidth="1"/>
    <col min="23" max="50" width="11.28515625" customWidth="1"/>
    <col min="51" max="55" width="11.7109375" customWidth="1"/>
    <col min="56" max="56" width="9.28515625" bestFit="1" customWidth="1"/>
  </cols>
  <sheetData>
    <row r="2" spans="1:56" ht="30" x14ac:dyDescent="0.25">
      <c r="A2" s="47"/>
      <c r="B2" s="48"/>
      <c r="C2" s="48"/>
      <c r="D2" s="49" t="s">
        <v>483</v>
      </c>
      <c r="E2" s="49" t="s">
        <v>484</v>
      </c>
      <c r="F2" s="49" t="s">
        <v>485</v>
      </c>
      <c r="G2" s="49" t="s">
        <v>486</v>
      </c>
      <c r="H2" s="49" t="s">
        <v>487</v>
      </c>
      <c r="I2" s="49" t="s">
        <v>508</v>
      </c>
      <c r="J2" s="49" t="s">
        <v>509</v>
      </c>
      <c r="K2" s="49" t="s">
        <v>510</v>
      </c>
      <c r="L2" s="49" t="s">
        <v>529</v>
      </c>
      <c r="M2" s="49" t="s">
        <v>511</v>
      </c>
      <c r="N2" s="49" t="s">
        <v>512</v>
      </c>
      <c r="O2" s="49" t="s">
        <v>513</v>
      </c>
      <c r="P2" s="49" t="s">
        <v>514</v>
      </c>
      <c r="Q2" s="49" t="s">
        <v>515</v>
      </c>
      <c r="R2" s="49" t="s">
        <v>516</v>
      </c>
      <c r="S2" s="49" t="s">
        <v>517</v>
      </c>
      <c r="T2" s="49" t="s">
        <v>518</v>
      </c>
      <c r="U2" s="49" t="s">
        <v>519</v>
      </c>
      <c r="V2" s="49" t="s">
        <v>520</v>
      </c>
      <c r="W2" s="49" t="s">
        <v>521</v>
      </c>
      <c r="X2" s="49" t="s">
        <v>425</v>
      </c>
      <c r="Y2" s="49" t="s">
        <v>409</v>
      </c>
      <c r="Z2" s="49" t="s">
        <v>426</v>
      </c>
      <c r="AA2" s="49" t="s">
        <v>410</v>
      </c>
      <c r="AB2" s="49" t="s">
        <v>427</v>
      </c>
      <c r="AC2" s="49" t="s">
        <v>411</v>
      </c>
      <c r="AD2" s="49" t="s">
        <v>428</v>
      </c>
      <c r="AE2" s="49" t="s">
        <v>412</v>
      </c>
      <c r="AF2" s="49" t="s">
        <v>429</v>
      </c>
      <c r="AG2" s="49" t="s">
        <v>430</v>
      </c>
      <c r="AH2" s="49" t="s">
        <v>413</v>
      </c>
      <c r="AI2" s="49" t="s">
        <v>431</v>
      </c>
      <c r="AJ2" s="49" t="s">
        <v>432</v>
      </c>
      <c r="AK2" s="49" t="s">
        <v>414</v>
      </c>
      <c r="AL2" s="49" t="s">
        <v>433</v>
      </c>
      <c r="AM2" s="49" t="s">
        <v>415</v>
      </c>
      <c r="AN2" s="49" t="s">
        <v>434</v>
      </c>
      <c r="AO2" s="49" t="s">
        <v>435</v>
      </c>
      <c r="AP2" s="49" t="s">
        <v>436</v>
      </c>
      <c r="AQ2" s="49" t="s">
        <v>416</v>
      </c>
      <c r="AR2" s="49" t="s">
        <v>437</v>
      </c>
      <c r="AS2" s="49" t="s">
        <v>417</v>
      </c>
      <c r="AT2" s="49" t="s">
        <v>438</v>
      </c>
      <c r="AU2" s="49" t="s">
        <v>439</v>
      </c>
      <c r="AV2" s="49" t="s">
        <v>440</v>
      </c>
      <c r="AW2" s="49" t="s">
        <v>441</v>
      </c>
      <c r="AX2" s="49" t="s">
        <v>528</v>
      </c>
      <c r="AY2" s="49" t="s">
        <v>522</v>
      </c>
      <c r="AZ2" s="49" t="s">
        <v>523</v>
      </c>
      <c r="BA2" s="49" t="s">
        <v>442</v>
      </c>
      <c r="BB2" s="49" t="s">
        <v>524</v>
      </c>
      <c r="BC2" s="49" t="s">
        <v>525</v>
      </c>
      <c r="BD2" s="49" t="s">
        <v>526</v>
      </c>
    </row>
    <row r="3" spans="1:56" x14ac:dyDescent="0.25">
      <c r="B3" s="3" t="s">
        <v>278</v>
      </c>
      <c r="D3" s="14" cm="1">
        <f t="array" ref="D3:BD3">_xlfn.LET(_xlpm.site,_xlfn.DROP(_xlfn._TRO_TRAILING($2:$2),0,3),_xlpm.locations,Base!$4:$4,_xlpm.launch_date,Base!$5:$5,_xlpm.months_prepaid,-_xlfn.DROP(_xlfn._TRO_TRAILING(30:30),0,3)-1,
_xlpm.site_date,_xlfn.XLOOKUP(_xlpm.site,_xlpm.locations,_xlpm.launch_date,0,0),
EOMONTH(_xlpm.site_date,_xlpm.months_prepaid)+1)</f>
        <v>44197</v>
      </c>
      <c r="E3" s="14">
        <v>45992</v>
      </c>
      <c r="F3" s="14">
        <v>46266</v>
      </c>
      <c r="G3" s="14">
        <v>46357</v>
      </c>
      <c r="H3" s="14">
        <v>46722</v>
      </c>
      <c r="I3" s="14">
        <v>44136</v>
      </c>
      <c r="J3" s="14">
        <v>44197</v>
      </c>
      <c r="K3" s="14">
        <v>45444</v>
      </c>
      <c r="L3" s="14">
        <v>45505</v>
      </c>
      <c r="M3" s="14">
        <v>45931</v>
      </c>
      <c r="N3" s="14">
        <v>45931</v>
      </c>
      <c r="O3" s="14">
        <v>46023</v>
      </c>
      <c r="P3" s="14">
        <v>46113</v>
      </c>
      <c r="Q3" s="14">
        <v>45717</v>
      </c>
      <c r="R3" s="14">
        <v>45778</v>
      </c>
      <c r="S3" s="14">
        <v>46054</v>
      </c>
      <c r="T3" s="14">
        <v>46143</v>
      </c>
      <c r="U3" s="14">
        <v>46023</v>
      </c>
      <c r="V3" s="14">
        <v>46266</v>
      </c>
      <c r="W3" s="14">
        <v>46327</v>
      </c>
      <c r="X3" s="14">
        <v>46204</v>
      </c>
      <c r="Y3" s="14">
        <v>46296</v>
      </c>
      <c r="Z3" s="14">
        <v>46143</v>
      </c>
      <c r="AA3" s="14">
        <v>46419</v>
      </c>
      <c r="AB3" s="14">
        <v>46388</v>
      </c>
      <c r="AC3" s="14">
        <v>46539</v>
      </c>
      <c r="AD3" s="14">
        <v>46539</v>
      </c>
      <c r="AE3" s="14">
        <v>46661</v>
      </c>
      <c r="AF3" s="14">
        <v>46631</v>
      </c>
      <c r="AG3" s="14">
        <v>46661</v>
      </c>
      <c r="AH3" s="14">
        <v>46813</v>
      </c>
      <c r="AI3" s="14">
        <v>46508</v>
      </c>
      <c r="AJ3" s="14">
        <v>46874</v>
      </c>
      <c r="AK3" s="14">
        <v>46905</v>
      </c>
      <c r="AL3" s="14">
        <v>46905</v>
      </c>
      <c r="AM3" s="14">
        <v>46997</v>
      </c>
      <c r="AN3" s="14">
        <v>46935</v>
      </c>
      <c r="AO3" s="14">
        <v>46966</v>
      </c>
      <c r="AP3" s="14">
        <v>46997</v>
      </c>
      <c r="AQ3" s="14">
        <v>47088</v>
      </c>
      <c r="AR3" s="14">
        <v>46143</v>
      </c>
      <c r="AS3" s="14">
        <v>46023</v>
      </c>
      <c r="AT3" s="14">
        <v>46539</v>
      </c>
      <c r="AU3" s="14">
        <v>46844</v>
      </c>
      <c r="AV3" s="14">
        <v>46113</v>
      </c>
      <c r="AW3" s="14">
        <v>46508</v>
      </c>
      <c r="AX3" s="14">
        <v>46844</v>
      </c>
      <c r="AY3" s="14">
        <v>45689</v>
      </c>
      <c r="AZ3" s="14">
        <v>44958</v>
      </c>
      <c r="BA3" s="14">
        <v>46235</v>
      </c>
      <c r="BB3" s="14">
        <v>46023</v>
      </c>
      <c r="BC3" s="14">
        <v>46388</v>
      </c>
      <c r="BD3" s="14">
        <v>44927</v>
      </c>
    </row>
    <row r="4" spans="1:56" x14ac:dyDescent="0.25">
      <c r="B4" s="1" t="s">
        <v>443</v>
      </c>
    </row>
    <row r="5" spans="1:56" x14ac:dyDescent="0.25">
      <c r="B5" s="39" t="s">
        <v>279</v>
      </c>
      <c r="C5" t="s">
        <v>280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1100000</v>
      </c>
      <c r="N5" s="6">
        <v>1100000</v>
      </c>
      <c r="O5" s="6">
        <v>1100000</v>
      </c>
      <c r="P5" s="6">
        <v>0</v>
      </c>
      <c r="Q5" s="6">
        <v>1100000</v>
      </c>
      <c r="R5" s="6">
        <v>0</v>
      </c>
      <c r="S5" s="6">
        <v>1100000</v>
      </c>
      <c r="T5" s="6">
        <v>0</v>
      </c>
      <c r="U5" s="6">
        <v>1100000</v>
      </c>
      <c r="V5" s="6">
        <v>1100000</v>
      </c>
      <c r="W5" s="6">
        <v>0</v>
      </c>
      <c r="X5" s="6">
        <v>1100000</v>
      </c>
      <c r="Y5" s="6">
        <v>0</v>
      </c>
      <c r="Z5" s="6">
        <v>1100000</v>
      </c>
      <c r="AA5" s="6">
        <v>0</v>
      </c>
      <c r="AB5" s="6">
        <v>1100000</v>
      </c>
      <c r="AC5" s="6">
        <v>0</v>
      </c>
      <c r="AD5" s="6">
        <v>1100000</v>
      </c>
      <c r="AE5" s="6">
        <v>0</v>
      </c>
      <c r="AF5" s="6">
        <v>1100000</v>
      </c>
      <c r="AG5" s="6">
        <v>1100000</v>
      </c>
      <c r="AH5" s="6">
        <v>0</v>
      </c>
      <c r="AI5" s="6">
        <v>1100000</v>
      </c>
      <c r="AJ5" s="6">
        <v>1100000</v>
      </c>
      <c r="AK5" s="6">
        <v>0</v>
      </c>
      <c r="AL5" s="6">
        <v>1100000</v>
      </c>
      <c r="AM5" s="6">
        <v>0</v>
      </c>
      <c r="AN5" s="6">
        <v>1100000</v>
      </c>
      <c r="AO5" s="6">
        <v>1100000</v>
      </c>
      <c r="AP5" s="6">
        <v>1100000</v>
      </c>
      <c r="AQ5" s="6">
        <v>0</v>
      </c>
      <c r="AR5" s="6">
        <v>614000</v>
      </c>
      <c r="AS5" s="6">
        <v>0</v>
      </c>
      <c r="AT5" s="6">
        <v>614000</v>
      </c>
      <c r="AU5" s="6">
        <v>614000</v>
      </c>
      <c r="AV5" s="6">
        <v>614000</v>
      </c>
      <c r="AW5" s="6">
        <v>614000</v>
      </c>
      <c r="AX5" s="6">
        <v>614000</v>
      </c>
      <c r="AY5" s="6">
        <v>614000</v>
      </c>
      <c r="AZ5" s="6">
        <v>0</v>
      </c>
      <c r="BA5" s="6">
        <v>614000</v>
      </c>
      <c r="BB5" s="6">
        <v>0</v>
      </c>
      <c r="BC5" s="6">
        <v>0</v>
      </c>
      <c r="BD5" s="6">
        <v>0</v>
      </c>
    </row>
    <row r="6" spans="1:56" x14ac:dyDescent="0.25">
      <c r="B6" s="39" t="s">
        <v>281</v>
      </c>
      <c r="C6" t="s">
        <v>280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-200000</v>
      </c>
      <c r="N6" s="6">
        <v>-200000</v>
      </c>
      <c r="O6" s="6">
        <v>-200000</v>
      </c>
      <c r="P6" s="6">
        <v>0</v>
      </c>
      <c r="Q6" s="6">
        <v>-200000</v>
      </c>
      <c r="R6" s="6">
        <v>0</v>
      </c>
      <c r="S6" s="6">
        <v>-200000</v>
      </c>
      <c r="T6" s="6">
        <v>0</v>
      </c>
      <c r="U6" s="6">
        <v>-200000</v>
      </c>
      <c r="V6" s="6">
        <v>-200000</v>
      </c>
      <c r="W6" s="6">
        <v>0</v>
      </c>
      <c r="X6" s="6">
        <v>-200000</v>
      </c>
      <c r="Y6" s="6">
        <v>0</v>
      </c>
      <c r="Z6" s="6">
        <v>-200000</v>
      </c>
      <c r="AA6" s="6">
        <v>0</v>
      </c>
      <c r="AB6" s="6">
        <v>-200000</v>
      </c>
      <c r="AC6" s="6">
        <v>0</v>
      </c>
      <c r="AD6" s="6">
        <v>-200000</v>
      </c>
      <c r="AE6" s="6">
        <v>0</v>
      </c>
      <c r="AF6" s="6">
        <v>-200000</v>
      </c>
      <c r="AG6" s="6">
        <v>-200000</v>
      </c>
      <c r="AH6" s="6">
        <v>0</v>
      </c>
      <c r="AI6" s="6">
        <v>-200000</v>
      </c>
      <c r="AJ6" s="6">
        <v>-200000</v>
      </c>
      <c r="AK6" s="6">
        <v>0</v>
      </c>
      <c r="AL6" s="6">
        <v>-200000</v>
      </c>
      <c r="AM6" s="6">
        <v>0</v>
      </c>
      <c r="AN6" s="6">
        <v>-200000</v>
      </c>
      <c r="AO6" s="6">
        <v>-200000</v>
      </c>
      <c r="AP6" s="6">
        <v>-200000</v>
      </c>
      <c r="AQ6" s="6">
        <v>0</v>
      </c>
      <c r="AR6" s="6">
        <v>-150000</v>
      </c>
      <c r="AS6" s="6">
        <v>0</v>
      </c>
      <c r="AT6" s="6">
        <v>-150000</v>
      </c>
      <c r="AU6" s="6">
        <v>-150000</v>
      </c>
      <c r="AV6" s="6">
        <v>-150000</v>
      </c>
      <c r="AW6" s="6">
        <v>-150000</v>
      </c>
      <c r="AX6" s="6">
        <v>-150000</v>
      </c>
      <c r="AY6" s="6">
        <v>-150000</v>
      </c>
      <c r="AZ6" s="6">
        <v>0</v>
      </c>
      <c r="BA6" s="6">
        <v>-150000</v>
      </c>
      <c r="BB6" s="6">
        <v>0</v>
      </c>
      <c r="BC6" s="6">
        <v>0</v>
      </c>
      <c r="BD6" s="6">
        <v>0</v>
      </c>
    </row>
    <row r="7" spans="1:56" x14ac:dyDescent="0.25">
      <c r="B7" s="39" t="s">
        <v>282</v>
      </c>
      <c r="C7" t="s">
        <v>280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15000</v>
      </c>
      <c r="N7" s="6">
        <v>15000</v>
      </c>
      <c r="O7" s="6">
        <v>15000</v>
      </c>
      <c r="P7" s="6">
        <v>0</v>
      </c>
      <c r="Q7" s="6">
        <v>15000</v>
      </c>
      <c r="R7" s="6">
        <v>0</v>
      </c>
      <c r="S7" s="6">
        <v>15000</v>
      </c>
      <c r="T7" s="6">
        <v>0</v>
      </c>
      <c r="U7" s="6">
        <v>15000</v>
      </c>
      <c r="V7" s="6">
        <v>15000</v>
      </c>
      <c r="W7" s="6">
        <v>0</v>
      </c>
      <c r="X7" s="6">
        <v>15000</v>
      </c>
      <c r="Y7" s="6">
        <v>0</v>
      </c>
      <c r="Z7" s="6">
        <v>15000</v>
      </c>
      <c r="AA7" s="6">
        <v>0</v>
      </c>
      <c r="AB7" s="6">
        <v>15000</v>
      </c>
      <c r="AC7" s="6">
        <v>0</v>
      </c>
      <c r="AD7" s="6">
        <v>15000</v>
      </c>
      <c r="AE7" s="6">
        <v>0</v>
      </c>
      <c r="AF7" s="6">
        <v>15000</v>
      </c>
      <c r="AG7" s="6">
        <v>15000</v>
      </c>
      <c r="AH7" s="6">
        <v>0</v>
      </c>
      <c r="AI7" s="6">
        <v>15000</v>
      </c>
      <c r="AJ7" s="6">
        <v>15000</v>
      </c>
      <c r="AK7" s="6">
        <v>0</v>
      </c>
      <c r="AL7" s="6">
        <v>15000</v>
      </c>
      <c r="AM7" s="6">
        <v>0</v>
      </c>
      <c r="AN7" s="6">
        <v>15000</v>
      </c>
      <c r="AO7" s="6">
        <v>15000</v>
      </c>
      <c r="AP7" s="6">
        <v>15000</v>
      </c>
      <c r="AQ7" s="6">
        <v>0</v>
      </c>
      <c r="AR7" s="6">
        <v>15000</v>
      </c>
      <c r="AS7" s="6">
        <v>0</v>
      </c>
      <c r="AT7" s="6">
        <v>15000</v>
      </c>
      <c r="AU7" s="6">
        <v>15000</v>
      </c>
      <c r="AV7" s="6">
        <v>15000</v>
      </c>
      <c r="AW7" s="6">
        <v>15000</v>
      </c>
      <c r="AX7" s="6">
        <v>15000</v>
      </c>
      <c r="AY7" s="6">
        <v>15000</v>
      </c>
      <c r="AZ7" s="6">
        <v>0</v>
      </c>
      <c r="BA7" s="6">
        <v>15000</v>
      </c>
      <c r="BB7" s="6">
        <v>0</v>
      </c>
      <c r="BC7" s="6">
        <v>0</v>
      </c>
      <c r="BD7" s="6">
        <v>0</v>
      </c>
    </row>
    <row r="8" spans="1:56" x14ac:dyDescent="0.25">
      <c r="B8" s="39" t="s">
        <v>283</v>
      </c>
      <c r="C8" t="s">
        <v>284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55000</v>
      </c>
      <c r="N8" s="6">
        <v>55000</v>
      </c>
      <c r="O8" s="6">
        <v>55000</v>
      </c>
      <c r="P8" s="6">
        <v>0</v>
      </c>
      <c r="Q8" s="6">
        <v>55000</v>
      </c>
      <c r="R8" s="6">
        <v>0</v>
      </c>
      <c r="S8" s="6">
        <v>55000</v>
      </c>
      <c r="T8" s="6">
        <v>0</v>
      </c>
      <c r="U8" s="6">
        <v>55000</v>
      </c>
      <c r="V8" s="6">
        <v>55000</v>
      </c>
      <c r="W8" s="6">
        <v>0</v>
      </c>
      <c r="X8" s="6">
        <v>55000</v>
      </c>
      <c r="Y8" s="6">
        <v>0</v>
      </c>
      <c r="Z8" s="6">
        <v>55000</v>
      </c>
      <c r="AA8" s="6">
        <v>0</v>
      </c>
      <c r="AB8" s="6">
        <v>55000</v>
      </c>
      <c r="AC8" s="6">
        <v>0</v>
      </c>
      <c r="AD8" s="6">
        <v>55000</v>
      </c>
      <c r="AE8" s="6">
        <v>0</v>
      </c>
      <c r="AF8" s="6">
        <v>55000</v>
      </c>
      <c r="AG8" s="6">
        <v>55000</v>
      </c>
      <c r="AH8" s="6">
        <v>0</v>
      </c>
      <c r="AI8" s="6">
        <v>55000</v>
      </c>
      <c r="AJ8" s="6">
        <v>55000</v>
      </c>
      <c r="AK8" s="6">
        <v>0</v>
      </c>
      <c r="AL8" s="6">
        <v>55000</v>
      </c>
      <c r="AM8" s="6">
        <v>0</v>
      </c>
      <c r="AN8" s="6">
        <v>55000</v>
      </c>
      <c r="AO8" s="6">
        <v>55000</v>
      </c>
      <c r="AP8" s="6">
        <v>55000</v>
      </c>
      <c r="AQ8" s="6">
        <v>0</v>
      </c>
      <c r="AR8" s="6">
        <v>40000</v>
      </c>
      <c r="AS8" s="6">
        <v>0</v>
      </c>
      <c r="AT8" s="6">
        <v>40000</v>
      </c>
      <c r="AU8" s="6">
        <v>40000</v>
      </c>
      <c r="AV8" s="6">
        <v>40000</v>
      </c>
      <c r="AW8" s="6">
        <v>40000</v>
      </c>
      <c r="AX8" s="6">
        <v>40000</v>
      </c>
      <c r="AY8" s="6">
        <v>55000</v>
      </c>
      <c r="AZ8" s="6">
        <v>0</v>
      </c>
      <c r="BA8" s="6">
        <v>55000</v>
      </c>
      <c r="BB8" s="6">
        <v>0</v>
      </c>
      <c r="BC8" s="6">
        <v>0</v>
      </c>
      <c r="BD8" s="6">
        <v>0</v>
      </c>
    </row>
    <row r="9" spans="1:56" x14ac:dyDescent="0.25">
      <c r="B9" s="39" t="s">
        <v>285</v>
      </c>
      <c r="C9" t="s">
        <v>284</v>
      </c>
      <c r="D9" s="6">
        <v>0</v>
      </c>
      <c r="E9" s="6">
        <v>500000</v>
      </c>
      <c r="F9" s="6">
        <v>500000</v>
      </c>
      <c r="G9" s="6">
        <v>500000</v>
      </c>
      <c r="H9" s="6">
        <v>500000</v>
      </c>
      <c r="I9" s="6">
        <v>0</v>
      </c>
      <c r="J9" s="6">
        <v>0</v>
      </c>
      <c r="K9" s="6">
        <v>0</v>
      </c>
      <c r="L9" s="6">
        <v>0</v>
      </c>
      <c r="M9" s="6">
        <v>50000</v>
      </c>
      <c r="N9" s="6">
        <v>50000</v>
      </c>
      <c r="O9" s="6">
        <v>50000</v>
      </c>
      <c r="P9" s="6">
        <v>0</v>
      </c>
      <c r="Q9" s="6">
        <v>50000</v>
      </c>
      <c r="R9" s="6">
        <v>0</v>
      </c>
      <c r="S9" s="6">
        <v>50000</v>
      </c>
      <c r="T9" s="6">
        <v>0</v>
      </c>
      <c r="U9" s="6">
        <v>50000</v>
      </c>
      <c r="V9" s="6">
        <v>50000</v>
      </c>
      <c r="W9" s="6">
        <v>0</v>
      </c>
      <c r="X9" s="6">
        <v>50000</v>
      </c>
      <c r="Y9" s="6">
        <v>0</v>
      </c>
      <c r="Z9" s="6">
        <v>50000</v>
      </c>
      <c r="AA9" s="6">
        <v>0</v>
      </c>
      <c r="AB9" s="6">
        <v>50000</v>
      </c>
      <c r="AC9" s="6">
        <v>0</v>
      </c>
      <c r="AD9" s="6">
        <v>50000</v>
      </c>
      <c r="AE9" s="6">
        <v>0</v>
      </c>
      <c r="AF9" s="6">
        <v>50000</v>
      </c>
      <c r="AG9" s="6">
        <v>50000</v>
      </c>
      <c r="AH9" s="6">
        <v>0</v>
      </c>
      <c r="AI9" s="6">
        <v>50000</v>
      </c>
      <c r="AJ9" s="6">
        <v>50000</v>
      </c>
      <c r="AK9" s="6">
        <v>0</v>
      </c>
      <c r="AL9" s="6">
        <v>50000</v>
      </c>
      <c r="AM9" s="6">
        <v>0</v>
      </c>
      <c r="AN9" s="6">
        <v>50000</v>
      </c>
      <c r="AO9" s="6">
        <v>50000</v>
      </c>
      <c r="AP9" s="6">
        <v>50000</v>
      </c>
      <c r="AQ9" s="6">
        <v>0</v>
      </c>
      <c r="AR9" s="6">
        <v>50000</v>
      </c>
      <c r="AS9" s="6">
        <v>0</v>
      </c>
      <c r="AT9" s="6">
        <v>50000</v>
      </c>
      <c r="AU9" s="6">
        <v>50000</v>
      </c>
      <c r="AV9" s="6">
        <v>50000</v>
      </c>
      <c r="AW9" s="6">
        <v>50000</v>
      </c>
      <c r="AX9" s="6">
        <v>50000</v>
      </c>
      <c r="AY9" s="6">
        <v>50000</v>
      </c>
      <c r="AZ9" s="6">
        <v>0</v>
      </c>
      <c r="BA9" s="6">
        <v>50000</v>
      </c>
      <c r="BB9" s="6">
        <v>0</v>
      </c>
      <c r="BC9" s="6">
        <v>0</v>
      </c>
      <c r="BD9" s="6">
        <v>0</v>
      </c>
    </row>
    <row r="10" spans="1:56" x14ac:dyDescent="0.25">
      <c r="B10" s="39" t="s">
        <v>286</v>
      </c>
      <c r="C10" t="s">
        <v>284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</row>
    <row r="11" spans="1:56" x14ac:dyDescent="0.25">
      <c r="B11" s="39" t="s">
        <v>287</v>
      </c>
      <c r="C11" t="s">
        <v>284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</row>
    <row r="12" spans="1:56" x14ac:dyDescent="0.25">
      <c r="B12" s="39" t="s">
        <v>288</v>
      </c>
      <c r="C12" t="s">
        <v>280</v>
      </c>
      <c r="D12" s="61">
        <f t="shared" ref="D12:H12" si="0">D$5*0.06</f>
        <v>0</v>
      </c>
      <c r="E12" s="61">
        <f t="shared" si="0"/>
        <v>0</v>
      </c>
      <c r="F12" s="61">
        <f t="shared" si="0"/>
        <v>0</v>
      </c>
      <c r="G12" s="61">
        <f t="shared" si="0"/>
        <v>0</v>
      </c>
      <c r="H12" s="61">
        <f t="shared" si="0"/>
        <v>0</v>
      </c>
      <c r="I12" s="61">
        <f>I$5*0.06</f>
        <v>0</v>
      </c>
      <c r="J12" s="61">
        <f t="shared" ref="J12:BD12" si="1">J$5*0.06</f>
        <v>0</v>
      </c>
      <c r="K12" s="61">
        <f>K$5*0.06</f>
        <v>0</v>
      </c>
      <c r="L12" s="61">
        <f t="shared" si="1"/>
        <v>0</v>
      </c>
      <c r="M12" s="61">
        <f t="shared" si="1"/>
        <v>66000</v>
      </c>
      <c r="N12" s="61">
        <f t="shared" si="1"/>
        <v>66000</v>
      </c>
      <c r="O12" s="61">
        <f t="shared" si="1"/>
        <v>66000</v>
      </c>
      <c r="P12" s="61">
        <f t="shared" si="1"/>
        <v>0</v>
      </c>
      <c r="Q12" s="61">
        <f t="shared" si="1"/>
        <v>66000</v>
      </c>
      <c r="R12" s="61">
        <f t="shared" si="1"/>
        <v>0</v>
      </c>
      <c r="S12" s="61">
        <f t="shared" si="1"/>
        <v>66000</v>
      </c>
      <c r="T12" s="61">
        <f t="shared" si="1"/>
        <v>0</v>
      </c>
      <c r="U12" s="61">
        <f t="shared" si="1"/>
        <v>66000</v>
      </c>
      <c r="V12" s="61">
        <f t="shared" si="1"/>
        <v>66000</v>
      </c>
      <c r="W12" s="61">
        <f t="shared" si="1"/>
        <v>0</v>
      </c>
      <c r="X12" s="61">
        <f t="shared" si="1"/>
        <v>66000</v>
      </c>
      <c r="Y12" s="61">
        <f t="shared" si="1"/>
        <v>0</v>
      </c>
      <c r="Z12" s="61">
        <f t="shared" si="1"/>
        <v>66000</v>
      </c>
      <c r="AA12" s="61">
        <f t="shared" si="1"/>
        <v>0</v>
      </c>
      <c r="AB12" s="61">
        <f t="shared" si="1"/>
        <v>66000</v>
      </c>
      <c r="AC12" s="61">
        <f t="shared" si="1"/>
        <v>0</v>
      </c>
      <c r="AD12" s="61">
        <f t="shared" si="1"/>
        <v>66000</v>
      </c>
      <c r="AE12" s="61">
        <f t="shared" si="1"/>
        <v>0</v>
      </c>
      <c r="AF12" s="61">
        <f t="shared" si="1"/>
        <v>66000</v>
      </c>
      <c r="AG12" s="61">
        <f t="shared" si="1"/>
        <v>66000</v>
      </c>
      <c r="AH12" s="61">
        <f t="shared" si="1"/>
        <v>0</v>
      </c>
      <c r="AI12" s="61">
        <f t="shared" si="1"/>
        <v>66000</v>
      </c>
      <c r="AJ12" s="61">
        <f t="shared" si="1"/>
        <v>66000</v>
      </c>
      <c r="AK12" s="61">
        <f t="shared" si="1"/>
        <v>0</v>
      </c>
      <c r="AL12" s="61">
        <f t="shared" si="1"/>
        <v>66000</v>
      </c>
      <c r="AM12" s="61">
        <f t="shared" si="1"/>
        <v>0</v>
      </c>
      <c r="AN12" s="61">
        <f t="shared" si="1"/>
        <v>66000</v>
      </c>
      <c r="AO12" s="61">
        <f t="shared" si="1"/>
        <v>66000</v>
      </c>
      <c r="AP12" s="61">
        <f t="shared" si="1"/>
        <v>66000</v>
      </c>
      <c r="AQ12" s="61">
        <f t="shared" si="1"/>
        <v>0</v>
      </c>
      <c r="AR12" s="61">
        <f t="shared" si="1"/>
        <v>36840</v>
      </c>
      <c r="AS12" s="61">
        <f>AS$5*0.06</f>
        <v>0</v>
      </c>
      <c r="AT12" s="61">
        <f t="shared" si="1"/>
        <v>36840</v>
      </c>
      <c r="AU12" s="61">
        <f t="shared" si="1"/>
        <v>36840</v>
      </c>
      <c r="AV12" s="61">
        <f t="shared" si="1"/>
        <v>36840</v>
      </c>
      <c r="AW12" s="61">
        <f t="shared" si="1"/>
        <v>36840</v>
      </c>
      <c r="AX12" s="61">
        <f t="shared" si="1"/>
        <v>36840</v>
      </c>
      <c r="AY12" s="61">
        <f t="shared" si="1"/>
        <v>36840</v>
      </c>
      <c r="AZ12" s="61">
        <f t="shared" si="1"/>
        <v>0</v>
      </c>
      <c r="BA12" s="61">
        <f t="shared" si="1"/>
        <v>36840</v>
      </c>
      <c r="BB12" s="61">
        <f t="shared" si="1"/>
        <v>0</v>
      </c>
      <c r="BC12" s="61">
        <f t="shared" si="1"/>
        <v>0</v>
      </c>
      <c r="BD12" s="61">
        <f t="shared" si="1"/>
        <v>0</v>
      </c>
    </row>
    <row r="13" spans="1:56" x14ac:dyDescent="0.25">
      <c r="B13" s="39" t="s">
        <v>289</v>
      </c>
      <c r="C13" t="s">
        <v>280</v>
      </c>
      <c r="D13" s="61">
        <f t="shared" ref="D13:H13" si="2">D$5*0.1</f>
        <v>0</v>
      </c>
      <c r="E13" s="61">
        <f t="shared" si="2"/>
        <v>0</v>
      </c>
      <c r="F13" s="61">
        <f t="shared" si="2"/>
        <v>0</v>
      </c>
      <c r="G13" s="61">
        <f t="shared" si="2"/>
        <v>0</v>
      </c>
      <c r="H13" s="61">
        <f t="shared" si="2"/>
        <v>0</v>
      </c>
      <c r="I13" s="61">
        <f>I$5*0.1</f>
        <v>0</v>
      </c>
      <c r="J13" s="61">
        <f t="shared" ref="J13:BD13" si="3">J$5*0.1</f>
        <v>0</v>
      </c>
      <c r="K13" s="61">
        <f>K$5*0.1</f>
        <v>0</v>
      </c>
      <c r="L13" s="61">
        <f t="shared" si="3"/>
        <v>0</v>
      </c>
      <c r="M13" s="61">
        <f t="shared" si="3"/>
        <v>110000</v>
      </c>
      <c r="N13" s="61">
        <f t="shared" si="3"/>
        <v>110000</v>
      </c>
      <c r="O13" s="61">
        <f t="shared" si="3"/>
        <v>110000</v>
      </c>
      <c r="P13" s="61">
        <f t="shared" si="3"/>
        <v>0</v>
      </c>
      <c r="Q13" s="61">
        <f t="shared" si="3"/>
        <v>110000</v>
      </c>
      <c r="R13" s="61">
        <f t="shared" si="3"/>
        <v>0</v>
      </c>
      <c r="S13" s="61">
        <f t="shared" si="3"/>
        <v>110000</v>
      </c>
      <c r="T13" s="61">
        <f t="shared" si="3"/>
        <v>0</v>
      </c>
      <c r="U13" s="61">
        <f t="shared" si="3"/>
        <v>110000</v>
      </c>
      <c r="V13" s="61">
        <f t="shared" si="3"/>
        <v>110000</v>
      </c>
      <c r="W13" s="61">
        <f t="shared" si="3"/>
        <v>0</v>
      </c>
      <c r="X13" s="61">
        <f t="shared" si="3"/>
        <v>110000</v>
      </c>
      <c r="Y13" s="61">
        <f t="shared" si="3"/>
        <v>0</v>
      </c>
      <c r="Z13" s="61">
        <f t="shared" si="3"/>
        <v>110000</v>
      </c>
      <c r="AA13" s="61">
        <f t="shared" si="3"/>
        <v>0</v>
      </c>
      <c r="AB13" s="61">
        <f t="shared" si="3"/>
        <v>110000</v>
      </c>
      <c r="AC13" s="61">
        <f t="shared" si="3"/>
        <v>0</v>
      </c>
      <c r="AD13" s="61">
        <f t="shared" si="3"/>
        <v>110000</v>
      </c>
      <c r="AE13" s="61">
        <f t="shared" si="3"/>
        <v>0</v>
      </c>
      <c r="AF13" s="61">
        <f t="shared" si="3"/>
        <v>110000</v>
      </c>
      <c r="AG13" s="61">
        <f t="shared" si="3"/>
        <v>110000</v>
      </c>
      <c r="AH13" s="61">
        <f t="shared" si="3"/>
        <v>0</v>
      </c>
      <c r="AI13" s="61">
        <f t="shared" si="3"/>
        <v>110000</v>
      </c>
      <c r="AJ13" s="61">
        <f t="shared" si="3"/>
        <v>110000</v>
      </c>
      <c r="AK13" s="61">
        <f t="shared" si="3"/>
        <v>0</v>
      </c>
      <c r="AL13" s="61">
        <f t="shared" si="3"/>
        <v>110000</v>
      </c>
      <c r="AM13" s="61">
        <f t="shared" si="3"/>
        <v>0</v>
      </c>
      <c r="AN13" s="61">
        <f t="shared" si="3"/>
        <v>110000</v>
      </c>
      <c r="AO13" s="61">
        <f t="shared" si="3"/>
        <v>110000</v>
      </c>
      <c r="AP13" s="61">
        <f t="shared" si="3"/>
        <v>110000</v>
      </c>
      <c r="AQ13" s="61">
        <f t="shared" si="3"/>
        <v>0</v>
      </c>
      <c r="AR13" s="61">
        <f t="shared" si="3"/>
        <v>61400</v>
      </c>
      <c r="AS13" s="61">
        <f>AS$5*0.1</f>
        <v>0</v>
      </c>
      <c r="AT13" s="61">
        <f t="shared" si="3"/>
        <v>61400</v>
      </c>
      <c r="AU13" s="61">
        <f t="shared" si="3"/>
        <v>61400</v>
      </c>
      <c r="AV13" s="61">
        <f t="shared" si="3"/>
        <v>61400</v>
      </c>
      <c r="AW13" s="61">
        <f t="shared" si="3"/>
        <v>61400</v>
      </c>
      <c r="AX13" s="61">
        <f t="shared" si="3"/>
        <v>61400</v>
      </c>
      <c r="AY13" s="61">
        <f t="shared" si="3"/>
        <v>61400</v>
      </c>
      <c r="AZ13" s="61">
        <f t="shared" si="3"/>
        <v>0</v>
      </c>
      <c r="BA13" s="61">
        <f t="shared" si="3"/>
        <v>61400</v>
      </c>
      <c r="BB13" s="61">
        <f t="shared" si="3"/>
        <v>0</v>
      </c>
      <c r="BC13" s="61">
        <f t="shared" si="3"/>
        <v>0</v>
      </c>
      <c r="BD13" s="61">
        <f t="shared" si="3"/>
        <v>0</v>
      </c>
    </row>
    <row r="14" spans="1:56" x14ac:dyDescent="0.25">
      <c r="B14" s="39"/>
      <c r="D14" s="13">
        <f t="shared" ref="D14:Q14" si="4">SUM(D5:D13)</f>
        <v>0</v>
      </c>
      <c r="E14" s="13">
        <f t="shared" si="4"/>
        <v>500000</v>
      </c>
      <c r="F14" s="13">
        <f t="shared" ref="F14:H14" si="5">SUM(F5:F13)</f>
        <v>500000</v>
      </c>
      <c r="G14" s="13">
        <f t="shared" si="5"/>
        <v>500000</v>
      </c>
      <c r="H14" s="13">
        <f t="shared" si="5"/>
        <v>500000</v>
      </c>
      <c r="I14" s="13">
        <f t="shared" si="4"/>
        <v>0</v>
      </c>
      <c r="J14" s="13">
        <f t="shared" si="4"/>
        <v>0</v>
      </c>
      <c r="K14" s="13">
        <f t="shared" ref="K14" si="6">SUM(K5:K13)</f>
        <v>0</v>
      </c>
      <c r="L14" s="13">
        <f t="shared" ref="L14" si="7">SUM(L5:L13)</f>
        <v>0</v>
      </c>
      <c r="M14" s="13">
        <f t="shared" si="4"/>
        <v>1196000</v>
      </c>
      <c r="N14" s="13">
        <f t="shared" si="4"/>
        <v>1196000</v>
      </c>
      <c r="O14" s="13">
        <f t="shared" si="4"/>
        <v>1196000</v>
      </c>
      <c r="P14" s="13">
        <f t="shared" si="4"/>
        <v>0</v>
      </c>
      <c r="Q14" s="13">
        <f t="shared" si="4"/>
        <v>1196000</v>
      </c>
      <c r="R14" s="13">
        <f t="shared" ref="R14:BD14" si="8">SUM(R5:R13)</f>
        <v>0</v>
      </c>
      <c r="S14" s="13">
        <f t="shared" si="8"/>
        <v>1196000</v>
      </c>
      <c r="T14" s="13">
        <f t="shared" si="8"/>
        <v>0</v>
      </c>
      <c r="U14" s="13">
        <f t="shared" si="8"/>
        <v>1196000</v>
      </c>
      <c r="V14" s="13">
        <f t="shared" si="8"/>
        <v>1196000</v>
      </c>
      <c r="W14" s="13">
        <f t="shared" si="8"/>
        <v>0</v>
      </c>
      <c r="X14" s="13">
        <f t="shared" si="8"/>
        <v>1196000</v>
      </c>
      <c r="Y14" s="13">
        <f t="shared" si="8"/>
        <v>0</v>
      </c>
      <c r="Z14" s="13">
        <f t="shared" si="8"/>
        <v>1196000</v>
      </c>
      <c r="AA14" s="13">
        <f t="shared" si="8"/>
        <v>0</v>
      </c>
      <c r="AB14" s="13">
        <f t="shared" si="8"/>
        <v>1196000</v>
      </c>
      <c r="AC14" s="13">
        <f t="shared" si="8"/>
        <v>0</v>
      </c>
      <c r="AD14" s="13">
        <f t="shared" si="8"/>
        <v>1196000</v>
      </c>
      <c r="AE14" s="13">
        <f t="shared" si="8"/>
        <v>0</v>
      </c>
      <c r="AF14" s="13">
        <f t="shared" si="8"/>
        <v>1196000</v>
      </c>
      <c r="AG14" s="13">
        <f t="shared" si="8"/>
        <v>1196000</v>
      </c>
      <c r="AH14" s="13">
        <f t="shared" si="8"/>
        <v>0</v>
      </c>
      <c r="AI14" s="13">
        <f t="shared" si="8"/>
        <v>1196000</v>
      </c>
      <c r="AJ14" s="13">
        <f t="shared" si="8"/>
        <v>1196000</v>
      </c>
      <c r="AK14" s="13">
        <f t="shared" si="8"/>
        <v>0</v>
      </c>
      <c r="AL14" s="13">
        <f t="shared" si="8"/>
        <v>1196000</v>
      </c>
      <c r="AM14" s="13">
        <f t="shared" si="8"/>
        <v>0</v>
      </c>
      <c r="AN14" s="13">
        <f t="shared" si="8"/>
        <v>1196000</v>
      </c>
      <c r="AO14" s="13">
        <f t="shared" si="8"/>
        <v>1196000</v>
      </c>
      <c r="AP14" s="13">
        <f t="shared" si="8"/>
        <v>1196000</v>
      </c>
      <c r="AQ14" s="13">
        <f t="shared" si="8"/>
        <v>0</v>
      </c>
      <c r="AR14" s="13">
        <f t="shared" si="8"/>
        <v>667240</v>
      </c>
      <c r="AS14" s="13">
        <f>SUM(AS5:AS13)</f>
        <v>0</v>
      </c>
      <c r="AT14" s="13">
        <f t="shared" si="8"/>
        <v>667240</v>
      </c>
      <c r="AU14" s="13">
        <f t="shared" si="8"/>
        <v>667240</v>
      </c>
      <c r="AV14" s="13">
        <f t="shared" ref="AV14" si="9">SUM(AV5:AV13)</f>
        <v>667240</v>
      </c>
      <c r="AW14" s="13">
        <f t="shared" ref="AW14" si="10">SUM(AW5:AW13)</f>
        <v>667240</v>
      </c>
      <c r="AX14" s="13">
        <f t="shared" ref="AX14" si="11">SUM(AX5:AX13)</f>
        <v>667240</v>
      </c>
      <c r="AY14" s="13">
        <f t="shared" si="8"/>
        <v>682240</v>
      </c>
      <c r="AZ14" s="13">
        <f t="shared" si="8"/>
        <v>0</v>
      </c>
      <c r="BA14" s="13">
        <f t="shared" ref="BA14:BC14" si="12">SUM(BA5:BA13)</f>
        <v>682240</v>
      </c>
      <c r="BB14" s="13">
        <f t="shared" si="12"/>
        <v>0</v>
      </c>
      <c r="BC14" s="13">
        <f t="shared" si="12"/>
        <v>0</v>
      </c>
      <c r="BD14" s="13">
        <f t="shared" si="8"/>
        <v>0</v>
      </c>
    </row>
    <row r="15" spans="1:56" x14ac:dyDescent="0.25">
      <c r="B15" s="1" t="s">
        <v>290</v>
      </c>
      <c r="I15" s="62"/>
      <c r="K15" s="62"/>
      <c r="AR15" s="62"/>
      <c r="AT15" s="62"/>
      <c r="AU15" s="62"/>
    </row>
    <row r="16" spans="1:56" x14ac:dyDescent="0.25">
      <c r="B16" s="39" t="s">
        <v>291</v>
      </c>
      <c r="C16" t="s">
        <v>280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70000</v>
      </c>
      <c r="N16" s="6">
        <v>70000</v>
      </c>
      <c r="O16" s="6">
        <v>70000</v>
      </c>
      <c r="P16" s="6">
        <v>0</v>
      </c>
      <c r="Q16" s="6">
        <v>35000</v>
      </c>
      <c r="R16" s="6">
        <v>0</v>
      </c>
      <c r="S16" s="6">
        <v>35000</v>
      </c>
      <c r="T16" s="6">
        <v>0</v>
      </c>
      <c r="U16" s="6">
        <v>35000</v>
      </c>
      <c r="V16" s="6">
        <v>35000</v>
      </c>
      <c r="W16" s="6">
        <v>0</v>
      </c>
      <c r="X16" s="6">
        <v>35000</v>
      </c>
      <c r="Y16" s="6">
        <v>0</v>
      </c>
      <c r="Z16" s="6">
        <v>35000</v>
      </c>
      <c r="AA16" s="6">
        <v>0</v>
      </c>
      <c r="AB16" s="6">
        <v>35000</v>
      </c>
      <c r="AC16" s="6">
        <v>0</v>
      </c>
      <c r="AD16" s="6">
        <v>35000</v>
      </c>
      <c r="AE16" s="6">
        <v>0</v>
      </c>
      <c r="AF16" s="6">
        <v>35000</v>
      </c>
      <c r="AG16" s="6">
        <v>35000</v>
      </c>
      <c r="AH16" s="6">
        <v>0</v>
      </c>
      <c r="AI16" s="6">
        <v>35000</v>
      </c>
      <c r="AJ16" s="6">
        <v>35000</v>
      </c>
      <c r="AK16" s="6">
        <v>0</v>
      </c>
      <c r="AL16" s="6">
        <v>35000</v>
      </c>
      <c r="AM16" s="6">
        <v>0</v>
      </c>
      <c r="AN16" s="6">
        <v>35000</v>
      </c>
      <c r="AO16" s="6">
        <v>35000</v>
      </c>
      <c r="AP16" s="6">
        <v>35000</v>
      </c>
      <c r="AQ16" s="6">
        <v>0</v>
      </c>
      <c r="AR16" s="6">
        <v>35000</v>
      </c>
      <c r="AS16" s="6">
        <v>0</v>
      </c>
      <c r="AT16" s="6">
        <v>35000</v>
      </c>
      <c r="AU16" s="6">
        <v>35000</v>
      </c>
      <c r="AV16" s="6">
        <v>35000</v>
      </c>
      <c r="AW16" s="6">
        <v>35000</v>
      </c>
      <c r="AX16" s="6">
        <v>35000</v>
      </c>
      <c r="AY16" s="6">
        <v>70000</v>
      </c>
      <c r="AZ16" s="6">
        <v>0</v>
      </c>
      <c r="BA16" s="6">
        <v>70000</v>
      </c>
      <c r="BB16" s="6">
        <v>0</v>
      </c>
      <c r="BC16" s="6">
        <v>0</v>
      </c>
      <c r="BD16" s="6">
        <v>0</v>
      </c>
    </row>
    <row r="17" spans="2:56" x14ac:dyDescent="0.25">
      <c r="B17" s="39" t="s">
        <v>292</v>
      </c>
      <c r="C17" t="s">
        <v>280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50000</v>
      </c>
      <c r="N17" s="6">
        <v>50000</v>
      </c>
      <c r="O17" s="6">
        <v>50000</v>
      </c>
      <c r="P17" s="6">
        <v>0</v>
      </c>
      <c r="Q17" s="6">
        <v>50000</v>
      </c>
      <c r="R17" s="6">
        <v>0</v>
      </c>
      <c r="S17" s="6">
        <v>50000</v>
      </c>
      <c r="T17" s="6">
        <v>0</v>
      </c>
      <c r="U17" s="6">
        <v>50000</v>
      </c>
      <c r="V17" s="6">
        <v>50000</v>
      </c>
      <c r="W17" s="6">
        <v>0</v>
      </c>
      <c r="X17" s="6">
        <v>50000</v>
      </c>
      <c r="Y17" s="6">
        <v>0</v>
      </c>
      <c r="Z17" s="6">
        <v>50000</v>
      </c>
      <c r="AA17" s="6">
        <v>0</v>
      </c>
      <c r="AB17" s="6">
        <v>50000</v>
      </c>
      <c r="AC17" s="6">
        <v>0</v>
      </c>
      <c r="AD17" s="6">
        <v>50000</v>
      </c>
      <c r="AE17" s="6">
        <v>0</v>
      </c>
      <c r="AF17" s="6">
        <v>50000</v>
      </c>
      <c r="AG17" s="6">
        <v>50000</v>
      </c>
      <c r="AH17" s="6">
        <v>0</v>
      </c>
      <c r="AI17" s="6">
        <v>50000</v>
      </c>
      <c r="AJ17" s="6">
        <v>50000</v>
      </c>
      <c r="AK17" s="6">
        <v>0</v>
      </c>
      <c r="AL17" s="6">
        <v>50000</v>
      </c>
      <c r="AM17" s="6">
        <v>0</v>
      </c>
      <c r="AN17" s="6">
        <v>50000</v>
      </c>
      <c r="AO17" s="6">
        <v>50000</v>
      </c>
      <c r="AP17" s="6">
        <v>50000</v>
      </c>
      <c r="AQ17" s="6">
        <v>0</v>
      </c>
      <c r="AR17" s="6">
        <v>20000</v>
      </c>
      <c r="AS17" s="6">
        <v>0</v>
      </c>
      <c r="AT17" s="6">
        <v>20000</v>
      </c>
      <c r="AU17" s="6">
        <v>20000</v>
      </c>
      <c r="AV17" s="6">
        <v>20000</v>
      </c>
      <c r="AW17" s="6">
        <v>20000</v>
      </c>
      <c r="AX17" s="6">
        <v>20000</v>
      </c>
      <c r="AY17" s="6">
        <v>50000</v>
      </c>
      <c r="AZ17" s="6">
        <v>0</v>
      </c>
      <c r="BA17" s="6">
        <v>50000</v>
      </c>
      <c r="BB17" s="6">
        <v>0</v>
      </c>
      <c r="BC17" s="6">
        <v>0</v>
      </c>
      <c r="BD17" s="6">
        <v>0</v>
      </c>
    </row>
    <row r="18" spans="2:56" x14ac:dyDescent="0.25">
      <c r="B18" s="39" t="s">
        <v>293</v>
      </c>
      <c r="C18" t="s">
        <v>280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75000</v>
      </c>
      <c r="N18" s="6">
        <v>75000</v>
      </c>
      <c r="O18" s="6">
        <v>75000</v>
      </c>
      <c r="P18" s="6">
        <v>0</v>
      </c>
      <c r="Q18" s="6">
        <v>80000</v>
      </c>
      <c r="R18" s="6">
        <v>0</v>
      </c>
      <c r="S18" s="6">
        <v>80000</v>
      </c>
      <c r="T18" s="6">
        <v>0</v>
      </c>
      <c r="U18" s="6">
        <v>80000</v>
      </c>
      <c r="V18" s="6">
        <v>80000</v>
      </c>
      <c r="W18" s="6">
        <v>0</v>
      </c>
      <c r="X18" s="6">
        <v>80000</v>
      </c>
      <c r="Y18" s="6">
        <v>0</v>
      </c>
      <c r="Z18" s="6">
        <v>80000</v>
      </c>
      <c r="AA18" s="6">
        <v>0</v>
      </c>
      <c r="AB18" s="6">
        <v>80000</v>
      </c>
      <c r="AC18" s="6">
        <v>0</v>
      </c>
      <c r="AD18" s="6">
        <v>80000</v>
      </c>
      <c r="AE18" s="6">
        <v>0</v>
      </c>
      <c r="AF18" s="6">
        <v>80000</v>
      </c>
      <c r="AG18" s="6">
        <v>80000</v>
      </c>
      <c r="AH18" s="6">
        <v>0</v>
      </c>
      <c r="AI18" s="6">
        <v>80000</v>
      </c>
      <c r="AJ18" s="6">
        <v>80000</v>
      </c>
      <c r="AK18" s="6">
        <v>0</v>
      </c>
      <c r="AL18" s="6">
        <v>80000</v>
      </c>
      <c r="AM18" s="6">
        <v>0</v>
      </c>
      <c r="AN18" s="6">
        <v>80000</v>
      </c>
      <c r="AO18" s="6">
        <v>80000</v>
      </c>
      <c r="AP18" s="6">
        <v>80000</v>
      </c>
      <c r="AQ18" s="6">
        <v>0</v>
      </c>
      <c r="AR18" s="6">
        <v>49600</v>
      </c>
      <c r="AS18" s="6">
        <v>0</v>
      </c>
      <c r="AT18" s="6">
        <v>49600</v>
      </c>
      <c r="AU18" s="6">
        <v>49600</v>
      </c>
      <c r="AV18" s="6">
        <v>49600</v>
      </c>
      <c r="AW18" s="6">
        <v>49600</v>
      </c>
      <c r="AX18" s="6">
        <v>49600</v>
      </c>
      <c r="AY18" s="6">
        <v>75000</v>
      </c>
      <c r="AZ18" s="6">
        <v>0</v>
      </c>
      <c r="BA18" s="6">
        <v>75000</v>
      </c>
      <c r="BB18" s="6">
        <v>0</v>
      </c>
      <c r="BC18" s="6">
        <v>0</v>
      </c>
      <c r="BD18" s="6">
        <v>0</v>
      </c>
    </row>
    <row r="19" spans="2:56" x14ac:dyDescent="0.25">
      <c r="B19" s="39" t="s">
        <v>294</v>
      </c>
      <c r="C19" t="s">
        <v>280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30000</v>
      </c>
      <c r="N19" s="6">
        <v>30000</v>
      </c>
      <c r="O19" s="6">
        <v>30000</v>
      </c>
      <c r="P19" s="6">
        <v>0</v>
      </c>
      <c r="Q19" s="6">
        <v>50000</v>
      </c>
      <c r="R19" s="6">
        <v>0</v>
      </c>
      <c r="S19" s="6">
        <v>50000</v>
      </c>
      <c r="T19" s="6">
        <v>0</v>
      </c>
      <c r="U19" s="6">
        <v>50000</v>
      </c>
      <c r="V19" s="6">
        <v>50000</v>
      </c>
      <c r="W19" s="6">
        <v>0</v>
      </c>
      <c r="X19" s="6">
        <v>50000</v>
      </c>
      <c r="Y19" s="6">
        <v>0</v>
      </c>
      <c r="Z19" s="6">
        <v>50000</v>
      </c>
      <c r="AA19" s="6">
        <v>0</v>
      </c>
      <c r="AB19" s="6">
        <v>50000</v>
      </c>
      <c r="AC19" s="6">
        <v>0</v>
      </c>
      <c r="AD19" s="6">
        <v>50000</v>
      </c>
      <c r="AE19" s="6">
        <v>0</v>
      </c>
      <c r="AF19" s="6">
        <v>50000</v>
      </c>
      <c r="AG19" s="6">
        <v>50000</v>
      </c>
      <c r="AH19" s="6">
        <v>0</v>
      </c>
      <c r="AI19" s="6">
        <v>50000</v>
      </c>
      <c r="AJ19" s="6">
        <v>50000</v>
      </c>
      <c r="AK19" s="6">
        <v>0</v>
      </c>
      <c r="AL19" s="6">
        <v>50000</v>
      </c>
      <c r="AM19" s="6">
        <v>0</v>
      </c>
      <c r="AN19" s="6">
        <v>50000</v>
      </c>
      <c r="AO19" s="6">
        <v>50000</v>
      </c>
      <c r="AP19" s="6">
        <v>50000</v>
      </c>
      <c r="AQ19" s="6">
        <v>0</v>
      </c>
      <c r="AR19" s="6">
        <v>15000</v>
      </c>
      <c r="AS19" s="6">
        <v>0</v>
      </c>
      <c r="AT19" s="6">
        <v>15000</v>
      </c>
      <c r="AU19" s="6">
        <v>15000</v>
      </c>
      <c r="AV19" s="6">
        <v>15000</v>
      </c>
      <c r="AW19" s="6">
        <v>15000</v>
      </c>
      <c r="AX19" s="6">
        <v>15000</v>
      </c>
      <c r="AY19" s="6">
        <v>30000</v>
      </c>
      <c r="AZ19" s="6">
        <v>0</v>
      </c>
      <c r="BA19" s="6">
        <v>30000</v>
      </c>
      <c r="BB19" s="6">
        <v>0</v>
      </c>
      <c r="BC19" s="6">
        <v>0</v>
      </c>
      <c r="BD19" s="6">
        <v>0</v>
      </c>
    </row>
    <row r="20" spans="2:56" x14ac:dyDescent="0.25">
      <c r="B20" s="39" t="s">
        <v>295</v>
      </c>
      <c r="C20" t="s">
        <v>296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4000</v>
      </c>
      <c r="N20" s="6">
        <v>4000</v>
      </c>
      <c r="O20" s="6">
        <v>4000</v>
      </c>
      <c r="P20" s="6">
        <v>0</v>
      </c>
      <c r="Q20" s="6">
        <v>4000</v>
      </c>
      <c r="R20" s="6">
        <v>0</v>
      </c>
      <c r="S20" s="6">
        <v>4000</v>
      </c>
      <c r="T20" s="6">
        <v>0</v>
      </c>
      <c r="U20" s="6">
        <v>4000</v>
      </c>
      <c r="V20" s="6">
        <v>4000</v>
      </c>
      <c r="W20" s="6">
        <v>0</v>
      </c>
      <c r="X20" s="6">
        <v>4000</v>
      </c>
      <c r="Y20" s="6">
        <v>0</v>
      </c>
      <c r="Z20" s="6">
        <v>4000</v>
      </c>
      <c r="AA20" s="6">
        <v>0</v>
      </c>
      <c r="AB20" s="6">
        <v>4000</v>
      </c>
      <c r="AC20" s="6">
        <v>0</v>
      </c>
      <c r="AD20" s="6">
        <v>4000</v>
      </c>
      <c r="AE20" s="6">
        <v>0</v>
      </c>
      <c r="AF20" s="6">
        <v>4000</v>
      </c>
      <c r="AG20" s="6">
        <v>4000</v>
      </c>
      <c r="AH20" s="6">
        <v>0</v>
      </c>
      <c r="AI20" s="6">
        <v>4000</v>
      </c>
      <c r="AJ20" s="6">
        <v>4000</v>
      </c>
      <c r="AK20" s="6">
        <v>0</v>
      </c>
      <c r="AL20" s="6">
        <v>4000</v>
      </c>
      <c r="AM20" s="6">
        <v>0</v>
      </c>
      <c r="AN20" s="6">
        <v>4000</v>
      </c>
      <c r="AO20" s="6">
        <v>4000</v>
      </c>
      <c r="AP20" s="6">
        <v>4000</v>
      </c>
      <c r="AQ20" s="6">
        <v>0</v>
      </c>
      <c r="AR20" s="6">
        <v>4000</v>
      </c>
      <c r="AS20" s="6">
        <v>0</v>
      </c>
      <c r="AT20" s="6">
        <v>4000</v>
      </c>
      <c r="AU20" s="6">
        <v>4000</v>
      </c>
      <c r="AV20" s="6">
        <v>4000</v>
      </c>
      <c r="AW20" s="6">
        <v>4000</v>
      </c>
      <c r="AX20" s="6">
        <v>4000</v>
      </c>
      <c r="AY20" s="6">
        <v>3000</v>
      </c>
      <c r="AZ20" s="6">
        <v>0</v>
      </c>
      <c r="BA20" s="6">
        <v>3000</v>
      </c>
      <c r="BB20" s="6">
        <v>0</v>
      </c>
      <c r="BC20" s="6">
        <v>0</v>
      </c>
      <c r="BD20" s="6">
        <v>0</v>
      </c>
    </row>
    <row r="21" spans="2:56" x14ac:dyDescent="0.25">
      <c r="B21" s="39" t="s">
        <v>297</v>
      </c>
      <c r="C21" t="s">
        <v>296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35000</v>
      </c>
      <c r="N21" s="6">
        <v>35000</v>
      </c>
      <c r="O21" s="6">
        <v>35000</v>
      </c>
      <c r="P21" s="6">
        <v>0</v>
      </c>
      <c r="Q21" s="6">
        <v>35000</v>
      </c>
      <c r="R21" s="6">
        <v>0</v>
      </c>
      <c r="S21" s="6">
        <v>35000</v>
      </c>
      <c r="T21" s="6">
        <v>0</v>
      </c>
      <c r="U21" s="6">
        <v>35000</v>
      </c>
      <c r="V21" s="6">
        <v>35000</v>
      </c>
      <c r="W21" s="6">
        <v>0</v>
      </c>
      <c r="X21" s="6">
        <v>35000</v>
      </c>
      <c r="Y21" s="6">
        <v>0</v>
      </c>
      <c r="Z21" s="6">
        <v>35000</v>
      </c>
      <c r="AA21" s="6">
        <v>0</v>
      </c>
      <c r="AB21" s="6">
        <v>35000</v>
      </c>
      <c r="AC21" s="6">
        <v>0</v>
      </c>
      <c r="AD21" s="6">
        <v>35000</v>
      </c>
      <c r="AE21" s="6">
        <v>0</v>
      </c>
      <c r="AF21" s="6">
        <v>35000</v>
      </c>
      <c r="AG21" s="6">
        <v>35000</v>
      </c>
      <c r="AH21" s="6">
        <v>0</v>
      </c>
      <c r="AI21" s="6">
        <v>35000</v>
      </c>
      <c r="AJ21" s="6">
        <v>35000</v>
      </c>
      <c r="AK21" s="6">
        <v>0</v>
      </c>
      <c r="AL21" s="6">
        <v>35000</v>
      </c>
      <c r="AM21" s="6">
        <v>0</v>
      </c>
      <c r="AN21" s="6">
        <v>35000</v>
      </c>
      <c r="AO21" s="6">
        <v>35000</v>
      </c>
      <c r="AP21" s="6">
        <v>35000</v>
      </c>
      <c r="AQ21" s="6">
        <v>0</v>
      </c>
      <c r="AR21" s="6">
        <v>35000</v>
      </c>
      <c r="AS21" s="6">
        <v>0</v>
      </c>
      <c r="AT21" s="6">
        <v>35000</v>
      </c>
      <c r="AU21" s="6">
        <v>35000</v>
      </c>
      <c r="AV21" s="6">
        <v>35000</v>
      </c>
      <c r="AW21" s="6">
        <v>35000</v>
      </c>
      <c r="AX21" s="6">
        <v>35000</v>
      </c>
      <c r="AY21" s="6">
        <v>35000</v>
      </c>
      <c r="AZ21" s="6">
        <v>0</v>
      </c>
      <c r="BA21" s="6">
        <v>35000</v>
      </c>
      <c r="BB21" s="6">
        <v>0</v>
      </c>
      <c r="BC21" s="6">
        <v>0</v>
      </c>
      <c r="BD21" s="6">
        <v>0</v>
      </c>
    </row>
    <row r="22" spans="2:56" x14ac:dyDescent="0.25">
      <c r="B22" s="39" t="s">
        <v>444</v>
      </c>
      <c r="C22" t="s">
        <v>296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30000</v>
      </c>
      <c r="N22" s="6">
        <v>30000</v>
      </c>
      <c r="O22" s="6">
        <v>30000</v>
      </c>
      <c r="P22" s="6">
        <v>0</v>
      </c>
      <c r="Q22" s="6">
        <v>30000</v>
      </c>
      <c r="R22" s="6">
        <v>0</v>
      </c>
      <c r="S22" s="6">
        <v>30000</v>
      </c>
      <c r="T22" s="6">
        <v>0</v>
      </c>
      <c r="U22" s="6">
        <v>30000</v>
      </c>
      <c r="V22" s="6">
        <v>30000</v>
      </c>
      <c r="W22" s="6">
        <v>0</v>
      </c>
      <c r="X22" s="6">
        <v>30000</v>
      </c>
      <c r="Y22" s="6">
        <v>0</v>
      </c>
      <c r="Z22" s="6">
        <v>30000</v>
      </c>
      <c r="AA22" s="6">
        <v>0</v>
      </c>
      <c r="AB22" s="6">
        <v>30000</v>
      </c>
      <c r="AC22" s="6">
        <v>0</v>
      </c>
      <c r="AD22" s="6">
        <v>30000</v>
      </c>
      <c r="AE22" s="6">
        <v>0</v>
      </c>
      <c r="AF22" s="6">
        <v>30000</v>
      </c>
      <c r="AG22" s="6">
        <v>30000</v>
      </c>
      <c r="AH22" s="6">
        <v>0</v>
      </c>
      <c r="AI22" s="6">
        <v>30000</v>
      </c>
      <c r="AJ22" s="6">
        <v>30000</v>
      </c>
      <c r="AK22" s="6">
        <v>0</v>
      </c>
      <c r="AL22" s="6">
        <v>30000</v>
      </c>
      <c r="AM22" s="6">
        <v>0</v>
      </c>
      <c r="AN22" s="6">
        <v>30000</v>
      </c>
      <c r="AO22" s="6">
        <v>30000</v>
      </c>
      <c r="AP22" s="6">
        <v>30000</v>
      </c>
      <c r="AQ22" s="6">
        <v>0</v>
      </c>
      <c r="AR22" s="6">
        <v>30000</v>
      </c>
      <c r="AS22" s="6">
        <v>0</v>
      </c>
      <c r="AT22" s="6">
        <v>30000</v>
      </c>
      <c r="AU22" s="6">
        <v>30000</v>
      </c>
      <c r="AV22" s="6">
        <v>30000</v>
      </c>
      <c r="AW22" s="6">
        <v>30000</v>
      </c>
      <c r="AX22" s="6">
        <v>30000</v>
      </c>
      <c r="AY22" s="6">
        <v>30000</v>
      </c>
      <c r="AZ22" s="6">
        <v>0</v>
      </c>
      <c r="BA22" s="6">
        <v>30000</v>
      </c>
      <c r="BB22" s="6">
        <v>0</v>
      </c>
      <c r="BC22" s="6">
        <v>0</v>
      </c>
      <c r="BD22" s="6">
        <v>0</v>
      </c>
    </row>
    <row r="23" spans="2:56" x14ac:dyDescent="0.25">
      <c r="B23" s="39" t="s">
        <v>298</v>
      </c>
      <c r="C23" t="s">
        <v>299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15000</v>
      </c>
      <c r="N23" s="6">
        <v>15000</v>
      </c>
      <c r="O23" s="6">
        <v>15000</v>
      </c>
      <c r="P23" s="6">
        <v>0</v>
      </c>
      <c r="Q23" s="6">
        <v>15000</v>
      </c>
      <c r="R23" s="6">
        <v>0</v>
      </c>
      <c r="S23" s="6">
        <v>15000</v>
      </c>
      <c r="T23" s="6">
        <v>0</v>
      </c>
      <c r="U23" s="6">
        <v>15000</v>
      </c>
      <c r="V23" s="6">
        <v>15000</v>
      </c>
      <c r="W23" s="6">
        <v>0</v>
      </c>
      <c r="X23" s="6">
        <v>15000</v>
      </c>
      <c r="Y23" s="6">
        <v>0</v>
      </c>
      <c r="Z23" s="6">
        <v>15000</v>
      </c>
      <c r="AA23" s="6">
        <v>0</v>
      </c>
      <c r="AB23" s="6">
        <v>15000</v>
      </c>
      <c r="AC23" s="6">
        <v>0</v>
      </c>
      <c r="AD23" s="6">
        <v>15000</v>
      </c>
      <c r="AE23" s="6">
        <v>0</v>
      </c>
      <c r="AF23" s="6">
        <v>15000</v>
      </c>
      <c r="AG23" s="6">
        <v>15000</v>
      </c>
      <c r="AH23" s="6">
        <v>0</v>
      </c>
      <c r="AI23" s="6">
        <v>15000</v>
      </c>
      <c r="AJ23" s="6">
        <v>15000</v>
      </c>
      <c r="AK23" s="6">
        <v>0</v>
      </c>
      <c r="AL23" s="6">
        <v>15000</v>
      </c>
      <c r="AM23" s="6">
        <v>0</v>
      </c>
      <c r="AN23" s="6">
        <v>15000</v>
      </c>
      <c r="AO23" s="6">
        <v>15000</v>
      </c>
      <c r="AP23" s="6">
        <v>15000</v>
      </c>
      <c r="AQ23" s="6">
        <v>0</v>
      </c>
      <c r="AR23" s="6">
        <v>15000</v>
      </c>
      <c r="AS23" s="6">
        <v>0</v>
      </c>
      <c r="AT23" s="6">
        <v>15000</v>
      </c>
      <c r="AU23" s="6">
        <v>15000</v>
      </c>
      <c r="AV23" s="6">
        <v>15000</v>
      </c>
      <c r="AW23" s="6">
        <v>15000</v>
      </c>
      <c r="AX23" s="6">
        <v>15000</v>
      </c>
      <c r="AY23" s="6">
        <v>15000</v>
      </c>
      <c r="AZ23" s="6">
        <v>0</v>
      </c>
      <c r="BA23" s="6">
        <v>15000</v>
      </c>
      <c r="BB23" s="6">
        <v>0</v>
      </c>
      <c r="BC23" s="6">
        <v>0</v>
      </c>
      <c r="BD23" s="6">
        <v>0</v>
      </c>
    </row>
    <row r="24" spans="2:56" x14ac:dyDescent="0.25">
      <c r="B24" s="39" t="s">
        <v>300</v>
      </c>
      <c r="C24" t="s">
        <v>301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37500</v>
      </c>
      <c r="N24" s="6">
        <v>20000</v>
      </c>
      <c r="O24" s="6">
        <v>30000</v>
      </c>
      <c r="P24" s="6">
        <v>0</v>
      </c>
      <c r="Q24" s="6">
        <v>44822.98</v>
      </c>
      <c r="R24" s="6">
        <v>0</v>
      </c>
      <c r="S24" s="6">
        <v>44822.98</v>
      </c>
      <c r="T24" s="6">
        <v>0</v>
      </c>
      <c r="U24" s="6">
        <v>44822.98</v>
      </c>
      <c r="V24" s="6">
        <v>44822.98</v>
      </c>
      <c r="W24" s="6">
        <v>0</v>
      </c>
      <c r="X24" s="6">
        <v>44822.98</v>
      </c>
      <c r="Y24" s="6">
        <v>0</v>
      </c>
      <c r="Z24" s="6">
        <v>44822.98</v>
      </c>
      <c r="AA24" s="6">
        <v>0</v>
      </c>
      <c r="AB24" s="6">
        <v>44822.98</v>
      </c>
      <c r="AC24" s="6">
        <v>0</v>
      </c>
      <c r="AD24" s="6">
        <v>44822.98</v>
      </c>
      <c r="AE24" s="6">
        <v>0</v>
      </c>
      <c r="AF24" s="6">
        <v>44822.98</v>
      </c>
      <c r="AG24" s="6">
        <v>44822.98</v>
      </c>
      <c r="AH24" s="6">
        <v>0</v>
      </c>
      <c r="AI24" s="6">
        <v>44822.98</v>
      </c>
      <c r="AJ24" s="6">
        <v>44822.98</v>
      </c>
      <c r="AK24" s="6">
        <v>0</v>
      </c>
      <c r="AL24" s="6">
        <v>44822.98</v>
      </c>
      <c r="AM24" s="6">
        <v>0</v>
      </c>
      <c r="AN24" s="6">
        <v>44822.98</v>
      </c>
      <c r="AO24" s="6">
        <v>44822.98</v>
      </c>
      <c r="AP24" s="6">
        <v>44822.98</v>
      </c>
      <c r="AQ24" s="6">
        <v>0</v>
      </c>
      <c r="AR24" s="6">
        <v>28584.74</v>
      </c>
      <c r="AS24" s="6">
        <v>0</v>
      </c>
      <c r="AT24" s="6">
        <v>28584.74</v>
      </c>
      <c r="AU24" s="6">
        <v>28584.74</v>
      </c>
      <c r="AV24" s="6">
        <v>13426</v>
      </c>
      <c r="AW24" s="6">
        <v>13426</v>
      </c>
      <c r="AX24" s="6">
        <v>13426</v>
      </c>
      <c r="AY24" s="6">
        <v>13426</v>
      </c>
      <c r="AZ24" s="6">
        <v>0</v>
      </c>
      <c r="BA24" s="6">
        <v>13426</v>
      </c>
      <c r="BB24" s="6">
        <v>0</v>
      </c>
      <c r="BC24" s="6">
        <v>0</v>
      </c>
      <c r="BD24" s="6">
        <v>0</v>
      </c>
    </row>
    <row r="25" spans="2:56" x14ac:dyDescent="0.25">
      <c r="B25" s="39" t="s">
        <v>302</v>
      </c>
      <c r="C25" t="s">
        <v>301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18750</v>
      </c>
      <c r="N25" s="6">
        <v>10000</v>
      </c>
      <c r="O25" s="6">
        <v>15000</v>
      </c>
      <c r="P25" s="6">
        <v>0</v>
      </c>
      <c r="Q25" s="6">
        <v>22411.49</v>
      </c>
      <c r="R25" s="6">
        <v>0</v>
      </c>
      <c r="S25" s="6">
        <v>22411.49</v>
      </c>
      <c r="T25" s="6">
        <v>0</v>
      </c>
      <c r="U25" s="6">
        <v>22411.49</v>
      </c>
      <c r="V25" s="6">
        <v>22411.49</v>
      </c>
      <c r="W25" s="6">
        <v>0</v>
      </c>
      <c r="X25" s="6">
        <v>22411.49</v>
      </c>
      <c r="Y25" s="6">
        <v>0</v>
      </c>
      <c r="Z25" s="6">
        <v>22411.49</v>
      </c>
      <c r="AA25" s="6">
        <v>0</v>
      </c>
      <c r="AB25" s="6">
        <v>22411.49</v>
      </c>
      <c r="AC25" s="6">
        <v>0</v>
      </c>
      <c r="AD25" s="6">
        <v>22411.49</v>
      </c>
      <c r="AE25" s="6">
        <v>0</v>
      </c>
      <c r="AF25" s="6">
        <v>22411.49</v>
      </c>
      <c r="AG25" s="6">
        <v>22411.49</v>
      </c>
      <c r="AH25" s="6">
        <v>0</v>
      </c>
      <c r="AI25" s="6">
        <v>22411.49</v>
      </c>
      <c r="AJ25" s="6">
        <v>22411.49</v>
      </c>
      <c r="AK25" s="6">
        <v>0</v>
      </c>
      <c r="AL25" s="6">
        <v>22411.49</v>
      </c>
      <c r="AM25" s="6">
        <v>0</v>
      </c>
      <c r="AN25" s="6">
        <v>22411.49</v>
      </c>
      <c r="AO25" s="6">
        <v>22411.49</v>
      </c>
      <c r="AP25" s="6">
        <v>22411.49</v>
      </c>
      <c r="AQ25" s="6">
        <v>0</v>
      </c>
      <c r="AR25" s="6">
        <v>14292.37</v>
      </c>
      <c r="AS25" s="6">
        <v>0</v>
      </c>
      <c r="AT25" s="6">
        <v>14292.37</v>
      </c>
      <c r="AU25" s="6">
        <v>14292.37</v>
      </c>
      <c r="AV25" s="6">
        <v>6713</v>
      </c>
      <c r="AW25" s="6">
        <v>6713</v>
      </c>
      <c r="AX25" s="6">
        <v>6713</v>
      </c>
      <c r="AY25" s="6">
        <v>6713</v>
      </c>
      <c r="AZ25" s="6">
        <v>0</v>
      </c>
      <c r="BA25" s="6">
        <v>6713</v>
      </c>
      <c r="BB25" s="6">
        <v>0</v>
      </c>
      <c r="BC25" s="6">
        <v>0</v>
      </c>
      <c r="BD25" s="6">
        <v>0</v>
      </c>
    </row>
    <row r="27" spans="2:56" x14ac:dyDescent="0.25">
      <c r="B27" s="1" t="s">
        <v>303</v>
      </c>
      <c r="D27" s="12">
        <f>SUMIFS(D$5:D$26,$C$5:$C$26,"*capex*")</f>
        <v>0</v>
      </c>
      <c r="E27" s="12">
        <f>SUMIFS(E$5:E$26,$C$5:$C$26,"*capex*")</f>
        <v>500000</v>
      </c>
      <c r="F27" s="12">
        <f t="shared" ref="F27:H27" si="13">SUMIFS(F$5:F$26,$C$5:$C$26,"*capex*")</f>
        <v>500000</v>
      </c>
      <c r="G27" s="12">
        <f t="shared" si="13"/>
        <v>500000</v>
      </c>
      <c r="H27" s="12">
        <f t="shared" si="13"/>
        <v>500000</v>
      </c>
      <c r="I27" s="12">
        <f t="shared" ref="I27:BD27" si="14">SUMIFS(I$5:I$26,$C$5:$C$26,"*capex*")</f>
        <v>0</v>
      </c>
      <c r="J27" s="12">
        <f t="shared" si="14"/>
        <v>0</v>
      </c>
      <c r="K27" s="12">
        <f t="shared" si="14"/>
        <v>0</v>
      </c>
      <c r="L27" s="12">
        <f t="shared" si="14"/>
        <v>0</v>
      </c>
      <c r="M27" s="12">
        <f t="shared" si="14"/>
        <v>1421000</v>
      </c>
      <c r="N27" s="12">
        <f t="shared" si="14"/>
        <v>1421000</v>
      </c>
      <c r="O27" s="12">
        <f t="shared" si="14"/>
        <v>1421000</v>
      </c>
      <c r="P27" s="12">
        <f t="shared" si="14"/>
        <v>0</v>
      </c>
      <c r="Q27" s="12">
        <f t="shared" si="14"/>
        <v>1411000</v>
      </c>
      <c r="R27" s="12">
        <f t="shared" si="14"/>
        <v>0</v>
      </c>
      <c r="S27" s="12">
        <f t="shared" si="14"/>
        <v>1411000</v>
      </c>
      <c r="T27" s="12">
        <f t="shared" si="14"/>
        <v>0</v>
      </c>
      <c r="U27" s="12">
        <f t="shared" si="14"/>
        <v>1411000</v>
      </c>
      <c r="V27" s="12">
        <f t="shared" si="14"/>
        <v>1411000</v>
      </c>
      <c r="W27" s="12">
        <f t="shared" si="14"/>
        <v>0</v>
      </c>
      <c r="X27" s="12">
        <f t="shared" si="14"/>
        <v>1411000</v>
      </c>
      <c r="Y27" s="12">
        <f t="shared" si="14"/>
        <v>0</v>
      </c>
      <c r="Z27" s="12">
        <f t="shared" si="14"/>
        <v>1411000</v>
      </c>
      <c r="AA27" s="12">
        <f t="shared" si="14"/>
        <v>0</v>
      </c>
      <c r="AB27" s="12">
        <f t="shared" si="14"/>
        <v>1411000</v>
      </c>
      <c r="AC27" s="12">
        <f t="shared" si="14"/>
        <v>0</v>
      </c>
      <c r="AD27" s="12">
        <f t="shared" si="14"/>
        <v>1411000</v>
      </c>
      <c r="AE27" s="12">
        <f t="shared" si="14"/>
        <v>0</v>
      </c>
      <c r="AF27" s="12">
        <f t="shared" si="14"/>
        <v>1411000</v>
      </c>
      <c r="AG27" s="12">
        <f t="shared" si="14"/>
        <v>1411000</v>
      </c>
      <c r="AH27" s="12">
        <f t="shared" si="14"/>
        <v>0</v>
      </c>
      <c r="AI27" s="12">
        <f t="shared" si="14"/>
        <v>1411000</v>
      </c>
      <c r="AJ27" s="12">
        <f t="shared" si="14"/>
        <v>1411000</v>
      </c>
      <c r="AK27" s="12">
        <f t="shared" si="14"/>
        <v>0</v>
      </c>
      <c r="AL27" s="12">
        <f t="shared" si="14"/>
        <v>1411000</v>
      </c>
      <c r="AM27" s="12">
        <f t="shared" si="14"/>
        <v>0</v>
      </c>
      <c r="AN27" s="12">
        <f t="shared" si="14"/>
        <v>1411000</v>
      </c>
      <c r="AO27" s="12">
        <f t="shared" si="14"/>
        <v>1411000</v>
      </c>
      <c r="AP27" s="12">
        <f t="shared" si="14"/>
        <v>1411000</v>
      </c>
      <c r="AQ27" s="12">
        <f t="shared" si="14"/>
        <v>0</v>
      </c>
      <c r="AR27" s="12">
        <f t="shared" si="14"/>
        <v>786840</v>
      </c>
      <c r="AS27" s="12">
        <f>SUMIFS(AS$5:AS$26,$C$5:$C$26,"*capex*")</f>
        <v>0</v>
      </c>
      <c r="AT27" s="12">
        <f t="shared" si="14"/>
        <v>786840</v>
      </c>
      <c r="AU27" s="12">
        <f t="shared" si="14"/>
        <v>786840</v>
      </c>
      <c r="AV27" s="12">
        <f t="shared" si="14"/>
        <v>786840</v>
      </c>
      <c r="AW27" s="12">
        <f t="shared" si="14"/>
        <v>786840</v>
      </c>
      <c r="AX27" s="12">
        <f t="shared" si="14"/>
        <v>786840</v>
      </c>
      <c r="AY27" s="12">
        <f t="shared" si="14"/>
        <v>907240</v>
      </c>
      <c r="AZ27" s="12">
        <f t="shared" si="14"/>
        <v>0</v>
      </c>
      <c r="BA27" s="12">
        <f t="shared" si="14"/>
        <v>907240</v>
      </c>
      <c r="BB27" s="12">
        <f t="shared" si="14"/>
        <v>0</v>
      </c>
      <c r="BC27" s="12">
        <f t="shared" si="14"/>
        <v>0</v>
      </c>
      <c r="BD27" s="12">
        <f t="shared" si="14"/>
        <v>0</v>
      </c>
    </row>
    <row r="28" spans="2:56" x14ac:dyDescent="0.25">
      <c r="B28" t="s">
        <v>299</v>
      </c>
      <c r="D28" s="12">
        <f>SUMIFS(D$5:D$26,$C$5:$C$26,"*opex*")</f>
        <v>0</v>
      </c>
      <c r="E28" s="12">
        <f>SUMIFS(E$5:E$26,$C$5:$C$26,"*opex*")</f>
        <v>0</v>
      </c>
      <c r="F28" s="12">
        <f t="shared" ref="F28:H28" si="15">SUMIFS(F$5:F$26,$C$5:$C$26,"*opex*")</f>
        <v>0</v>
      </c>
      <c r="G28" s="12">
        <f t="shared" si="15"/>
        <v>0</v>
      </c>
      <c r="H28" s="12">
        <f t="shared" si="15"/>
        <v>0</v>
      </c>
      <c r="I28" s="12">
        <f t="shared" ref="I28:BD28" si="16">SUMIFS(I$5:I$26,$C$5:$C$26,"*opex*")</f>
        <v>0</v>
      </c>
      <c r="J28" s="12">
        <f t="shared" si="16"/>
        <v>0</v>
      </c>
      <c r="K28" s="12">
        <f t="shared" si="16"/>
        <v>0</v>
      </c>
      <c r="L28" s="12">
        <f t="shared" si="16"/>
        <v>0</v>
      </c>
      <c r="M28" s="12">
        <f t="shared" si="16"/>
        <v>140250</v>
      </c>
      <c r="N28" s="12">
        <f t="shared" si="16"/>
        <v>114000</v>
      </c>
      <c r="O28" s="12">
        <f t="shared" si="16"/>
        <v>129000</v>
      </c>
      <c r="P28" s="12">
        <f t="shared" si="16"/>
        <v>0</v>
      </c>
      <c r="Q28" s="12">
        <f t="shared" si="16"/>
        <v>151234.47</v>
      </c>
      <c r="R28" s="12">
        <f t="shared" si="16"/>
        <v>0</v>
      </c>
      <c r="S28" s="12">
        <f t="shared" si="16"/>
        <v>151234.47</v>
      </c>
      <c r="T28" s="12">
        <f t="shared" si="16"/>
        <v>0</v>
      </c>
      <c r="U28" s="12">
        <f t="shared" si="16"/>
        <v>151234.47</v>
      </c>
      <c r="V28" s="12">
        <f t="shared" si="16"/>
        <v>151234.47</v>
      </c>
      <c r="W28" s="12">
        <f t="shared" si="16"/>
        <v>0</v>
      </c>
      <c r="X28" s="12">
        <f t="shared" si="16"/>
        <v>151234.47</v>
      </c>
      <c r="Y28" s="12">
        <f t="shared" si="16"/>
        <v>0</v>
      </c>
      <c r="Z28" s="12">
        <f t="shared" si="16"/>
        <v>151234.47</v>
      </c>
      <c r="AA28" s="12">
        <f t="shared" si="16"/>
        <v>0</v>
      </c>
      <c r="AB28" s="12">
        <f t="shared" si="16"/>
        <v>151234.47</v>
      </c>
      <c r="AC28" s="12">
        <f t="shared" si="16"/>
        <v>0</v>
      </c>
      <c r="AD28" s="12">
        <f t="shared" si="16"/>
        <v>151234.47</v>
      </c>
      <c r="AE28" s="12">
        <f t="shared" si="16"/>
        <v>0</v>
      </c>
      <c r="AF28" s="12">
        <f t="shared" si="16"/>
        <v>151234.47</v>
      </c>
      <c r="AG28" s="12">
        <f t="shared" si="16"/>
        <v>151234.47</v>
      </c>
      <c r="AH28" s="12">
        <f t="shared" si="16"/>
        <v>0</v>
      </c>
      <c r="AI28" s="12">
        <f t="shared" si="16"/>
        <v>151234.47</v>
      </c>
      <c r="AJ28" s="12">
        <f t="shared" si="16"/>
        <v>151234.47</v>
      </c>
      <c r="AK28" s="12">
        <f t="shared" si="16"/>
        <v>0</v>
      </c>
      <c r="AL28" s="12">
        <f t="shared" si="16"/>
        <v>151234.47</v>
      </c>
      <c r="AM28" s="12">
        <f t="shared" si="16"/>
        <v>0</v>
      </c>
      <c r="AN28" s="12">
        <f t="shared" si="16"/>
        <v>151234.47</v>
      </c>
      <c r="AO28" s="12">
        <f t="shared" si="16"/>
        <v>151234.47</v>
      </c>
      <c r="AP28" s="12">
        <f t="shared" si="16"/>
        <v>151234.47</v>
      </c>
      <c r="AQ28" s="12">
        <f t="shared" si="16"/>
        <v>0</v>
      </c>
      <c r="AR28" s="12">
        <f t="shared" si="16"/>
        <v>126877.11</v>
      </c>
      <c r="AS28" s="12">
        <f>SUMIFS(AS$5:AS$26,$C$5:$C$26,"*opex*")</f>
        <v>0</v>
      </c>
      <c r="AT28" s="12">
        <f t="shared" si="16"/>
        <v>126877.11</v>
      </c>
      <c r="AU28" s="12">
        <f t="shared" si="16"/>
        <v>126877.11</v>
      </c>
      <c r="AV28" s="12">
        <f t="shared" si="16"/>
        <v>104139</v>
      </c>
      <c r="AW28" s="12">
        <f t="shared" si="16"/>
        <v>104139</v>
      </c>
      <c r="AX28" s="12">
        <f t="shared" si="16"/>
        <v>104139</v>
      </c>
      <c r="AY28" s="12">
        <f t="shared" si="16"/>
        <v>103139</v>
      </c>
      <c r="AZ28" s="12">
        <f t="shared" si="16"/>
        <v>0</v>
      </c>
      <c r="BA28" s="12">
        <f t="shared" si="16"/>
        <v>103139</v>
      </c>
      <c r="BB28" s="12">
        <f t="shared" si="16"/>
        <v>0</v>
      </c>
      <c r="BC28" s="12">
        <f t="shared" si="16"/>
        <v>0</v>
      </c>
      <c r="BD28" s="12">
        <f t="shared" si="16"/>
        <v>0</v>
      </c>
    </row>
    <row r="30" spans="2:56" x14ac:dyDescent="0.25">
      <c r="B30" s="1" t="s">
        <v>304</v>
      </c>
      <c r="D30" s="50">
        <v>0</v>
      </c>
      <c r="E30" s="50">
        <v>1</v>
      </c>
      <c r="F30" s="50">
        <v>1</v>
      </c>
      <c r="G30" s="50">
        <v>1</v>
      </c>
      <c r="H30" s="50">
        <v>1</v>
      </c>
      <c r="I30" s="50">
        <v>2</v>
      </c>
      <c r="J30" s="50">
        <v>0</v>
      </c>
      <c r="K30" s="50">
        <v>2</v>
      </c>
      <c r="L30" s="50">
        <v>0</v>
      </c>
      <c r="M30" s="50">
        <v>2</v>
      </c>
      <c r="N30" s="50">
        <v>2</v>
      </c>
      <c r="O30" s="50">
        <v>2</v>
      </c>
      <c r="P30" s="50">
        <v>0</v>
      </c>
      <c r="Q30" s="50">
        <v>2</v>
      </c>
      <c r="R30" s="50">
        <v>0</v>
      </c>
      <c r="S30" s="50">
        <v>2</v>
      </c>
      <c r="T30" s="50">
        <v>0</v>
      </c>
      <c r="U30" s="50">
        <v>2</v>
      </c>
      <c r="V30" s="50">
        <v>2</v>
      </c>
      <c r="W30" s="50">
        <v>0</v>
      </c>
      <c r="X30" s="50">
        <v>2</v>
      </c>
      <c r="Y30" s="50">
        <v>0</v>
      </c>
      <c r="Z30" s="50">
        <v>2</v>
      </c>
      <c r="AA30" s="50">
        <v>0</v>
      </c>
      <c r="AB30" s="50">
        <v>2</v>
      </c>
      <c r="AC30" s="50">
        <v>0</v>
      </c>
      <c r="AD30" s="50">
        <v>2</v>
      </c>
      <c r="AE30" s="50">
        <v>0</v>
      </c>
      <c r="AF30" s="50">
        <v>2</v>
      </c>
      <c r="AG30" s="50">
        <v>2</v>
      </c>
      <c r="AH30" s="50">
        <v>0</v>
      </c>
      <c r="AI30" s="50">
        <v>2</v>
      </c>
      <c r="AJ30" s="50">
        <v>2</v>
      </c>
      <c r="AK30" s="50">
        <v>0</v>
      </c>
      <c r="AL30" s="50">
        <v>2</v>
      </c>
      <c r="AM30" s="50">
        <v>0</v>
      </c>
      <c r="AN30" s="50">
        <v>2</v>
      </c>
      <c r="AO30" s="50">
        <v>2</v>
      </c>
      <c r="AP30" s="50">
        <v>2</v>
      </c>
      <c r="AQ30" s="50">
        <v>0</v>
      </c>
      <c r="AR30" s="50">
        <v>2</v>
      </c>
      <c r="AS30" s="50">
        <v>0</v>
      </c>
      <c r="AT30" s="50">
        <v>2</v>
      </c>
      <c r="AU30" s="50">
        <v>2</v>
      </c>
      <c r="AV30" s="50">
        <v>2</v>
      </c>
      <c r="AW30" s="50">
        <v>2</v>
      </c>
      <c r="AX30" s="50">
        <v>2</v>
      </c>
      <c r="AY30" s="50">
        <v>0</v>
      </c>
      <c r="AZ30" s="50">
        <v>0</v>
      </c>
      <c r="BA30" s="50">
        <v>2</v>
      </c>
      <c r="BB30" s="50">
        <v>0</v>
      </c>
      <c r="BC30" s="50">
        <v>0</v>
      </c>
      <c r="BD30" s="50">
        <v>0</v>
      </c>
    </row>
    <row r="31" spans="2:56" x14ac:dyDescent="0.25">
      <c r="B31" t="s">
        <v>305</v>
      </c>
      <c r="C31" s="64"/>
      <c r="D31" s="50">
        <v>6</v>
      </c>
      <c r="E31" s="50">
        <v>5</v>
      </c>
      <c r="F31" s="50">
        <v>5</v>
      </c>
      <c r="G31" s="50">
        <v>5</v>
      </c>
      <c r="H31" s="50">
        <v>5</v>
      </c>
      <c r="I31" s="50">
        <v>6</v>
      </c>
      <c r="J31" s="50">
        <v>6</v>
      </c>
      <c r="K31" s="50">
        <v>6</v>
      </c>
      <c r="L31" s="50">
        <v>6</v>
      </c>
      <c r="M31" s="50">
        <v>6</v>
      </c>
      <c r="N31" s="50">
        <v>6</v>
      </c>
      <c r="O31" s="50">
        <v>6</v>
      </c>
      <c r="P31" s="50">
        <v>6</v>
      </c>
      <c r="Q31" s="50">
        <v>6</v>
      </c>
      <c r="R31" s="50">
        <v>6</v>
      </c>
      <c r="S31" s="50">
        <v>6</v>
      </c>
      <c r="T31" s="50">
        <v>6</v>
      </c>
      <c r="U31" s="50">
        <v>6</v>
      </c>
      <c r="V31" s="50">
        <v>6</v>
      </c>
      <c r="W31" s="50">
        <v>6</v>
      </c>
      <c r="X31" s="50">
        <v>6</v>
      </c>
      <c r="Y31" s="50">
        <v>6</v>
      </c>
      <c r="Z31" s="50">
        <v>6</v>
      </c>
      <c r="AA31" s="50">
        <v>6</v>
      </c>
      <c r="AB31" s="50">
        <v>6</v>
      </c>
      <c r="AC31" s="50">
        <v>6</v>
      </c>
      <c r="AD31" s="50">
        <v>6</v>
      </c>
      <c r="AE31" s="50">
        <v>6</v>
      </c>
      <c r="AF31" s="50">
        <v>6</v>
      </c>
      <c r="AG31" s="50">
        <v>6</v>
      </c>
      <c r="AH31" s="50">
        <v>6</v>
      </c>
      <c r="AI31" s="50">
        <v>6</v>
      </c>
      <c r="AJ31" s="50">
        <v>6</v>
      </c>
      <c r="AK31" s="50">
        <v>6</v>
      </c>
      <c r="AL31" s="50">
        <v>6</v>
      </c>
      <c r="AM31" s="50">
        <v>6</v>
      </c>
      <c r="AN31" s="50">
        <v>6</v>
      </c>
      <c r="AO31" s="50">
        <v>6</v>
      </c>
      <c r="AP31" s="50">
        <v>6</v>
      </c>
      <c r="AQ31" s="50">
        <v>6</v>
      </c>
      <c r="AR31" s="50">
        <v>6</v>
      </c>
      <c r="AS31" s="50">
        <v>6</v>
      </c>
      <c r="AT31" s="50">
        <v>6</v>
      </c>
      <c r="AU31" s="50">
        <v>6</v>
      </c>
      <c r="AV31" s="50">
        <v>6</v>
      </c>
      <c r="AW31" s="50">
        <v>6</v>
      </c>
      <c r="AX31" s="50">
        <v>6</v>
      </c>
      <c r="AY31" s="50">
        <v>6</v>
      </c>
      <c r="AZ31" s="50">
        <v>6</v>
      </c>
      <c r="BA31" s="50">
        <v>6</v>
      </c>
      <c r="BB31" s="50">
        <v>6</v>
      </c>
      <c r="BC31" s="50">
        <v>6</v>
      </c>
      <c r="BD31" s="50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FC3F-B88F-4DB7-B411-2F56E0D09CA1}">
  <sheetPr>
    <tabColor theme="9" tint="-0.249977111117893"/>
    <pageSetUpPr fitToPage="1"/>
  </sheetPr>
  <dimension ref="B4:Y46"/>
  <sheetViews>
    <sheetView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Q35" sqref="Q35"/>
    </sheetView>
  </sheetViews>
  <sheetFormatPr defaultRowHeight="15" outlineLevelCol="1" x14ac:dyDescent="0.25"/>
  <cols>
    <col min="1" max="1" width="4.7109375" customWidth="1"/>
    <col min="2" max="2" width="24.85546875" bestFit="1" customWidth="1"/>
    <col min="3" max="3" width="14" bestFit="1" customWidth="1"/>
    <col min="4" max="4" width="12.85546875" bestFit="1" customWidth="1"/>
    <col min="5" max="6" width="15" customWidth="1"/>
    <col min="7" max="7" width="4.7109375" customWidth="1"/>
    <col min="8" max="8" width="14" bestFit="1" customWidth="1"/>
    <col min="9" max="9" width="12.85546875" bestFit="1" customWidth="1"/>
    <col min="10" max="10" width="14" bestFit="1" customWidth="1"/>
    <col min="11" max="11" width="4.7109375" customWidth="1"/>
    <col min="12" max="12" width="12.5703125" hidden="1" customWidth="1" outlineLevel="1"/>
    <col min="13" max="13" width="11.5703125" hidden="1" customWidth="1" outlineLevel="1"/>
    <col min="14" max="14" width="14.28515625" hidden="1" customWidth="1" outlineLevel="1"/>
    <col min="15" max="15" width="11.5703125" hidden="1" customWidth="1" outlineLevel="1"/>
    <col min="16" max="16" width="4.7109375" hidden="1" customWidth="1" outlineLevel="1"/>
    <col min="17" max="17" width="13.85546875" bestFit="1" customWidth="1" collapsed="1"/>
    <col min="18" max="18" width="17.7109375" bestFit="1" customWidth="1"/>
    <col min="19" max="19" width="5.42578125" bestFit="1" customWidth="1"/>
    <col min="20" max="20" width="6.7109375" bestFit="1" customWidth="1"/>
    <col min="21" max="21" width="4.7109375" customWidth="1"/>
    <col min="22" max="22" width="13.85546875" bestFit="1" customWidth="1"/>
    <col min="23" max="23" width="18" bestFit="1" customWidth="1"/>
    <col min="24" max="24" width="5.42578125" bestFit="1" customWidth="1"/>
    <col min="25" max="25" width="6.7109375" bestFit="1" customWidth="1"/>
  </cols>
  <sheetData>
    <row r="4" spans="2:25" ht="14.45" customHeight="1" x14ac:dyDescent="0.25">
      <c r="B4" s="135" t="s">
        <v>306</v>
      </c>
      <c r="L4" s="73" t="s">
        <v>408</v>
      </c>
      <c r="M4" s="73"/>
      <c r="N4" s="73"/>
      <c r="O4" s="73"/>
      <c r="Q4" s="227" t="s">
        <v>307</v>
      </c>
      <c r="R4" s="227"/>
      <c r="S4" s="227"/>
      <c r="T4" s="227"/>
      <c r="V4" s="227" t="s">
        <v>308</v>
      </c>
      <c r="W4" s="227"/>
      <c r="X4" s="227"/>
      <c r="Y4" s="227"/>
    </row>
    <row r="5" spans="2:25" x14ac:dyDescent="0.25">
      <c r="B5" s="76">
        <v>2026</v>
      </c>
      <c r="C5" s="123" t="s">
        <v>29</v>
      </c>
      <c r="D5" s="124" t="s">
        <v>32</v>
      </c>
      <c r="E5" s="125" t="s">
        <v>35</v>
      </c>
      <c r="F5" s="126" t="s">
        <v>38</v>
      </c>
      <c r="H5" s="122" t="s">
        <v>309</v>
      </c>
      <c r="I5" s="122" t="s">
        <v>15</v>
      </c>
      <c r="J5" s="122" t="s">
        <v>45</v>
      </c>
      <c r="L5" s="123" t="s">
        <v>29</v>
      </c>
      <c r="M5" s="124" t="s">
        <v>32</v>
      </c>
      <c r="N5" s="125" t="s">
        <v>35</v>
      </c>
      <c r="O5" s="126" t="s">
        <v>38</v>
      </c>
      <c r="Q5" s="85" t="s">
        <v>62</v>
      </c>
      <c r="R5" s="85" t="s">
        <v>68</v>
      </c>
      <c r="S5" s="85" t="s">
        <v>310</v>
      </c>
      <c r="T5" s="85" t="s">
        <v>311</v>
      </c>
      <c r="V5" s="85" t="s">
        <v>62</v>
      </c>
      <c r="W5" s="85" t="s">
        <v>68</v>
      </c>
      <c r="X5" s="85" t="s">
        <v>310</v>
      </c>
      <c r="Y5" s="85" t="s">
        <v>311</v>
      </c>
    </row>
    <row r="6" spans="2:25" x14ac:dyDescent="0.25">
      <c r="B6" t="s">
        <v>36</v>
      </c>
      <c r="C6" s="169" cm="1">
        <f t="array" ref="C6">_xlfn.XLOOKUP($B$5,_xlfn.ANCHORARRAY('JV1'!$J$20),'JV1'!$J3:$L3,0,0)</f>
        <v>255.55000000000007</v>
      </c>
      <c r="D6" s="169" cm="1">
        <f t="array" ref="D6">_xlfn.XLOOKUP($B$5,_xlfn.ANCHORARRAY('JV2'!$J$20),'JV2'!$J3:$L3,0,0)</f>
        <v>134.51</v>
      </c>
      <c r="E6" s="169" cm="1">
        <f t="array" ref="E6">_xlfn.XLOOKUP($B$5,_xlfn.ANCHORARRAY('JV2'!$N$20),'JV2'!$N3:$P3,0,0)</f>
        <v>109.44</v>
      </c>
      <c r="F6" s="169" cm="1">
        <f t="array" ref="F6">_xlfn.XLOOKUP($B$5,_xlfn.ANCHORARRAY('JV2'!$R$20),'JV2'!$R3:$T3,0,0)</f>
        <v>24.27</v>
      </c>
      <c r="H6" s="169">
        <f>SUM(C6)</f>
        <v>255.55000000000007</v>
      </c>
      <c r="I6" s="169">
        <f>SUM(D6:F6)</f>
        <v>268.21999999999997</v>
      </c>
      <c r="J6" s="5" t="s">
        <v>312</v>
      </c>
      <c r="L6" s="128" cm="1">
        <f t="array" ref="L6">_xlfn.LET(_xlpm.hours,_xlfn._TRO_TRAILING(Sites!$V:$X),_xlpm.type,ISNUMBER(SEARCH($L$4,_xlfn._TRO_TRAILING(Sites!$H:$H))),
_xlpm.states,ISNUMBER(SEARCH(L$5,_xlfn._TRO_TRAILING(Sites!$I:$I))),
_xlpm.years,ISNUMBER(SEARCH($B$5,Sites!$N$3:$P$3)),
SUM(_xlfn._xlws.FILTER(_xlfn._xlws.FILTER(_xlpm.hours,_xlpm.states*_xlpm.type,0),_xlpm.years),0))</f>
        <v>33</v>
      </c>
      <c r="M6" s="128" cm="1">
        <f t="array" ref="M6">_xlfn.LET(_xlpm.hours,_xlfn._TRO_TRAILING(Sites!$V:$X),_xlpm.type,ISNUMBER(SEARCH($L$4,_xlfn._TRO_TRAILING(Sites!$H:$H))),
_xlpm.states,ISNUMBER(SEARCH(M$5,_xlfn._TRO_TRAILING(Sites!$I:$I))),
_xlpm.years,ISNUMBER(SEARCH($B$5,Sites!$N$3:$P$3)),
SUM(_xlfn._xlws.FILTER(_xlfn._xlws.FILTER(_xlpm.hours,_xlpm.states*_xlpm.type,0),_xlpm.years),0))</f>
        <v>53</v>
      </c>
      <c r="N6" s="128" cm="1">
        <f t="array" ref="N6">_xlfn.LET(_xlpm.hours,_xlfn._TRO_TRAILING(Sites!$V:$X),_xlpm.type,ISNUMBER(SEARCH($L$4,_xlfn._TRO_TRAILING(Sites!$H:$H))),
_xlpm.states,ISNUMBER(SEARCH(N$5,_xlfn._TRO_TRAILING(Sites!$I:$I))),
_xlpm.years,ISNUMBER(SEARCH($B$5,Sites!$N$3:$P$3)),
SUM(_xlfn._xlws.FILTER(_xlfn._xlws.FILTER(_xlpm.hours,_xlpm.states*_xlpm.type,0),_xlpm.years),0))</f>
        <v>65</v>
      </c>
      <c r="O6" s="128" cm="1">
        <f t="array" ref="O6">_xlfn.LET(_xlpm.hours,_xlfn._TRO_TRAILING(Sites!$V:$X),_xlpm.type,ISNUMBER(SEARCH($L$4,_xlfn._TRO_TRAILING(Sites!$H:$H))),
_xlpm.states,ISNUMBER(SEARCH(O$5,_xlfn._TRO_TRAILING(Sites!$I:$I))),
_xlpm.years,ISNUMBER(SEARCH($B$5,Sites!$N$3:$P$3)),
SUM(_xlfn._xlws.FILTER(_xlfn._xlws.FILTER(_xlpm.hours,_xlpm.states*_xlpm.type,0),_xlpm.years),0))</f>
        <v>29</v>
      </c>
      <c r="Q6" t="str" cm="1">
        <f t="array" ref="Q6:T34">_xlfn.LET(_xlpm.builds,_xlfn.CHOOSECOLS(TRANSPOSE(Base!D2:BD5),{1,3,4}),_xlpm.Centers,_xlfn._xlws.FILTER(_xlpm.builds,ISNUMBER(SEARCH("Center",_xlfn.CHOOSECOLS(_xlpm.builds,2))),""),
_xlpm.data,_xlfn.HSTACK(_xlfn.CHOOSECOLS(_xlpm.Centers,1,2),YEAR(_xlfn.CHOOSECOLS(_xlpm.Centers,3)),MONTH(_xlfn.CHOOSECOLS(_xlpm.Centers,3))),
_xlfn._xlws.SORT(_xlfn._xlws.SORT(_xlfn._xlws.SORT(_xlpm.data,4),3),1))</f>
        <v>Maryland</v>
      </c>
      <c r="R6" t="str">
        <v>MDA1-Center</v>
      </c>
      <c r="S6">
        <v>2021</v>
      </c>
      <c r="T6">
        <v>1</v>
      </c>
      <c r="V6" t="str" cm="1">
        <f t="array" ref="V6:Y24">_xlfn.LET(_xlpm.builds,_xlfn.CHOOSECOLS(TRANSPOSE(_xlfn._TRO_TRAILING(Base!$2:$5)),{1,3,4}),_xlpm.Centers,_xlfn._xlws.FILTER(_xlpm.builds,ISNUMBER(SEARCH("Remote",_xlfn.CHOOSECOLS(_xlpm.builds,2))),""),
_xlpm.data,_xlfn.HSTACK(_xlfn.CHOOSECOLS(_xlpm.Centers,1,2),YEAR(_xlfn.CHOOSECOLS(_xlpm.Centers,3)),MONTH(_xlfn.CHOOSECOLS(_xlpm.Centers,3))),
_xlfn._xlws.SORT(_xlfn._xlws.SORT(_xlfn._xlws.SORT(_xlpm.data,4),3),1))</f>
        <v>Arizona</v>
      </c>
      <c r="W6" t="str">
        <v>AZB1-Remote</v>
      </c>
      <c r="X6">
        <v>2023</v>
      </c>
      <c r="Y6">
        <v>1</v>
      </c>
    </row>
    <row r="7" spans="2:25" x14ac:dyDescent="0.25">
      <c r="B7" t="s">
        <v>39</v>
      </c>
      <c r="C7" s="169" cm="1">
        <f t="array" ref="C7">_xlfn.XLOOKUP($B$5,_xlfn.ANCHORARRAY('JV1'!$J$20),'JV1'!$J4:$L4,0,0)</f>
        <v>40.25</v>
      </c>
      <c r="D7" s="169" cm="1">
        <f t="array" ref="D7">_xlfn.XLOOKUP($B$5,_xlfn.ANCHORARRAY('JV2'!$J$20),'JV2'!$J4:$L4,0,0)</f>
        <v>25.15</v>
      </c>
      <c r="E7" s="169" cm="1">
        <f t="array" ref="E7">_xlfn.XLOOKUP($B$5,_xlfn.ANCHORARRAY('JV2'!$N$20),'JV2'!$N4:$P4,0,0)</f>
        <v>20.74</v>
      </c>
      <c r="F7" s="169" cm="1">
        <f t="array" ref="F7">_xlfn.XLOOKUP($B$5,_xlfn.ANCHORARRAY('JV2'!$R$20),'JV2'!$R4:$T4,0,0)</f>
        <v>5.1899999999999995</v>
      </c>
      <c r="G7" s="128"/>
      <c r="H7" s="169">
        <f t="shared" ref="H7:H10" si="0">SUM(C7)</f>
        <v>40.25</v>
      </c>
      <c r="I7" s="169">
        <f t="shared" ref="I7:I10" si="1">SUM(D7:F7)</f>
        <v>51.08</v>
      </c>
      <c r="J7" s="5" t="s">
        <v>312</v>
      </c>
      <c r="L7" s="128" cm="1">
        <f t="array" ref="L7">_xlfn.LET(_xlpm.hours,_xlfn._TRO_TRAILING(Sites!$Z:$AB),_xlpm.type,ISNUMBER(SEARCH($L$4,_xlfn._TRO_TRAILING(Sites!$H:$H))),
_xlpm.states,ISNUMBER(SEARCH(L$5,_xlfn._TRO_TRAILING(Sites!$I:$I))),
_xlpm.years,ISNUMBER(SEARCH($B$5,Sites!$N$3:$P$3)),
SUM(_xlfn._xlws.FILTER(_xlfn._xlws.FILTER(_xlpm.hours,_xlpm.states*_xlpm.type,0),_xlpm.years),0))</f>
        <v>13</v>
      </c>
      <c r="M7" s="128" cm="1">
        <f t="array" ref="M7">_xlfn.LET(_xlpm.hours,_xlfn._TRO_TRAILING(Sites!$Z:$AB),_xlpm.type,ISNUMBER(SEARCH($L$4,_xlfn._TRO_TRAILING(Sites!$H:$H))),
_xlpm.states,ISNUMBER(SEARCH(M$5,_xlfn._TRO_TRAILING(Sites!$I:$I))),
_xlpm.years,ISNUMBER(SEARCH($B$5,Sites!$N$3:$P$3)),
SUM(_xlfn._xlws.FILTER(_xlfn._xlws.FILTER(_xlpm.hours,_xlpm.states*_xlpm.type,0),_xlpm.years),0))</f>
        <v>10</v>
      </c>
      <c r="N7" s="128" cm="1">
        <f t="array" ref="N7">_xlfn.LET(_xlpm.hours,_xlfn._TRO_TRAILING(Sites!$Z:$AB),_xlpm.type,ISNUMBER(SEARCH($L$4,_xlfn._TRO_TRAILING(Sites!$H:$H))),
_xlpm.states,ISNUMBER(SEARCH(N$5,_xlfn._TRO_TRAILING(Sites!$I:$I))),
_xlpm.years,ISNUMBER(SEARCH($B$5,Sites!$N$3:$P$3)),
SUM(_xlfn._xlws.FILTER(_xlfn._xlws.FILTER(_xlpm.hours,_xlpm.states*_xlpm.type,0),_xlpm.years),0))</f>
        <v>6</v>
      </c>
      <c r="O7" s="128" cm="1">
        <f t="array" ref="O7">_xlfn.LET(_xlpm.hours,_xlfn._TRO_TRAILING(Sites!$Z:$AB),_xlpm.type,ISNUMBER(SEARCH($L$4,_xlfn._TRO_TRAILING(Sites!$H:$H))),
_xlpm.states,ISNUMBER(SEARCH(O$5,_xlfn._TRO_TRAILING(Sites!$I:$I))),
_xlpm.years,ISNUMBER(SEARCH($B$5,Sites!$N$3:$P$3)),
SUM(_xlfn._xlws.FILTER(_xlfn._xlws.FILTER(_xlpm.hours,_xlpm.states*_xlpm.type,0),_xlpm.years),0))</f>
        <v>7</v>
      </c>
      <c r="Q7" t="str">
        <v>Maryland</v>
      </c>
      <c r="R7" t="str">
        <v>MDA3-Center</v>
      </c>
      <c r="S7">
        <v>2024</v>
      </c>
      <c r="T7">
        <v>8</v>
      </c>
      <c r="V7" t="str">
        <v>Arizona</v>
      </c>
      <c r="W7" t="str">
        <v>AZB2-Remote</v>
      </c>
      <c r="X7">
        <v>2026</v>
      </c>
      <c r="Y7">
        <v>1</v>
      </c>
    </row>
    <row r="8" spans="2:25" x14ac:dyDescent="0.25">
      <c r="B8" t="s">
        <v>418</v>
      </c>
      <c r="C8" s="169" cm="1">
        <f t="array" ref="C8">_xlfn.XLOOKUP($B$5,_xlfn.ANCHORARRAY('JV1'!$J$20),'JV1'!$J5:$L5,0,0)</f>
        <v>79</v>
      </c>
      <c r="D8" s="169" cm="1">
        <f t="array" ref="D8">_xlfn.XLOOKUP($B$5,_xlfn.ANCHORARRAY('JV2'!$J$20),'JV2'!$J5:$L5,0,0)</f>
        <v>35</v>
      </c>
      <c r="E8" s="169" cm="1">
        <f t="array" ref="E8">_xlfn.XLOOKUP($B$5,_xlfn.ANCHORARRAY('JV2'!$N$20),'JV2'!$N5:$P5,0,0)</f>
        <v>24</v>
      </c>
      <c r="F8" s="169" cm="1">
        <f t="array" ref="F8">_xlfn.XLOOKUP($B$5,_xlfn.ANCHORARRAY('JV2'!$R$20),'JV2'!$R5:$T5,0,0)</f>
        <v>7</v>
      </c>
      <c r="G8" s="128"/>
      <c r="H8" s="169">
        <f t="shared" si="0"/>
        <v>79</v>
      </c>
      <c r="I8" s="169">
        <f t="shared" si="1"/>
        <v>66</v>
      </c>
      <c r="J8" s="5" t="s">
        <v>312</v>
      </c>
      <c r="Q8" t="str">
        <v>Maryland</v>
      </c>
      <c r="R8" t="str">
        <v>MD-2026-01-Center</v>
      </c>
      <c r="S8">
        <v>2026</v>
      </c>
      <c r="T8">
        <v>7</v>
      </c>
      <c r="V8" t="str">
        <v>Arizona</v>
      </c>
      <c r="W8" t="str">
        <v>AZB3-Remote</v>
      </c>
      <c r="X8">
        <v>2027</v>
      </c>
      <c r="Y8">
        <v>1</v>
      </c>
    </row>
    <row r="9" spans="2:25" x14ac:dyDescent="0.25">
      <c r="B9" t="s">
        <v>314</v>
      </c>
      <c r="C9" s="169" cm="1">
        <f t="array" ref="C9">_xlfn.XLOOKUP($B$5,_xlfn.ANCHORARRAY('JV1'!$J$20),'JV1'!$J6:$L6,0,0)</f>
        <v>0</v>
      </c>
      <c r="D9" s="169" cm="1">
        <f t="array" ref="D9">_xlfn.XLOOKUP($B$5,_xlfn.ANCHORARRAY('JV2'!$J$20),'JV2'!$J6:$L6,0,0)</f>
        <v>0</v>
      </c>
      <c r="E9" s="169" cm="1">
        <f t="array" ref="E9">_xlfn.XLOOKUP($B$5,_xlfn.ANCHORARRAY('JV2'!$N$20),'JV2'!$N6:$P6,0,0)</f>
        <v>0</v>
      </c>
      <c r="F9" s="169" cm="1">
        <f t="array" ref="F9">_xlfn.XLOOKUP($B$5,_xlfn.ANCHORARRAY('JV2'!$R$20),'JV2'!$R6:$T6,0,0)</f>
        <v>0</v>
      </c>
      <c r="G9" s="128"/>
      <c r="H9" s="169">
        <f t="shared" si="0"/>
        <v>0</v>
      </c>
      <c r="I9" s="169">
        <f t="shared" si="1"/>
        <v>0</v>
      </c>
      <c r="J9" s="5" t="s">
        <v>312</v>
      </c>
      <c r="L9" s="128" cm="1">
        <f t="array" ref="L9">_xlfn.LET(_xlpm.hours,_xlfn._TRO_TRAILING(Sites!$N:$P),_xlpm.type,ISNUMBER(SEARCH($L$4,_xlfn._TRO_TRAILING(Sites!$H:$H))),
_xlpm.states,ISNUMBER(SEARCH(L$5,_xlfn._TRO_TRAILING(Sites!$I:$I))),
_xlpm.years,ISNUMBER(SEARCH($B$5,Sites!$N$3:$P$3)),
SUM(_xlfn._xlws.FILTER(_xlfn._xlws.FILTER(_xlpm.hours,_xlpm.states*_xlpm.type,0),_xlpm.years),0))</f>
        <v>26.799999999999997</v>
      </c>
      <c r="M9" s="128" cm="1">
        <f t="array" ref="M9">_xlfn.LET(_xlpm.hours,_xlfn._TRO_TRAILING(Sites!$N:$P),_xlpm.type,ISNUMBER(SEARCH($L$4,_xlfn._TRO_TRAILING(Sites!$H:$H))),
_xlpm.states,ISNUMBER(SEARCH(M$5,_xlfn._TRO_TRAILING(Sites!$I:$I))),
_xlpm.years,ISNUMBER(SEARCH($B$5,Sites!$N$3:$P$3)),
SUM(_xlfn._xlws.FILTER(_xlfn._xlws.FILTER(_xlpm.hours,_xlpm.states*_xlpm.type,0),_xlpm.years),0))</f>
        <v>42.209999999999994</v>
      </c>
      <c r="N9" s="128" cm="1">
        <f t="array" ref="N9">_xlfn.LET(_xlpm.hours,_xlfn._TRO_TRAILING(Sites!$N:$P),_xlpm.type,ISNUMBER(SEARCH($L$4,_xlfn._TRO_TRAILING(Sites!$H:$H))),
_xlpm.states,ISNUMBER(SEARCH(N$5,_xlfn._TRO_TRAILING(Sites!$I:$I))),
_xlpm.years,ISNUMBER(SEARCH($B$5,Sites!$N$3:$P$3)),
SUM(_xlfn._xlws.FILTER(_xlfn._xlws.FILTER(_xlpm.hours,_xlpm.states*_xlpm.type,0),_xlpm.years),0))</f>
        <v>52.989999999999995</v>
      </c>
      <c r="O9" s="128" cm="1">
        <f t="array" ref="O9">_xlfn.LET(_xlpm.hours,_xlfn._TRO_TRAILING(Sites!$N:$P),_xlpm.type,ISNUMBER(SEARCH($L$4,_xlfn._TRO_TRAILING(Sites!$H:$H))),
_xlpm.states,ISNUMBER(SEARCH(O$5,_xlfn._TRO_TRAILING(Sites!$I:$I))),
_xlpm.years,ISNUMBER(SEARCH($B$5,Sites!$N$3:$P$3)),
SUM(_xlfn._xlws.FILTER(_xlfn._xlws.FILTER(_xlpm.hours,_xlpm.states*_xlpm.type,0),_xlpm.years),0))</f>
        <v>24.27</v>
      </c>
      <c r="Q9" t="str">
        <v>Maryland</v>
      </c>
      <c r="R9" t="str">
        <v>MD-2027-01-Center</v>
      </c>
      <c r="S9">
        <v>2027</v>
      </c>
      <c r="T9">
        <v>8</v>
      </c>
      <c r="V9" t="str">
        <v>Maryland</v>
      </c>
      <c r="W9" t="str">
        <v>MDB1-Remote</v>
      </c>
      <c r="X9">
        <v>2021</v>
      </c>
      <c r="Y9">
        <v>1</v>
      </c>
    </row>
    <row r="10" spans="2:25" x14ac:dyDescent="0.25">
      <c r="B10" t="s">
        <v>315</v>
      </c>
      <c r="C10" s="169" cm="1">
        <f t="array" ref="C10">_xlfn.XLOOKUP($B$5,_xlfn.ANCHORARRAY('JV1'!$J$20),'JV1'!$J10:$L10,0,0)</f>
        <v>6</v>
      </c>
      <c r="D10" s="169" cm="1">
        <f t="array" ref="D10">_xlfn.XLOOKUP($B$5,_xlfn.ANCHORARRAY('JV2'!$J$20),'JV2'!$J10:$L10,0,0)</f>
        <v>1</v>
      </c>
      <c r="E10" s="169" cm="1">
        <f t="array" ref="E10">_xlfn.XLOOKUP($B$5,_xlfn.ANCHORARRAY('JV2'!$N$20),'JV2'!$N10:$P10,0,0)</f>
        <v>2</v>
      </c>
      <c r="F10" s="169" cm="1">
        <f t="array" ref="F10">_xlfn.XLOOKUP($B$5,_xlfn.ANCHORARRAY('JV2'!$R$20),'JV2'!$R10:$T10,0,0)</f>
        <v>0</v>
      </c>
      <c r="G10" s="128"/>
      <c r="H10" s="172">
        <f t="shared" si="0"/>
        <v>6</v>
      </c>
      <c r="I10" s="172">
        <f t="shared" si="1"/>
        <v>3</v>
      </c>
      <c r="J10" s="5" t="s">
        <v>312</v>
      </c>
      <c r="L10" s="128" cm="1">
        <f t="array" ref="L10">_xlfn.LET(_xlpm.hours,_xlfn._TRO_TRAILING(Sites!$R:$T),_xlpm.type,ISNUMBER(SEARCH($L$4,_xlfn._TRO_TRAILING(Sites!$H:$H))),
_xlpm.states,ISNUMBER(SEARCH(L$5,_xlfn._TRO_TRAILING(Sites!$I:$I))),
_xlpm.years,ISNUMBER(SEARCH($B$5,Sites!$R$3:$T$3)),
SUM(_xlfn._xlws.FILTER(_xlfn._xlws.FILTER(_xlpm.hours,_xlpm.states*_xlpm.type,0),_xlpm.years),0))</f>
        <v>5.49</v>
      </c>
      <c r="M10" s="128" cm="1">
        <f t="array" ref="M10">_xlfn.LET(_xlpm.hours,_xlfn._TRO_TRAILING(Sites!$R:$T),_xlpm.type,ISNUMBER(SEARCH($L$4,_xlfn._TRO_TRAILING(Sites!$H:$H))),
_xlpm.states,ISNUMBER(SEARCH(M$5,_xlfn._TRO_TRAILING(Sites!$I:$I))),
_xlpm.years,ISNUMBER(SEARCH($B$5,Sites!$R$3:$T$3)),
SUM(_xlfn._xlws.FILTER(_xlfn._xlws.FILTER(_xlpm.hours,_xlpm.states*_xlpm.type,0),_xlpm.years),0))</f>
        <v>10</v>
      </c>
      <c r="N10" s="128" cm="1">
        <f t="array" ref="N10">_xlfn.LET(_xlpm.hours,_xlfn._TRO_TRAILING(Sites!$R:$T),_xlpm.type,ISNUMBER(SEARCH($L$4,_xlfn._TRO_TRAILING(Sites!$H:$H))),
_xlpm.states,ISNUMBER(SEARCH(N$5,_xlfn._TRO_TRAILING(Sites!$I:$I))),
_xlpm.years,ISNUMBER(SEARCH($B$5,Sites!$R$3:$T$3)),
SUM(_xlfn._xlws.FILTER(_xlfn._xlws.FILTER(_xlpm.hours,_xlpm.states*_xlpm.type,0),_xlpm.years),0))</f>
        <v>11.73</v>
      </c>
      <c r="O10" s="128" cm="1">
        <f t="array" ref="O10">_xlfn.LET(_xlpm.hours,_xlfn._TRO_TRAILING(Sites!$R:$T),_xlpm.type,ISNUMBER(SEARCH($L$4,_xlfn._TRO_TRAILING(Sites!$H:$H))),
_xlpm.states,ISNUMBER(SEARCH(O$5,_xlfn._TRO_TRAILING(Sites!$I:$I))),
_xlpm.years,ISNUMBER(SEARCH($B$5,Sites!$R$3:$T$3)),
SUM(_xlfn._xlws.FILTER(_xlfn._xlws.FILTER(_xlpm.hours,_xlpm.states*_xlpm.type,0),_xlpm.years),0))</f>
        <v>5.1899999999999995</v>
      </c>
      <c r="Q10" t="str">
        <v>Maryland</v>
      </c>
      <c r="R10" t="str">
        <v>MD-2028-01-Center</v>
      </c>
      <c r="S10">
        <v>2028</v>
      </c>
      <c r="T10">
        <v>6</v>
      </c>
      <c r="V10" t="str">
        <v>Maryland</v>
      </c>
      <c r="W10" t="str">
        <v>MDB2-Remote</v>
      </c>
      <c r="X10">
        <v>2024</v>
      </c>
      <c r="Y10">
        <v>8</v>
      </c>
    </row>
    <row r="11" spans="2:25" x14ac:dyDescent="0.25">
      <c r="Q11" t="str">
        <v>New Jersey</v>
      </c>
      <c r="R11" t="str">
        <v>NJA4-Center</v>
      </c>
      <c r="S11">
        <v>2025</v>
      </c>
      <c r="T11">
        <v>5</v>
      </c>
      <c r="V11" t="str">
        <v>Maryland</v>
      </c>
      <c r="W11" t="str">
        <v>MD-2026-01-Remote</v>
      </c>
      <c r="X11">
        <v>2026</v>
      </c>
      <c r="Y11">
        <v>1</v>
      </c>
    </row>
    <row r="12" spans="2:25" x14ac:dyDescent="0.25">
      <c r="B12" t="s">
        <v>316</v>
      </c>
      <c r="C12" s="133" cm="1">
        <f t="array" ref="C12">_xlfn.XLOOKUP($B$5,_xlfn.ANCHORARRAY('JV1'!$J$20),'JV1'!$J1:$L1,0,0)</f>
        <v>303</v>
      </c>
      <c r="D12" s="133" cm="1">
        <f t="array" ref="D12">_xlfn.XLOOKUP($B$5,_xlfn.ANCHORARRAY('JV2'!$J$20),'JV2'!$J1:$L1,0,0)</f>
        <v>206</v>
      </c>
      <c r="E12" s="133" cm="1">
        <f t="array" ref="E12">_xlfn.XLOOKUP($B$5,_xlfn.ANCHORARRAY('JV2'!$N$20),'JV2'!$N1:$P1,0,0)</f>
        <v>192</v>
      </c>
      <c r="F12" s="133" cm="1">
        <f t="array" ref="F12">_xlfn.XLOOKUP($B$5,_xlfn.ANCHORARRAY('JV2'!$R$20),'JV2'!$R1:$T1,0,0)</f>
        <v>57</v>
      </c>
      <c r="G12" s="128"/>
      <c r="H12" s="172">
        <f t="shared" ref="H12:H14" si="2">SUM(C12)</f>
        <v>303</v>
      </c>
      <c r="I12" s="172">
        <f t="shared" ref="I12:I14" si="3">SUM(D12:F12)</f>
        <v>455</v>
      </c>
      <c r="J12" s="133" cm="1">
        <f t="array" ref="J12">_xlfn.XLOOKUP($B$5,_xlfn.ANCHORARRAY('JV1'!$N$20),'JV1'!$N$1:$P$1,0,0)</f>
        <v>515</v>
      </c>
      <c r="L12" s="133" cm="1">
        <f t="array" ref="L12">_xlfn.LET(_xlpm.hours,_xlfn._TRO_TRAILING(Sites!$AD:$AF),_xlpm.type,ISNUMBER(SEARCH($L$4,_xlfn._TRO_TRAILING(Sites!$H:$H))),
_xlpm.states,ISNUMBER(SEARCH(L$5,_xlfn._TRO_TRAILING(Sites!$I:$I))),
_xlpm.years,ISNUMBER(SEARCH($B$5,Sites!$AD$3:$AF$3)),
SUM(_xlfn._xlws.FILTER(_xlfn._xlws.FILTER(_xlpm.hours,_xlpm.states*_xlpm.type,0),_xlpm.years),0))</f>
        <v>60</v>
      </c>
      <c r="M12" s="133" cm="1">
        <f t="array" ref="M12">_xlfn.LET(_xlpm.hours,_xlfn._TRO_TRAILING(Sites!$AD:$AF),_xlpm.type,ISNUMBER(SEARCH($L$4,_xlfn._TRO_TRAILING(Sites!$H:$H))),
_xlpm.states,ISNUMBER(SEARCH(M$5,_xlfn._TRO_TRAILING(Sites!$I:$I))),
_xlpm.years,ISNUMBER(SEARCH($B$5,Sites!$AD$3:$AF$3)),
SUM(_xlfn._xlws.FILTER(_xlfn._xlws.FILTER(_xlpm.hours,_xlpm.states*_xlpm.type,0),_xlpm.years),0))</f>
        <v>100</v>
      </c>
      <c r="N12" s="133" cm="1">
        <f t="array" ref="N12">_xlfn.LET(_xlpm.hours,_xlfn._TRO_TRAILING(Sites!$AD:$AF),_xlpm.type,ISNUMBER(SEARCH($L$4,_xlfn._TRO_TRAILING(Sites!$H:$H))),
_xlpm.states,ISNUMBER(SEARCH(N$5,_xlfn._TRO_TRAILING(Sites!$I:$I))),
_xlpm.years,ISNUMBER(SEARCH($B$5,Sites!$AD$3:$AF$3)),
SUM(_xlfn._xlws.FILTER(_xlfn._xlws.FILTER(_xlpm.hours,_xlpm.states*_xlpm.type,0),_xlpm.years),0))</f>
        <v>129</v>
      </c>
      <c r="O12" s="133" cm="1">
        <f t="array" ref="O12">_xlfn.LET(_xlpm.hours,_xlfn._TRO_TRAILING(Sites!$AD:$AF),_xlpm.type,ISNUMBER(SEARCH($L$4,_xlfn._TRO_TRAILING(Sites!$H:$H))),
_xlpm.states,ISNUMBER(SEARCH(O$5,_xlfn._TRO_TRAILING(Sites!$I:$I))),
_xlpm.years,ISNUMBER(SEARCH($B$5,Sites!$AD$3:$AF$3)),
SUM(_xlfn._xlws.FILTER(_xlfn._xlws.FILTER(_xlpm.hours,_xlpm.states*_xlpm.type,0),_xlpm.years),0))</f>
        <v>57</v>
      </c>
      <c r="Q12" t="str">
        <v>New Jersey</v>
      </c>
      <c r="R12" t="str">
        <v>NJA1-Center</v>
      </c>
      <c r="S12">
        <v>2025</v>
      </c>
      <c r="T12">
        <v>12</v>
      </c>
      <c r="V12" t="str">
        <v>New Jersey</v>
      </c>
      <c r="W12" t="str">
        <v>NJB2-Remote</v>
      </c>
      <c r="X12">
        <v>2025</v>
      </c>
      <c r="Y12">
        <v>5</v>
      </c>
    </row>
    <row r="13" spans="2:25" x14ac:dyDescent="0.25">
      <c r="B13" t="s">
        <v>317</v>
      </c>
      <c r="C13" s="128" cm="1">
        <f t="array" ref="C13">_xlfn.XLOOKUP($B$5,_xlfn.ANCHORARRAY('JV1'!$J$20),'JV1'!$J12:$L12,0,0)</f>
        <v>335.69047619047615</v>
      </c>
      <c r="D13" s="128" cm="1">
        <f t="array" ref="D13">_xlfn.XLOOKUP($B$5,_xlfn.ANCHORARRAY('JV2'!$J$20),'JV2'!$J12:$L12,0,0)</f>
        <v>208.45238095238093</v>
      </c>
      <c r="E13" s="128" cm="1">
        <f t="array" ref="E13">_xlfn.XLOOKUP($B$5,_xlfn.ANCHORARRAY('JV2'!$N$20),'JV2'!$N12:$P12,0,0)</f>
        <v>146.67487684729065</v>
      </c>
      <c r="F13" s="128" cm="1">
        <f t="array" ref="F13">_xlfn.XLOOKUP($B$5,_xlfn.ANCHORARRAY('JV2'!$R$20),'JV2'!$R12:$T12,0,0)</f>
        <v>54.642857142857146</v>
      </c>
      <c r="G13" s="128"/>
      <c r="H13" s="169">
        <f t="shared" si="2"/>
        <v>335.69047619047615</v>
      </c>
      <c r="I13" s="169">
        <f t="shared" si="3"/>
        <v>409.77011494252878</v>
      </c>
      <c r="J13" s="5" t="s">
        <v>312</v>
      </c>
      <c r="L13" s="128" cm="1">
        <f t="array" ref="L13">_xlfn.LET(_xlpm.hours,_xlfn._TRO_TRAILING(Sites!$AH:$AJ),_xlpm.type,ISNUMBER(SEARCH($L$4,_xlfn._TRO_TRAILING(Sites!$H:$H))),
_xlpm.states,ISNUMBER(SEARCH(L$5,_xlfn._TRO_TRAILING(Sites!$I:$I))),
_xlpm.years,ISNUMBER(SEARCH($B$5,Sites!$AH$3:$AJ$3)),
SUM(_xlfn._xlws.FILTER(_xlfn._xlws.FILTER(_xlpm.hours,_xlpm.states*_xlpm.type,0),_xlpm.years),0))</f>
        <v>70.523809523809533</v>
      </c>
      <c r="M13" s="128" cm="1">
        <f t="array" ref="M13">_xlfn.LET(_xlpm.hours,_xlfn._TRO_TRAILING(Sites!$AH:$AJ),_xlpm.type,ISNUMBER(SEARCH($L$4,_xlfn._TRO_TRAILING(Sites!$H:$H))),
_xlpm.states,ISNUMBER(SEARCH(M$5,_xlfn._TRO_TRAILING(Sites!$I:$I))),
_xlpm.years,ISNUMBER(SEARCH($B$5,Sites!$AH$3:$AJ$3)),
SUM(_xlfn._xlws.FILTER(_xlfn._xlws.FILTER(_xlpm.hours,_xlpm.states*_xlpm.type,0),_xlpm.years),0))</f>
        <v>82.333333333333343</v>
      </c>
      <c r="N13" s="128" cm="1">
        <f t="array" ref="N13">_xlfn.LET(_xlpm.hours,_xlfn._TRO_TRAILING(Sites!$AH:$AJ),_xlpm.type,ISNUMBER(SEARCH($L$4,_xlfn._TRO_TRAILING(Sites!$H:$H))),
_xlpm.states,ISNUMBER(SEARCH(N$5,_xlfn._TRO_TRAILING(Sites!$I:$I))),
_xlpm.years,ISNUMBER(SEARCH($B$5,Sites!$AH$3:$AJ$3)),
SUM(_xlfn._xlws.FILTER(_xlfn._xlws.FILTER(_xlpm.hours,_xlpm.states*_xlpm.type,0),_xlpm.years),0))</f>
        <v>81.103448275862078</v>
      </c>
      <c r="O13" s="128" cm="1">
        <f t="array" ref="O13">_xlfn.LET(_xlpm.hours,_xlfn._TRO_TRAILING(Sites!$AH:$AJ),_xlpm.type,ISNUMBER(SEARCH($L$4,_xlfn._TRO_TRAILING(Sites!$H:$H))),
_xlpm.states,ISNUMBER(SEARCH(O$5,_xlfn._TRO_TRAILING(Sites!$I:$I))),
_xlpm.years,ISNUMBER(SEARCH($B$5,Sites!$AH$3:$AJ$3)),
SUM(_xlfn._xlws.FILTER(_xlfn._xlws.FILTER(_xlpm.hours,_xlpm.states*_xlpm.type,0),_xlpm.years),0))</f>
        <v>54.642857142857146</v>
      </c>
      <c r="Q13" t="str">
        <v>New Jersey</v>
      </c>
      <c r="R13" t="str">
        <v>NJA2-Center</v>
      </c>
      <c r="S13">
        <v>2025</v>
      </c>
      <c r="T13">
        <v>12</v>
      </c>
      <c r="V13" t="str">
        <v>New Jersey</v>
      </c>
      <c r="W13" t="str">
        <v>NJB1-Remote</v>
      </c>
      <c r="X13">
        <v>2026</v>
      </c>
      <c r="Y13">
        <v>4</v>
      </c>
    </row>
    <row r="14" spans="2:25" x14ac:dyDescent="0.25">
      <c r="B14" t="s">
        <v>66</v>
      </c>
      <c r="C14" s="128" cm="1">
        <f t="array" ref="C14">_xlfn.XLOOKUP($B$5,_xlfn.ANCHORARRAY('JV1'!$J$20),'JV1'!$J13:$L13,0,0)</f>
        <v>111.33333333333334</v>
      </c>
      <c r="D14" s="128" cm="1">
        <f t="array" ref="D14">_xlfn.XLOOKUP($B$5,_xlfn.ANCHORARRAY('JV2'!$J$20),'JV2'!$J13:$L13,0,0)</f>
        <v>170.83333333333331</v>
      </c>
      <c r="E14" s="128" cm="1">
        <f t="array" ref="E14">_xlfn.XLOOKUP($B$5,_xlfn.ANCHORARRAY('JV2'!$N$20),'JV2'!$N13:$P13,0,0)</f>
        <v>85</v>
      </c>
      <c r="F14" s="128" cm="1">
        <f t="array" ref="F14">_xlfn.XLOOKUP($B$5,_xlfn.ANCHORARRAY('JV2'!$R$20),'JV2'!$R13:$T13,0,0)</f>
        <v>35</v>
      </c>
      <c r="G14" s="128"/>
      <c r="H14" s="169">
        <f t="shared" si="2"/>
        <v>111.33333333333334</v>
      </c>
      <c r="I14" s="169">
        <f t="shared" si="3"/>
        <v>290.83333333333331</v>
      </c>
      <c r="J14" s="5" t="s">
        <v>312</v>
      </c>
      <c r="L14" s="128" cm="1">
        <f t="array" ref="L14">_xlfn.LET(_xlpm.hours,_xlfn._TRO_TRAILING(Sites!$AL:$AN),_xlpm.type,ISNUMBER(SEARCH($L$4,_xlfn._TRO_TRAILING(Sites!$H:$H))),
_xlpm.states,ISNUMBER(SEARCH(L$5,_xlfn._TRO_TRAILING(Sites!$I:$I))),
_xlpm.years,ISNUMBER(SEARCH($B$5,Sites!$AL$3:$AN$3)),
SUM(_xlfn._xlws.FILTER(_xlfn._xlws.FILTER(_xlpm.hours,_xlpm.states*_xlpm.type,0),_xlpm.years),0))</f>
        <v>33.666666666666664</v>
      </c>
      <c r="M14" s="128" cm="1">
        <f t="array" ref="M14">_xlfn.LET(_xlpm.hours,_xlfn._TRO_TRAILING(Sites!$AL:$AN),_xlpm.type,ISNUMBER(SEARCH($L$4,_xlfn._TRO_TRAILING(Sites!$H:$H))),
_xlpm.states,ISNUMBER(SEARCH(M$5,_xlfn._TRO_TRAILING(Sites!$I:$I))),
_xlpm.years,ISNUMBER(SEARCH($B$5,Sites!$AL$3:$AN$3)),
SUM(_xlfn._xlws.FILTER(_xlfn._xlws.FILTER(_xlpm.hours,_xlpm.states*_xlpm.type,0),_xlpm.years),0))</f>
        <v>59</v>
      </c>
      <c r="N14" s="128" cm="1">
        <f t="array" ref="N14">_xlfn.LET(_xlpm.hours,_xlfn._TRO_TRAILING(Sites!$AL:$AN),_xlpm.type,ISNUMBER(SEARCH($L$4,_xlfn._TRO_TRAILING(Sites!$H:$H))),
_xlpm.states,ISNUMBER(SEARCH(N$5,_xlfn._TRO_TRAILING(Sites!$I:$I))),
_xlpm.years,ISNUMBER(SEARCH($B$5,Sites!$AL$3:$AN$3)),
SUM(_xlfn._xlws.FILTER(_xlfn._xlws.FILTER(_xlpm.hours,_xlpm.states*_xlpm.type,0),_xlpm.years),0))</f>
        <v>48</v>
      </c>
      <c r="O14" s="128" cm="1">
        <f t="array" ref="O14">_xlfn.LET(_xlpm.hours,_xlfn._TRO_TRAILING(Sites!$AL:$AN),_xlpm.type,ISNUMBER(SEARCH($L$4,_xlfn._TRO_TRAILING(Sites!$H:$H))),
_xlpm.states,ISNUMBER(SEARCH(O$5,_xlfn._TRO_TRAILING(Sites!$I:$I))),
_xlpm.years,ISNUMBER(SEARCH($B$5,Sites!$AL$3:$AN$3)),
SUM(_xlfn._xlws.FILTER(_xlfn._xlws.FILTER(_xlpm.hours,_xlpm.states*_xlpm.type,0),_xlpm.years),0))</f>
        <v>35</v>
      </c>
      <c r="Q14" t="str">
        <v>New Jersey</v>
      </c>
      <c r="R14" t="str">
        <v>NJA3-Center</v>
      </c>
      <c r="S14">
        <v>2026</v>
      </c>
      <c r="T14">
        <v>3</v>
      </c>
      <c r="V14" t="str">
        <v>New Jersey</v>
      </c>
      <c r="W14" t="str">
        <v>NJB3-Remote</v>
      </c>
      <c r="X14">
        <v>2026</v>
      </c>
      <c r="Y14">
        <v>5</v>
      </c>
    </row>
    <row r="15" spans="2:25" x14ac:dyDescent="0.25">
      <c r="B15" t="s">
        <v>318</v>
      </c>
      <c r="C15" s="133" cm="1">
        <f t="array" ref="C15">_xlfn.XLOOKUP($B$5,_xlfn.ANCHORARRAY('JV1'!$N$20),'JV1'!$N14:$P14,0,0)</f>
        <v>515</v>
      </c>
      <c r="D15" s="133" cm="1">
        <f t="array" ref="D15">_xlfn.XLOOKUP($B$5,_xlfn.ANCHORARRAY('JV2'!$J$20),'JV2'!$J14:$L14,0,0)</f>
        <v>376.83333333333331</v>
      </c>
      <c r="E15" s="133" cm="1">
        <f t="array" ref="E15">_xlfn.XLOOKUP($B$5,_xlfn.ANCHORARRAY('JV2'!$N$20),'JV2'!$N14:$P14,0,0)</f>
        <v>277</v>
      </c>
      <c r="F15" s="133" cm="1">
        <f t="array" ref="F15">_xlfn.XLOOKUP($B$5,_xlfn.ANCHORARRAY('JV2'!$R$20),'JV2'!$R14:$T14,0,0)</f>
        <v>92</v>
      </c>
      <c r="G15" s="133"/>
      <c r="H15" s="172">
        <f t="shared" ref="H15" si="4">SUM(C15)</f>
        <v>515</v>
      </c>
      <c r="I15" s="172">
        <f t="shared" ref="I15" si="5">SUM(D15:F15)</f>
        <v>745.83333333333326</v>
      </c>
      <c r="J15" s="5" t="s">
        <v>312</v>
      </c>
      <c r="L15" s="133" cm="1">
        <f t="array" ref="L15">_xlfn.LET(_xlpm.hours,_xlfn._TRO_TRAILING(Sites!$AP:$AR),_xlpm.type,ISNUMBER(SEARCH($L$4,_xlfn._TRO_TRAILING(Sites!$H:$H))),
_xlpm.states,ISNUMBER(SEARCH(L$5,_xlfn._TRO_TRAILING(Sites!$I:$I))),
_xlpm.years,ISNUMBER(SEARCH($B$5,Sites!$AP$3:$AR$3)),
SUM(_xlfn._xlws.FILTER(_xlfn._xlws.FILTER(_xlpm.hours,_xlpm.states*_xlpm.type,0),_xlpm.years),0))</f>
        <v>93.666666666666671</v>
      </c>
      <c r="M15" s="133" cm="1">
        <f t="array" ref="M15">_xlfn.LET(_xlpm.hours,_xlfn._TRO_TRAILING(Sites!$AP:$AR),_xlpm.type,ISNUMBER(SEARCH($L$4,_xlfn._TRO_TRAILING(Sites!$H:$H))),
_xlpm.states,ISNUMBER(SEARCH(M$5,_xlfn._TRO_TRAILING(Sites!$I:$I))),
_xlpm.years,ISNUMBER(SEARCH($B$5,Sites!$AP$3:$AR$3)),
SUM(_xlfn._xlws.FILTER(_xlfn._xlws.FILTER(_xlpm.hours,_xlpm.states*_xlpm.type,0),_xlpm.years),0))</f>
        <v>159</v>
      </c>
      <c r="N15" s="133" cm="1">
        <f t="array" ref="N15">_xlfn.LET(_xlpm.hours,_xlfn._TRO_TRAILING(Sites!$AP:$AR),_xlpm.type,ISNUMBER(SEARCH($L$4,_xlfn._TRO_TRAILING(Sites!$H:$H))),
_xlpm.states,ISNUMBER(SEARCH(N$5,_xlfn._TRO_TRAILING(Sites!$I:$I))),
_xlpm.years,ISNUMBER(SEARCH($B$5,Sites!$AP$3:$AR$3)),
SUM(_xlfn._xlws.FILTER(_xlfn._xlws.FILTER(_xlpm.hours,_xlpm.states*_xlpm.type,0),_xlpm.years),0))</f>
        <v>177</v>
      </c>
      <c r="O15" s="133" cm="1">
        <f t="array" ref="O15">_xlfn.LET(_xlpm.hours,_xlfn._TRO_TRAILING(Sites!$AP:$AR),_xlpm.type,ISNUMBER(SEARCH($L$4,_xlfn._TRO_TRAILING(Sites!$H:$H))),
_xlpm.states,ISNUMBER(SEARCH(O$5,_xlfn._TRO_TRAILING(Sites!$I:$I))),
_xlpm.years,ISNUMBER(SEARCH($B$5,Sites!$AP$3:$AR$3)),
SUM(_xlfn._xlws.FILTER(_xlfn._xlws.FILTER(_xlpm.hours,_xlpm.states*_xlpm.type,0),_xlpm.years),0))</f>
        <v>92</v>
      </c>
      <c r="Q15" t="str">
        <v>New Jersey</v>
      </c>
      <c r="R15" t="str">
        <v>NJA6-Center</v>
      </c>
      <c r="S15">
        <v>2026</v>
      </c>
      <c r="T15">
        <v>3</v>
      </c>
      <c r="V15" t="str">
        <v>New Jersey</v>
      </c>
      <c r="W15" t="str">
        <v>NJ-2026-01-Remote</v>
      </c>
      <c r="X15">
        <v>2026</v>
      </c>
      <c r="Y15">
        <v>10</v>
      </c>
    </row>
    <row r="16" spans="2:25" x14ac:dyDescent="0.25">
      <c r="Q16" t="str">
        <v>New Jersey</v>
      </c>
      <c r="R16" t="str">
        <v>NJA5-Center</v>
      </c>
      <c r="S16">
        <v>2026</v>
      </c>
      <c r="T16">
        <v>4</v>
      </c>
      <c r="V16" t="str">
        <v>New Jersey</v>
      </c>
      <c r="W16" t="str">
        <v>NJB4-Remote</v>
      </c>
      <c r="X16">
        <v>2026</v>
      </c>
      <c r="Y16">
        <v>11</v>
      </c>
    </row>
    <row r="17" spans="2:25" x14ac:dyDescent="0.25">
      <c r="B17" t="s">
        <v>319</v>
      </c>
      <c r="C17" s="130">
        <f>SUM(_xlfn.XLOOKUP($B$5,_xlfn.ANCHORARRAY('JV1'!$F$20),'JV1'!$F21:$H25,0,0))</f>
        <v>73006518.334666669</v>
      </c>
      <c r="D17" s="130">
        <f>SUM(_xlfn.XLOOKUP($B$5,_xlfn.ANCHORARRAY('JV2'!$J$20),'JV2'!$J21:$L25,0,0))</f>
        <v>17400241.634639997</v>
      </c>
      <c r="E17" s="130">
        <f>SUM(_xlfn.XLOOKUP($B$5,_xlfn.ANCHORARRAY('JV2'!$N$20),'JV2'!$N21:$P25,0,0))</f>
        <v>11651468.575865066</v>
      </c>
      <c r="F17" s="130">
        <f>SUM(_xlfn.XLOOKUP($B$5,_xlfn.ANCHORARRAY('JV2'!$R$20),'JV2'!$R21:$T25,0,0))</f>
        <v>3026622.7307266658</v>
      </c>
      <c r="G17" s="130"/>
      <c r="H17" s="130">
        <f>SUM(C17)</f>
        <v>73006518.334666669</v>
      </c>
      <c r="I17" s="130">
        <f>SUM(D17:F17)</f>
        <v>32078332.941231728</v>
      </c>
      <c r="J17" s="130">
        <f>SUM(_xlfn.XLOOKUP($B$5,_xlfn.ANCHORARRAY('JV1'!$N$20),'JV1'!$N21:$P25,0,0))</f>
        <v>39682571.096666664</v>
      </c>
      <c r="L17" s="130" cm="1">
        <f t="array" ref="L17">_xlfn.LET(_xlpm.hours,_xlfn._TRO_TRAILING(Sites!$AX:$AZ),_xlpm.type,ISNUMBER(SEARCH($L$4,_xlfn._TRO_TRAILING(Sites!$H:$H))),
_xlpm.states,ISNUMBER(SEARCH(L$5,_xlfn._TRO_TRAILING(Sites!$I:$I))),
_xlpm.years,ISNUMBER(SEARCH($B$5,Sites!$AL$3:$AN$3)),
SUM(_xlfn._xlws.FILTER(_xlfn._xlws.FILTER(_xlpm.hours,_xlpm.states*_xlpm.type,0),_xlpm.years),0))</f>
        <v>3900139.7433333341</v>
      </c>
      <c r="M17" s="130" cm="1">
        <f t="array" ref="M17">_xlfn.LET(_xlpm.hours,_xlfn._TRO_TRAILING(Sites!$AX:$AZ),_xlpm.type,ISNUMBER(SEARCH($L$4,_xlfn._TRO_TRAILING(Sites!$H:$H))),
_xlpm.states,ISNUMBER(SEARCH(M$5,_xlfn._TRO_TRAILING(Sites!$I:$I))),
_xlpm.years,ISNUMBER(SEARCH($B$5,Sites!$AL$3:$AN$3)),
SUM(_xlfn._xlws.FILTER(_xlfn._xlws.FILTER(_xlpm.hours,_xlpm.states*_xlpm.type,0),_xlpm.years),0))</f>
        <v>5514531.2667479981</v>
      </c>
      <c r="N17" s="130" cm="1">
        <f t="array" ref="N17">_xlfn.LET(_xlpm.hours,_xlfn._TRO_TRAILING(Sites!$AX:$AZ),_xlpm.type,ISNUMBER(SEARCH($L$4,_xlfn._TRO_TRAILING(Sites!$H:$H))),
_xlpm.states,ISNUMBER(SEARCH(N$5,_xlfn._TRO_TRAILING(Sites!$I:$I))),
_xlpm.years,ISNUMBER(SEARCH($B$5,Sites!$AL$3:$AN$3)),
SUM(_xlfn._xlws.FILTER(_xlfn._xlws.FILTER(_xlpm.hours,_xlpm.states*_xlpm.type,0),_xlpm.years),0))</f>
        <v>6502953.4289568001</v>
      </c>
      <c r="O17" s="130" cm="1">
        <f t="array" ref="O17">_xlfn.LET(_xlpm.hours,_xlfn._TRO_TRAILING(Sites!$AX:$AZ),_xlpm.type,ISNUMBER(SEARCH($L$4,_xlfn._TRO_TRAILING(Sites!$H:$H))),
_xlpm.states,ISNUMBER(SEARCH(O$5,_xlfn._TRO_TRAILING(Sites!$I:$I))),
_xlpm.years,ISNUMBER(SEARCH($B$5,Sites!$AL$3:$AN$3)),
SUM(_xlfn._xlws.FILTER(_xlfn._xlws.FILTER(_xlpm.hours,_xlpm.states*_xlpm.type,0),_xlpm.years),0))</f>
        <v>3026622.7307266654</v>
      </c>
      <c r="Q17" t="str">
        <v>New Jersey</v>
      </c>
      <c r="R17" t="str">
        <v>NJ-2026-02-Center</v>
      </c>
      <c r="S17">
        <v>2026</v>
      </c>
      <c r="T17">
        <v>7</v>
      </c>
      <c r="V17" t="str">
        <v>New Jersey</v>
      </c>
      <c r="W17" t="str">
        <v>NJ-2026-02-Remote</v>
      </c>
      <c r="X17">
        <v>2027</v>
      </c>
      <c r="Y17">
        <v>2</v>
      </c>
    </row>
    <row r="18" spans="2:25" x14ac:dyDescent="0.25">
      <c r="B18" t="s">
        <v>320</v>
      </c>
      <c r="C18" s="130" cm="1">
        <f t="array" ref="C18">SUM(_xlfn.XLOOKUP($B$5,_xlfn.ANCHORARRAY('JV1'!$F$20),'JV1'!$F26:$H31,0,0),-_xlfn.XLOOKUP($B$5,_xlfn.ANCHORARRAY('JV1'!$F$20),'JV1'!$F30:$H30,0,0))</f>
        <v>1995184.8583333334</v>
      </c>
      <c r="D18" s="130" cm="1">
        <f t="array" ref="D18">SUM(_xlfn.XLOOKUP($B$5,_xlfn.ANCHORARRAY('JV2'!$J$20),'JV2'!$J26:$L31,0,0),-_xlfn.XLOOKUP($B$5,_xlfn.ANCHORARRAY('JV2'!$J$20),'JV2'!$J30:$L30,0,0))</f>
        <v>749842.7845999999</v>
      </c>
      <c r="E18" s="130" cm="1">
        <f t="array" ref="E18">SUM(_xlfn.XLOOKUP($B$5,_xlfn.ANCHORARRAY('JV2'!$N$20),'JV2'!$N26:$P31,0,0),-_xlfn.XLOOKUP($B$5,_xlfn.ANCHORARRAY('JV2'!$N$20),'JV2'!$N30:$P30,0,0))</f>
        <v>451470.1403333334</v>
      </c>
      <c r="F18" s="130" cm="1">
        <f t="array" ref="F18">SUM(_xlfn.XLOOKUP($B$5,_xlfn.ANCHORARRAY('JV2'!$R$20),'JV2'!$R26:$T31,0,0),-_xlfn.XLOOKUP($B$5,_xlfn.ANCHORARRAY('JV2'!$R$20),'JV2'!$R30:$T30,0,0))</f>
        <v>0</v>
      </c>
      <c r="G18" s="130"/>
      <c r="H18" s="130">
        <f t="shared" ref="H18:H19" si="6">SUM(C18)</f>
        <v>1995184.8583333334</v>
      </c>
      <c r="I18" s="130">
        <f t="shared" ref="I18:I19" si="7">SUM(D18:F18)</f>
        <v>1201312.9249333334</v>
      </c>
      <c r="J18" s="130" cm="1">
        <f t="array" ref="J18">SUM(_xlfn.XLOOKUP($B$5,_xlfn.ANCHORARRAY('JV1'!$N$20),'JV1'!$N26:$P31,0,0),-_xlfn.XLOOKUP($B$5,_xlfn.ANCHORARRAY('JV1'!$N$20),'JV1'!$N30:$P30,0,0))</f>
        <v>0</v>
      </c>
      <c r="L18" s="130" cm="1">
        <f t="array" ref="L18">_xlfn.LET(_xlpm.hours,_xlfn._TRO_TRAILING(Sites!$CT:$CV),_xlpm.type,ISNUMBER(SEARCH($L$4,_xlfn._TRO_TRAILING(Sites!$H:$H))),
_xlpm.states,ISNUMBER(SEARCH(L$5,_xlfn._TRO_TRAILING(Sites!$I:$I))),
_xlpm.years,ISNUMBER(SEARCH($B$5,Sites!$AL$3:$AN$3)),
SUM(_xlfn._xlws.FILTER(_xlfn._xlws.FILTER(_xlpm.hours,_xlpm.states*_xlpm.type,0),_xlpm.years),0))</f>
        <v>0</v>
      </c>
      <c r="M18" s="130" cm="1">
        <f t="array" ref="M18">_xlfn.LET(_xlpm.hours,_xlfn._TRO_TRAILING(Sites!$CT:$CV),_xlpm.type,ISNUMBER(SEARCH($L$4,_xlfn._TRO_TRAILING(Sites!$H:$H))),
_xlpm.states,ISNUMBER(SEARCH(M$5,_xlfn._TRO_TRAILING(Sites!$I:$I))),
_xlpm.years,ISNUMBER(SEARCH($B$5,Sites!$AL$3:$AN$3)),
SUM(_xlfn._xlws.FILTER(_xlfn._xlws.FILTER(_xlpm.hours,_xlpm.states*_xlpm.type,0),_xlpm.years),0))</f>
        <v>0</v>
      </c>
      <c r="N18" s="130" cm="1">
        <f t="array" ref="N18">_xlfn.LET(_xlpm.hours,_xlfn._TRO_TRAILING(Sites!$CT:$CV),_xlpm.type,ISNUMBER(SEARCH($L$4,_xlfn._TRO_TRAILING(Sites!$H:$H))),
_xlpm.states,ISNUMBER(SEARCH(N$5,_xlfn._TRO_TRAILING(Sites!$I:$I))),
_xlpm.years,ISNUMBER(SEARCH($B$5,Sites!$AL$3:$AN$3)),
SUM(_xlfn._xlws.FILTER(_xlfn._xlws.FILTER(_xlpm.hours,_xlpm.states*_xlpm.type,0),_xlpm.years),0))</f>
        <v>0</v>
      </c>
      <c r="O18" s="130" cm="1">
        <f t="array" ref="O18">_xlfn.LET(_xlpm.hours,_xlfn._TRO_TRAILING(Sites!$CT:$CV),_xlpm.type,ISNUMBER(SEARCH($L$4,_xlfn._TRO_TRAILING(Sites!$H:$H))),
_xlpm.states,ISNUMBER(SEARCH(O$5,_xlfn._TRO_TRAILING(Sites!$I:$I))),
_xlpm.years,ISNUMBER(SEARCH($B$5,Sites!$AL$3:$AN$3)),
SUM(_xlfn._xlws.FILTER(_xlfn._xlws.FILTER(_xlpm.hours,_xlpm.states*_xlpm.type,0),_xlpm.years),0))</f>
        <v>0</v>
      </c>
      <c r="Q18" t="str">
        <v>New Jersey</v>
      </c>
      <c r="R18" t="str">
        <v>NJ-2026-01-Center</v>
      </c>
      <c r="S18">
        <v>2026</v>
      </c>
      <c r="T18">
        <v>9</v>
      </c>
      <c r="V18" t="str">
        <v>New Jersey</v>
      </c>
      <c r="W18" t="str">
        <v>NJ-2027-01-Remote</v>
      </c>
      <c r="X18">
        <v>2027</v>
      </c>
      <c r="Y18">
        <v>6</v>
      </c>
    </row>
    <row r="19" spans="2:25" x14ac:dyDescent="0.25">
      <c r="B19" t="str">
        <f>"Less Cancellations ("&amp;TEXT(Base!E26,"#.0%")&amp;")"</f>
        <v>Less Cancellations (12.0%)</v>
      </c>
      <c r="C19" s="130">
        <f>SUM(_xlfn.XLOOKUP($B$5,_xlfn.ANCHORARRAY('JV1'!$F$20),'JV1'!$F30:$H30,0,0))</f>
        <v>-9000204.3831599988</v>
      </c>
      <c r="D19" s="130">
        <f>SUM(_xlfn.XLOOKUP($B$5,_xlfn.ANCHORARRAY('JV1'!$N$20),'JV2'!$J30:$L30,0,0))</f>
        <v>-2178010.1303087994</v>
      </c>
      <c r="E19" s="130">
        <f>SUM(_xlfn.XLOOKUP($B$5,_xlfn.ANCHORARRAY('JV1'!$N$20),'JV2'!$N30:$P30,0,0))</f>
        <v>-1452352.6459438079</v>
      </c>
      <c r="F19" s="130">
        <f>SUM(_xlfn.XLOOKUP($B$5,_xlfn.ANCHORARRAY('JV1'!$N$20),'JV2'!$R30:$T30,0,0))</f>
        <v>-363194.72768719989</v>
      </c>
      <c r="G19" s="130"/>
      <c r="H19" s="130">
        <f t="shared" si="6"/>
        <v>-9000204.3831599988</v>
      </c>
      <c r="I19" s="130">
        <f t="shared" si="7"/>
        <v>-3993557.5039398074</v>
      </c>
      <c r="J19" s="130" cm="1">
        <f t="array" ref="J19">_xlfn.XLOOKUP($B$5,_xlfn.ANCHORARRAY('JV1'!$N$20),'JV1'!$N30:$P30,0,0)</f>
        <v>-4761908.5315999985</v>
      </c>
      <c r="L19" s="130">
        <f>SUM(_xlfn.XLOOKUP($B$5,'JV1'!$R$20:$T$20,'JV1'!$R30:$T30,0,0))</f>
        <v>-468016.76919999992</v>
      </c>
      <c r="M19" s="130">
        <f>SUM(_xlfn.XLOOKUP($B$5,'JV2'!$V$20:$X$20,'JV2'!$V30:$X30,0,0))</f>
        <v>-661743.75200975989</v>
      </c>
      <c r="N19" s="130">
        <f>SUM(_xlfn.XLOOKUP($B$5,'JV2'!$Z$20:$AB$20,'JV2'!$Z30:$AB30,0,0))</f>
        <v>-780354.41147481604</v>
      </c>
      <c r="O19" s="130">
        <f>SUM(_xlfn.XLOOKUP($B$5,'JV2'!$AD$20:$AF$20,'JV2'!$AD30:$AF30,0,0))</f>
        <v>-363194.72768719989</v>
      </c>
      <c r="Q19" t="str">
        <v>New Jersey</v>
      </c>
      <c r="R19" t="str">
        <v>NJA7-Center</v>
      </c>
      <c r="S19">
        <v>2026</v>
      </c>
      <c r="T19">
        <v>11</v>
      </c>
      <c r="V19" t="str">
        <v>New Jersey</v>
      </c>
      <c r="W19" t="str">
        <v>NJ-2027-02-Remote</v>
      </c>
      <c r="X19">
        <v>2027</v>
      </c>
      <c r="Y19">
        <v>10</v>
      </c>
    </row>
    <row r="20" spans="2:25" x14ac:dyDescent="0.25">
      <c r="B20" t="s">
        <v>20</v>
      </c>
      <c r="C20" s="131">
        <f>SUM(C17:C19)</f>
        <v>66001498.809840009</v>
      </c>
      <c r="D20" s="131">
        <f t="shared" ref="D20:F20" si="8">SUM(D17:D19)</f>
        <v>15972074.288931198</v>
      </c>
      <c r="E20" s="131">
        <f t="shared" si="8"/>
        <v>10650586.070254592</v>
      </c>
      <c r="F20" s="131">
        <f t="shared" si="8"/>
        <v>2663428.0030394658</v>
      </c>
      <c r="G20" s="130"/>
      <c r="H20" s="131">
        <f t="shared" ref="H20" si="9">SUM(H17:H19)</f>
        <v>66001498.809840009</v>
      </c>
      <c r="I20" s="131">
        <f t="shared" ref="I20" si="10">SUM(I17:I19)</f>
        <v>29286088.362225253</v>
      </c>
      <c r="J20" s="131">
        <f>SUM(J17:J19)</f>
        <v>34920662.565066665</v>
      </c>
      <c r="L20" s="131">
        <f t="shared" ref="L20:O20" si="11">SUM(L17:L19)</f>
        <v>3432122.9741333341</v>
      </c>
      <c r="M20" s="131">
        <f t="shared" si="11"/>
        <v>4852787.5147382384</v>
      </c>
      <c r="N20" s="131">
        <f t="shared" si="11"/>
        <v>5722599.0174819846</v>
      </c>
      <c r="O20" s="131">
        <f t="shared" si="11"/>
        <v>2663428.0030394653</v>
      </c>
      <c r="Q20" t="str">
        <v>New Jersey</v>
      </c>
      <c r="R20" t="str">
        <v>NJ-2027-01-Center</v>
      </c>
      <c r="S20">
        <v>2027</v>
      </c>
      <c r="T20">
        <v>3</v>
      </c>
      <c r="V20" t="str">
        <v>New Jersey</v>
      </c>
      <c r="W20" t="str">
        <v>NJ-2027-04-Remote</v>
      </c>
      <c r="X20">
        <v>2028</v>
      </c>
      <c r="Y20">
        <v>3</v>
      </c>
    </row>
    <row r="21" spans="2:25" x14ac:dyDescent="0.25">
      <c r="H21" s="130"/>
      <c r="J21" s="67"/>
      <c r="Q21" t="str">
        <v>New Jersey</v>
      </c>
      <c r="R21" t="str">
        <v>NJ-2027-05-Center</v>
      </c>
      <c r="S21">
        <v>2027</v>
      </c>
      <c r="T21">
        <v>7</v>
      </c>
      <c r="V21" t="str">
        <v>New Jersey</v>
      </c>
      <c r="W21" t="str">
        <v>NJ-2028-01-Remote</v>
      </c>
      <c r="X21">
        <v>2028</v>
      </c>
      <c r="Y21">
        <v>6</v>
      </c>
    </row>
    <row r="22" spans="2:25" x14ac:dyDescent="0.25">
      <c r="B22" t="s">
        <v>55</v>
      </c>
      <c r="C22" s="127" cm="1">
        <f t="array" ref="C22">_xlfn.XLOOKUP($B$5,_xlfn.ANCHORARRAY('JV1'!$F$20),'JV1'!$F18:$H18,0,0)</f>
        <v>407617.02666666661</v>
      </c>
      <c r="D22" s="127" cm="1">
        <f t="array" ref="D22">_xlfn.XLOOKUP($B$5,_xlfn.ANCHORARRAY('JV2'!$J$20),'JV2'!$J18:$L18,0,0)</f>
        <v>173195.14666666667</v>
      </c>
      <c r="E22" s="127" cm="1">
        <f t="array" ref="E22">_xlfn.XLOOKUP($B$5,_xlfn.ANCHORARRAY('JV2'!$N$20),'JV2'!$N18:$P18,0,0)</f>
        <v>123026.93333333331</v>
      </c>
      <c r="F22" s="127" cm="1">
        <f t="array" ref="F22">_xlfn.XLOOKUP($B$5,_xlfn.ANCHORARRAY('JV2'!$R$20),'JV2'!$R18:$T18,0,0)</f>
        <v>29169.066666666669</v>
      </c>
      <c r="G22" s="127"/>
      <c r="H22" s="127">
        <f>SUM(C22)</f>
        <v>407617.02666666661</v>
      </c>
      <c r="I22" s="127">
        <f>SUM(D22:F22)</f>
        <v>325391.14666666661</v>
      </c>
      <c r="J22" s="127" cm="1">
        <f t="array" ref="J22">_xlfn.LET(_xlpm.hours,_xlfn._TRO_TRAILING(Sites!$J:$L),_xlpm.type,ISNUMBER(SEARCH($J$5,_xlfn._TRO_TRAILING(Sites!$H:$H))),
_xlpm.states,ISNUMBER(SEARCH($J$5,_xlfn._TRO_TRAILING(Sites!$I:$I))),
_xlpm.years,ISNUMBER(SEARCH($B$5,Sites!$J$3:$L$3)),
SUM(_xlfn._xlws.FILTER(_xlfn._xlws.FILTER(_xlpm.hours,_xlpm.states*_xlpm.type,0),_xlpm.years),0))</f>
        <v>219206.82666666666</v>
      </c>
      <c r="L22" s="127" cm="1">
        <f t="array" ref="L22:O22">_xlfn.LET(_xlpm.Remote_hours,_xlfn._xlws.FILTER(_xlfn.ANCHORARRAY(Sites!$J$4),_xlfn.ANCHORARRAY(Sites!$J$3)=$B$5,0),_xlpm.states,L5:O5,
_xlfn.BYCOL(_xlpm.states,_xlfn.LAMBDA(_xlpm.col,SUM(_xlfn._xlws.FILTER(_xlpm.Remote_hours,(_xlfn.ANCHORARRAY(Sites!$I$4)=_xlpm.col)*ISNUMBER(SEARCH($L$4,_xlfn.ANCHORARRAY(Sites!$H$4))),0)))))</f>
        <v>21544.013333333336</v>
      </c>
      <c r="M22" s="127">
        <v>53794.986666666671</v>
      </c>
      <c r="N22" s="127">
        <v>70625.279999999999</v>
      </c>
      <c r="O22" s="127">
        <v>29169.066666666669</v>
      </c>
      <c r="Q22" t="str">
        <v>New Jersey</v>
      </c>
      <c r="R22" t="str">
        <v>NJ-2027-02-Center</v>
      </c>
      <c r="S22">
        <v>2027</v>
      </c>
      <c r="T22">
        <v>8</v>
      </c>
      <c r="V22" t="str">
        <v>New Jersey</v>
      </c>
      <c r="W22" t="str">
        <v>NJ-2028-02-Remote</v>
      </c>
      <c r="X22">
        <v>2028</v>
      </c>
      <c r="Y22">
        <v>9</v>
      </c>
    </row>
    <row r="23" spans="2:25" x14ac:dyDescent="0.25">
      <c r="B23" t="s">
        <v>64</v>
      </c>
      <c r="C23" s="71" cm="1">
        <f t="array" ref="C23">_xlfn.XLOOKUP($B$5,_xlfn.ANCHORARRAY('JV1'!$F$20),'JV1'!$F16:$H16,0,0)</f>
        <v>179.105664284158</v>
      </c>
      <c r="D23" s="71" cm="1">
        <f t="array" ref="D23">_xlfn.XLOOKUP($B$5,_xlfn.ANCHORARRAY('JV2'!$J$20),'JV2'!$J16:$L16,0,0)</f>
        <v>100.46610410006868</v>
      </c>
      <c r="E23" s="71" cm="1">
        <f t="array" ref="E23">_xlfn.XLOOKUP($B$5,_xlfn.ANCHORARRAY('JV2'!$N$20),'JV2'!$N16:$P16,0,0)</f>
        <v>94.706648862783453</v>
      </c>
      <c r="F23" s="71" cm="1">
        <f t="array" ref="F23">_xlfn.XLOOKUP($B$5,_xlfn.ANCHORARRAY('JV2'!$R$20),'JV2'!$R16:$T16,0,0)</f>
        <v>103.7613841167355</v>
      </c>
      <c r="G23" s="71"/>
      <c r="H23" s="71" cm="1">
        <f t="array" ref="H23">_xlfn.XLOOKUP($B$5,_xlfn.ANCHORARRAY('JV1'!$J$20),'JV1'!$J$16:$L$16,0,0)</f>
        <v>176.86912512167601</v>
      </c>
      <c r="I23" s="71" cm="1">
        <f t="array" ref="I23">_xlfn.XLOOKUP($B$5,_xlfn.ANCHORARRAY('JV2'!$F$20),'JV2'!$F$16:$H$16,0,0)</f>
        <v>98.583914374575897</v>
      </c>
      <c r="J23" s="71" cm="1">
        <f t="array" ref="J23">_xlfn.XLOOKUP($B$5,_xlfn.ANCHORARRAY('JV1'!$N$20),'JV1'!$N$16:$P$16,0,0)</f>
        <v>181.02798941115702</v>
      </c>
      <c r="L23" s="71">
        <f t="shared" ref="L23:O23" si="12">L17/L22</f>
        <v>181.03125369398833</v>
      </c>
      <c r="M23" s="71">
        <f t="shared" si="12"/>
        <v>102.51013353564045</v>
      </c>
      <c r="N23" s="71">
        <f t="shared" si="12"/>
        <v>92.076851645144629</v>
      </c>
      <c r="O23" s="71">
        <f t="shared" si="12"/>
        <v>103.76138411673548</v>
      </c>
      <c r="Q23" t="str">
        <v>New Jersey</v>
      </c>
      <c r="R23" t="str">
        <v>NJ-2027-03-Center</v>
      </c>
      <c r="S23">
        <v>2027</v>
      </c>
      <c r="T23">
        <v>11</v>
      </c>
      <c r="V23" t="str">
        <v>New Jersey</v>
      </c>
      <c r="W23" t="str">
        <v>NJ-2028-06-Remote</v>
      </c>
      <c r="X23">
        <v>2028</v>
      </c>
      <c r="Y23">
        <v>12</v>
      </c>
    </row>
    <row r="24" spans="2:25" x14ac:dyDescent="0.25">
      <c r="B24" t="s">
        <v>321</v>
      </c>
      <c r="C24" s="132">
        <f>C20/C22</f>
        <v>161.92036762932739</v>
      </c>
      <c r="D24" s="132">
        <f t="shared" ref="D24:I24" si="13">D20/D22</f>
        <v>92.2201031399063</v>
      </c>
      <c r="E24" s="132">
        <f t="shared" si="13"/>
        <v>86.571174146050907</v>
      </c>
      <c r="F24" s="132">
        <f t="shared" si="13"/>
        <v>91.310018022727235</v>
      </c>
      <c r="G24" s="71"/>
      <c r="H24" s="132">
        <f t="shared" si="13"/>
        <v>161.92036762932739</v>
      </c>
      <c r="I24" s="132">
        <f t="shared" si="13"/>
        <v>90.002720302117396</v>
      </c>
      <c r="J24" s="132">
        <f>J20/J22</f>
        <v>159.30463068181817</v>
      </c>
      <c r="L24" s="132">
        <f t="shared" ref="L24:O24" si="14">L20/L22</f>
        <v>159.30750325070971</v>
      </c>
      <c r="M24" s="132">
        <f t="shared" si="14"/>
        <v>90.208917511363595</v>
      </c>
      <c r="N24" s="132">
        <f t="shared" si="14"/>
        <v>81.027629447727278</v>
      </c>
      <c r="O24" s="132">
        <f t="shared" si="14"/>
        <v>91.31001802272722</v>
      </c>
      <c r="Q24" t="str">
        <v>New Jersey</v>
      </c>
      <c r="R24" t="str">
        <v>NJ-2027-04-Center</v>
      </c>
      <c r="S24">
        <v>2027</v>
      </c>
      <c r="T24">
        <v>12</v>
      </c>
      <c r="V24" t="str">
        <v>North Carolina</v>
      </c>
      <c r="W24" t="str">
        <v>GBB1-Remote</v>
      </c>
      <c r="X24">
        <v>2023</v>
      </c>
      <c r="Y24">
        <v>2</v>
      </c>
    </row>
    <row r="25" spans="2:25" x14ac:dyDescent="0.25">
      <c r="C25" s="71"/>
      <c r="D25" s="71"/>
      <c r="E25" s="71"/>
      <c r="F25" s="71"/>
      <c r="G25" s="71"/>
      <c r="H25" s="71"/>
      <c r="I25" s="71"/>
      <c r="Q25" t="str">
        <v>New Jersey</v>
      </c>
      <c r="R25" t="str">
        <v>NJ-2028-01-Center</v>
      </c>
      <c r="S25">
        <v>2028</v>
      </c>
      <c r="T25">
        <v>7</v>
      </c>
    </row>
    <row r="26" spans="2:25" x14ac:dyDescent="0.25">
      <c r="B26" t="s">
        <v>322</v>
      </c>
      <c r="C26" s="129">
        <f>-SUM(_xlfn.CHOOSEROWS(_xlfn.XLOOKUP($B$5,_xlfn.ANCHORARRAY('JV1'!$F$20),'JV1'!$F35:$H44,0,0),{1,2,7}))/C$22</f>
        <v>-88.992158635933436</v>
      </c>
      <c r="D26" s="129">
        <f>-SUM(_xlfn.CHOOSEROWS(_xlfn.XLOOKUP($B$5,_xlfn.ANCHORARRAY('JV2'!$J$20),'JV2'!$J35:$L44,0,0),{1,2,7}))/D$22</f>
        <v>-57.0598407425178</v>
      </c>
      <c r="E26" s="129">
        <f>-SUM(_xlfn.CHOOSEROWS(_xlfn.XLOOKUP($B$5,_xlfn.ANCHORARRAY('JV2'!$N$20),'JV2'!$N35:$P44,0,0),{1,2,7}))/E$22</f>
        <v>-52.043496240761627</v>
      </c>
      <c r="F26" s="129">
        <f>-SUM(_xlfn.CHOOSEROWS(_xlfn.XLOOKUP($B$5,_xlfn.ANCHORARRAY('JV2'!$R$20),'JV2'!$R35:$T44,0,0),{1,2,7}))/F$22</f>
        <v>-56.831786558426195</v>
      </c>
      <c r="G26" s="129"/>
      <c r="H26" s="129">
        <f>SUM(C26)</f>
        <v>-88.992158635933436</v>
      </c>
      <c r="I26" s="129">
        <f>(D26*$D$22+E26*$E$22+F26*$F$22)/$I$22</f>
        <v>-55.142770734055055</v>
      </c>
      <c r="J26" s="134">
        <f>-MS!C41</f>
        <v>-90</v>
      </c>
      <c r="L26" s="129">
        <f>-SUM(_xlfn.CHOOSEROWS(_xlfn.XLOOKUP($B$5,'JV1'!$R$20:$T$20,'JV1'!$R$35:$T$44,0,0),{1,2,7}))/L$22</f>
        <v>-78.812144519621555</v>
      </c>
      <c r="M26" s="129">
        <f>-SUM(_xlfn.CHOOSEROWS(_xlfn.XLOOKUP($B$5,'JV2'!$V$20:$X$20,'JV2'!$V$35:$X$44,0,0),{1,2,7}))/M$22</f>
        <v>-47.832230634994076</v>
      </c>
      <c r="N26" s="129">
        <f>-SUM(_xlfn.CHOOSEROWS(_xlfn.XLOOKUP($B$5,'JV2'!$Z$20:$AB$20,'JV2'!$Z$35:$AB$44,0,0),{1,2,7}))/N$22</f>
        <v>-40.22894327259295</v>
      </c>
      <c r="O26" s="129">
        <f>-SUM(_xlfn.CHOOSEROWS(_xlfn.XLOOKUP($B$5,'JV2'!$AD$20:$AF$20,'JV2'!$AD$35:$AF$44,0,0),{1,2,7}))/O$22</f>
        <v>-56.831786558426195</v>
      </c>
      <c r="Q26" t="str">
        <v>New Jersey</v>
      </c>
      <c r="R26" t="str">
        <v>NJ-2028-02-Center</v>
      </c>
      <c r="S26">
        <v>2028</v>
      </c>
      <c r="T26">
        <v>8</v>
      </c>
    </row>
    <row r="27" spans="2:25" x14ac:dyDescent="0.25">
      <c r="B27" t="s">
        <v>323</v>
      </c>
      <c r="C27" s="129">
        <f>-SUM(_xlfn.CHOOSEROWS(_xlfn.XLOOKUP($B$5,_xlfn.ANCHORARRAY('JV1'!$F$20),'JV1'!$F36:$H45,0,0),{3,4,5,6,8,9}))/C$22</f>
        <v>-18.590191886960479</v>
      </c>
      <c r="D27" s="129">
        <f>-SUM(_xlfn.CHOOSEROWS(_xlfn.XLOOKUP($B$5,_xlfn.ANCHORARRAY('JV2'!$J$20),'JV2'!$J35:$L44,0,0),{3,4,5,6,8,9}))/D$22</f>
        <v>-5.4034966868971539</v>
      </c>
      <c r="E27" s="129">
        <f>-SUM(_xlfn.CHOOSEROWS(_xlfn.XLOOKUP($B$5,_xlfn.ANCHORARRAY('JV2'!$N$20),'JV2'!$N35:$P44,0,0),{3,4,5,6,8,9}))/E$22</f>
        <v>-6.0996348496047492</v>
      </c>
      <c r="F27" s="129">
        <f>-SUM(_xlfn.CHOOSEROWS(_xlfn.XLOOKUP($B$5,_xlfn.ANCHORARRAY('JV2'!$R$20),'JV2'!$R35:$T44,0,0),{3,4,5,6,8,9}))/F$22</f>
        <v>-6.1230896771922758</v>
      </c>
      <c r="G27" s="129"/>
      <c r="H27" s="129">
        <f>SUM(C27)</f>
        <v>-18.590191886960479</v>
      </c>
      <c r="I27" s="129">
        <f>(D27*$D$22+E27*$E$22+F27*$F$22)/$I$22</f>
        <v>-5.7312056621823277</v>
      </c>
      <c r="J27" s="134">
        <v>0</v>
      </c>
      <c r="L27" s="129">
        <f>-SUM(_xlfn.CHOOSEROWS(_xlfn.XLOOKUP($B$5,'JV1'!$R$20:$T$20,'JV1'!$R$35:$T$44,0,0),{3,4,5,6,8,9}))/L$22</f>
        <v>-1.3894230910860927</v>
      </c>
      <c r="M27" s="129">
        <f>-SUM(_xlfn.CHOOSEROWS(_xlfn.XLOOKUP($B$5,'JV2'!$V$20:$X$20,'JV2'!$V$35:$X$44,0,0),{3,4,5,6,8,9}))/M$22</f>
        <v>-0.6909792734093686</v>
      </c>
      <c r="N27" s="129">
        <f>-SUM(_xlfn.CHOOSEROWS(_xlfn.XLOOKUP($B$5,'JV2'!$Z$20:$AB$20,'JV2'!$Z$35:$AB$44,0,0),{3,4,5,6,8,9}))/N$22</f>
        <v>-0.32727776796070762</v>
      </c>
      <c r="O27" s="129">
        <f>-SUM(_xlfn.CHOOSEROWS(_xlfn.XLOOKUP($B$5,'JV2'!$AD$20:$AF$20,'JV2'!$AD$35:$AF$44,0,0),{3,4,5,6,8,9}))/O$22</f>
        <v>-6.1230896771922758</v>
      </c>
      <c r="Q27" t="str">
        <v>New Jersey</v>
      </c>
      <c r="R27" t="str">
        <v>NJ-2028-03-Center</v>
      </c>
      <c r="S27">
        <v>2028</v>
      </c>
      <c r="T27">
        <v>9</v>
      </c>
    </row>
    <row r="28" spans="2:25" x14ac:dyDescent="0.25">
      <c r="B28" t="s">
        <v>324</v>
      </c>
      <c r="C28" s="129" cm="1">
        <f t="array" ref="C28">-_xlfn.XLOOKUP($B$5,_xlfn.ANCHORARRAY('JV1'!$F$20),'JV1'!$F$44:$H44,0,0)/$C$22</f>
        <v>-10.521933703306587</v>
      </c>
      <c r="D28" s="129" cm="1">
        <f t="array" ref="D28">-_xlfn.XLOOKUP($B$5,_xlfn.ANCHORARRAY('JV2'!$J$20),'JV2'!$J$44:$L44,0,0)/D$22</f>
        <v>-14.097985411214136</v>
      </c>
      <c r="E28" s="129" cm="1">
        <f t="array" ref="E28">-_xlfn.XLOOKUP($B$5,_xlfn.ANCHORARRAY('JV2'!$N$20),'JV2'!$N$44:$P44,0,0)/E$22</f>
        <v>-12.617057059575727</v>
      </c>
      <c r="F28" s="129" cm="1">
        <f t="array" ref="F28">-_xlfn.XLOOKUP($B$5,_xlfn.ANCHORARRAY('JV2'!$R$20),'JV2'!$R$44:$T44,0,0)/F$22</f>
        <v>-14.274565554280811</v>
      </c>
      <c r="G28" s="129"/>
      <c r="H28" s="129">
        <f>SUM(C28)</f>
        <v>-10.521933703306587</v>
      </c>
      <c r="I28" s="129">
        <f>(D28*$D$22+E28*$E$22+F28*$F$22)/$I$22</f>
        <v>-13.553891334171821</v>
      </c>
      <c r="J28" s="134">
        <f>-J24*MS!$C$49</f>
        <v>0</v>
      </c>
      <c r="L28" s="129">
        <f>-SUM(_xlfn.XLOOKUP($B$5,'JV1'!$R$20:$T$20,'JV1'!$R44:$T44,0,0))/L$22</f>
        <v>-23.587150824927217</v>
      </c>
      <c r="M28" s="129">
        <f>-SUM(_xlfn.XLOOKUP($B$5,'JV2'!$V$20:$X$20,'JV2'!$V44:$X44,0,0))/M$22</f>
        <v>-14.234041569688937</v>
      </c>
      <c r="N28" s="129">
        <f>-SUM(_xlfn.XLOOKUP($B$5,'JV2'!$Z$20:$AB$20,'JV2'!$Z44:$AB44,0,0))/N$22</f>
        <v>-12.817207107951083</v>
      </c>
      <c r="O28" s="129">
        <f>-SUM(_xlfn.XLOOKUP($B$5,'JV2'!$AD$20:$AF$20,'JV2'!$AD44:$AF44,0,0))/O$22</f>
        <v>-14.274565554280811</v>
      </c>
      <c r="Q28" t="str">
        <v>New Jersey</v>
      </c>
      <c r="R28" t="str">
        <v>NJ-2028-04-Center</v>
      </c>
      <c r="S28">
        <v>2028</v>
      </c>
      <c r="T28">
        <v>10</v>
      </c>
    </row>
    <row r="29" spans="2:25" x14ac:dyDescent="0.25">
      <c r="C29" s="132">
        <f t="shared" ref="C29" si="15">SUM(C26:C28)</f>
        <v>-118.10428422620051</v>
      </c>
      <c r="D29" s="132">
        <f>SUM(D26:D28)</f>
        <v>-76.561322840629089</v>
      </c>
      <c r="E29" s="132">
        <f t="shared" ref="E29:F29" si="16">SUM(E26:E28)</f>
        <v>-70.760188149942095</v>
      </c>
      <c r="F29" s="132">
        <f t="shared" si="16"/>
        <v>-77.229441789899283</v>
      </c>
      <c r="G29" s="71"/>
      <c r="H29" s="132">
        <f t="shared" ref="H29:J29" si="17">SUM(H26:H28)</f>
        <v>-118.10428422620051</v>
      </c>
      <c r="I29" s="132">
        <f t="shared" si="17"/>
        <v>-74.427867730409204</v>
      </c>
      <c r="J29" s="132">
        <f t="shared" si="17"/>
        <v>-90</v>
      </c>
      <c r="Q29" t="str">
        <v>New Jersey</v>
      </c>
      <c r="R29" t="str">
        <v>NJ-2028-05-Center</v>
      </c>
      <c r="S29">
        <v>2028</v>
      </c>
      <c r="T29">
        <v>11</v>
      </c>
    </row>
    <row r="30" spans="2:25" x14ac:dyDescent="0.25">
      <c r="C30" s="71"/>
      <c r="D30" s="132"/>
      <c r="E30" s="71"/>
      <c r="F30" s="71"/>
      <c r="G30" s="71"/>
      <c r="H30" s="71"/>
      <c r="I30" s="71"/>
      <c r="Q30" t="str">
        <v>North Carolina</v>
      </c>
      <c r="R30" t="str">
        <v>GBA1-Center</v>
      </c>
      <c r="S30">
        <v>2025</v>
      </c>
      <c r="T30">
        <v>2</v>
      </c>
    </row>
    <row r="31" spans="2:25" x14ac:dyDescent="0.25">
      <c r="B31" s="1" t="s">
        <v>325</v>
      </c>
      <c r="C31" s="132">
        <f>C24+C29</f>
        <v>43.816083403126882</v>
      </c>
      <c r="D31" s="132">
        <f t="shared" ref="D31:F31" si="18">D24+D29</f>
        <v>15.658780299277211</v>
      </c>
      <c r="E31" s="132">
        <f t="shared" si="18"/>
        <v>15.810985996108812</v>
      </c>
      <c r="F31" s="132">
        <f t="shared" si="18"/>
        <v>14.080576232827951</v>
      </c>
      <c r="G31" s="132"/>
      <c r="H31" s="132">
        <f t="shared" ref="H31:J31" si="19">H24+H29</f>
        <v>43.816083403126882</v>
      </c>
      <c r="I31" s="132">
        <f t="shared" si="19"/>
        <v>15.574852571708192</v>
      </c>
      <c r="J31" s="132">
        <f t="shared" si="19"/>
        <v>69.304630681818168</v>
      </c>
      <c r="L31" s="132">
        <f t="shared" ref="L31:O31" si="20">SUM(L24:L29)</f>
        <v>55.518784815074852</v>
      </c>
      <c r="M31" s="132">
        <f t="shared" si="20"/>
        <v>27.451666033271213</v>
      </c>
      <c r="N31" s="132">
        <f t="shared" si="20"/>
        <v>27.654201299222535</v>
      </c>
      <c r="O31" s="132">
        <f t="shared" si="20"/>
        <v>14.080576232827939</v>
      </c>
      <c r="Q31" t="str">
        <v>North Carolina</v>
      </c>
      <c r="R31" t="str">
        <v>NC-2026-01-Center</v>
      </c>
      <c r="S31">
        <v>2026</v>
      </c>
      <c r="T31">
        <v>6</v>
      </c>
    </row>
    <row r="32" spans="2:25" x14ac:dyDescent="0.25">
      <c r="C32" s="154">
        <f>C$31/C$24</f>
        <v>0.27060266750031026</v>
      </c>
      <c r="D32" s="154">
        <f>D$31/D$24</f>
        <v>0.16979790486160501</v>
      </c>
      <c r="E32" s="154">
        <f>E$31/E$24</f>
        <v>0.18263568851953774</v>
      </c>
      <c r="F32" s="154">
        <f>F$31/F$24</f>
        <v>0.15420625839021596</v>
      </c>
      <c r="H32" s="154">
        <f t="shared" ref="H32:J32" si="21">H$31/H$24</f>
        <v>0.27060266750031026</v>
      </c>
      <c r="I32" s="154">
        <f t="shared" si="21"/>
        <v>0.17304868696665138</v>
      </c>
      <c r="J32" s="154">
        <f t="shared" si="21"/>
        <v>0.43504467123897661</v>
      </c>
      <c r="L32" s="154">
        <f t="shared" ref="L32:O32" si="22">L31/$C$24</f>
        <v>0.34287709216526729</v>
      </c>
      <c r="M32" s="154">
        <f t="shared" si="22"/>
        <v>0.1695380663667608</v>
      </c>
      <c r="N32" s="154">
        <f t="shared" si="22"/>
        <v>0.17078889891436821</v>
      </c>
      <c r="O32" s="154">
        <f t="shared" si="22"/>
        <v>8.6959883052276574E-2</v>
      </c>
      <c r="Q32" t="str">
        <v>North Carolina</v>
      </c>
      <c r="R32" t="str">
        <v>NC-2026-02-Center</v>
      </c>
      <c r="S32">
        <v>2026</v>
      </c>
      <c r="T32">
        <v>10</v>
      </c>
    </row>
    <row r="33" spans="2:20" x14ac:dyDescent="0.25">
      <c r="B33" s="151" t="s">
        <v>326</v>
      </c>
      <c r="C33" s="152" cm="1">
        <f t="array" ref="C33">(_xlfn.XLOOKUP($B$5,_xlfn.ANCHORARRAY('JV1'!$N$20),'JV1'!$N55:$P55,0,0)/C22)</f>
        <v>-27.761439702286552</v>
      </c>
      <c r="D33" s="152" cm="1">
        <f t="array" ref="D33">(_xlfn.XLOOKUP($B$5,_xlfn.ANCHORARRAY('JV1'!$N$20),'JV2'!$J55:$L55,0,0)/D22)</f>
        <v>-14.447837627795506</v>
      </c>
      <c r="E33" s="152" cm="1">
        <f t="array" ref="E33">(_xlfn.XLOOKUP($B$5,_xlfn.ANCHORARRAY('JV1'!$N$20),'JV2'!$N55:$P55,0,0)/E22)</f>
        <v>-19.063605711978827</v>
      </c>
      <c r="F33" s="152" cm="1">
        <f t="array" ref="F33">(_xlfn.XLOOKUP($B$5,_xlfn.ANCHORARRAY('JV1'!$N$20),'JV2'!$R55:$T55,0,0)/F22)</f>
        <v>-9.3368071503458125</v>
      </c>
      <c r="G33" s="152"/>
      <c r="H33" s="152">
        <f>SUM(C33)</f>
        <v>-27.761439702286552</v>
      </c>
      <c r="I33" s="152" cm="1">
        <f t="array" ref="I33">(_xlfn.XLOOKUP($B$5,_xlfn.ANCHORARRAY('JV1'!$N$20),'JV2'!$J55:$L55,0,0)+_xlfn.XLOOKUP($B$5,_xlfn.ANCHORARRAY('JV1'!$N$20),'JV2'!$N55:$P55,0,0)+_xlfn.XLOOKUP($B$5,_xlfn.ANCHORARRAY('JV1'!$N$20),'JV2'!$R55:$T55,0,0))/SUM($D$22:$F$22)</f>
        <v>-15.734841923803154</v>
      </c>
      <c r="J33" s="152"/>
      <c r="K33" s="152"/>
      <c r="L33" s="152"/>
      <c r="M33" s="152"/>
      <c r="N33" s="152"/>
      <c r="O33" s="152"/>
      <c r="Q33" t="str">
        <v>North Carolina</v>
      </c>
      <c r="R33" t="str">
        <v>NC-2027-01-Center</v>
      </c>
      <c r="S33">
        <v>2027</v>
      </c>
      <c r="T33">
        <v>7</v>
      </c>
    </row>
    <row r="34" spans="2:20" x14ac:dyDescent="0.25">
      <c r="B34" s="151" t="s">
        <v>327</v>
      </c>
      <c r="C34" s="152">
        <f>C33-C31</f>
        <v>-71.577523105413434</v>
      </c>
      <c r="D34" s="152">
        <f>D33-D31</f>
        <v>-30.106617927072719</v>
      </c>
      <c r="E34" s="152">
        <f>E33-E31</f>
        <v>-34.874591708087635</v>
      </c>
      <c r="F34" s="152">
        <f>F33-F31</f>
        <v>-23.417383383173764</v>
      </c>
      <c r="G34" s="152"/>
      <c r="H34" s="152">
        <f>H33-H31</f>
        <v>-71.577523105413434</v>
      </c>
      <c r="I34" s="152">
        <f>I33-I31</f>
        <v>-31.309694495511344</v>
      </c>
      <c r="J34" s="152"/>
      <c r="K34" s="152"/>
      <c r="L34" s="152"/>
      <c r="M34" s="152"/>
      <c r="N34" s="152"/>
      <c r="O34" s="152"/>
      <c r="Q34" t="str">
        <v>North Carolina</v>
      </c>
      <c r="R34" t="str">
        <v>NCA9-Center</v>
      </c>
      <c r="S34">
        <v>2028</v>
      </c>
      <c r="T34">
        <v>6</v>
      </c>
    </row>
    <row r="35" spans="2:20" x14ac:dyDescent="0.25">
      <c r="B35" s="151" t="s">
        <v>328</v>
      </c>
      <c r="C35" s="152">
        <f>((42500*(C22/SUM($C$22:$F$22)))+(169.375*C12))/C22</f>
        <v>0.18388428057749961</v>
      </c>
      <c r="D35" s="152">
        <f>((42500*(D22/SUM($C$22:$F$22)))+(169.375*D12))/D22</f>
        <v>0.2594365341212953</v>
      </c>
      <c r="E35" s="152">
        <f>((42500*(E22/SUM($C$22:$F$22)))+(169.375*E12))/E22</f>
        <v>0.32231261689389407</v>
      </c>
      <c r="F35" s="152">
        <f>((42500*(F22/SUM($C$22:$F$22)))+(169.375*F12))/F22</f>
        <v>0.3889601618381282</v>
      </c>
      <c r="G35" s="151"/>
      <c r="H35" s="152">
        <f>((42500*(H22/SUM($C$22:$F$22)))+(169.375*H12))/H22</f>
        <v>0.18388428057749961</v>
      </c>
      <c r="I35" s="152">
        <f>((42500*(I22/SUM($C$22:$F$22)))+(169.375*I12))/I22</f>
        <v>0.29482021033145672</v>
      </c>
      <c r="J35" s="151"/>
      <c r="K35" s="151"/>
      <c r="L35" s="151"/>
      <c r="M35" s="151"/>
      <c r="N35" s="151"/>
      <c r="O35" s="151"/>
    </row>
    <row r="36" spans="2:20" x14ac:dyDescent="0.25">
      <c r="B36" s="151"/>
      <c r="C36" s="153">
        <f>C35/C23</f>
        <v>1.0266804308643202E-3</v>
      </c>
      <c r="D36" s="153">
        <f>D35/D23</f>
        <v>2.5823289998673092E-3</v>
      </c>
      <c r="E36" s="153">
        <f>E35/E23</f>
        <v>3.4032733790515541E-3</v>
      </c>
      <c r="F36" s="153">
        <f>F35/F23</f>
        <v>3.7486022873454853E-3</v>
      </c>
      <c r="G36" s="151"/>
      <c r="H36" s="153">
        <f>H35/H23</f>
        <v>1.0396629736874516E-3</v>
      </c>
      <c r="I36" s="153">
        <f>I35/I23</f>
        <v>2.9905508642238373E-3</v>
      </c>
      <c r="J36" s="151"/>
      <c r="K36" s="151"/>
      <c r="L36" s="151"/>
      <c r="M36" s="151"/>
      <c r="N36" s="151"/>
      <c r="O36" s="151"/>
    </row>
    <row r="37" spans="2:20" x14ac:dyDescent="0.25">
      <c r="C37" s="130"/>
    </row>
    <row r="38" spans="2:20" x14ac:dyDescent="0.25">
      <c r="C38" s="130"/>
    </row>
    <row r="39" spans="2:20" x14ac:dyDescent="0.25">
      <c r="C39" s="130"/>
    </row>
    <row r="40" spans="2:20" x14ac:dyDescent="0.25">
      <c r="C40" s="130"/>
    </row>
    <row r="41" spans="2:20" x14ac:dyDescent="0.25">
      <c r="C41" s="71"/>
    </row>
    <row r="43" spans="2:20" x14ac:dyDescent="0.25">
      <c r="C43" s="71"/>
    </row>
    <row r="44" spans="2:20" x14ac:dyDescent="0.25">
      <c r="C44" s="130"/>
    </row>
    <row r="45" spans="2:20" x14ac:dyDescent="0.25">
      <c r="C45" s="71"/>
    </row>
    <row r="46" spans="2:20" x14ac:dyDescent="0.25">
      <c r="C46" s="130"/>
    </row>
  </sheetData>
  <mergeCells count="2">
    <mergeCell ref="Q4:T4"/>
    <mergeCell ref="V4:Y4"/>
  </mergeCells>
  <dataValidations disablePrompts="1" count="1">
    <dataValidation type="list" allowBlank="1" showInputMessage="1" showErrorMessage="1" sqref="B5" xr:uid="{5401B9C2-D361-4098-9DFE-18320A5E2E26}">
      <formula1>"2026,2027,2028"</formula1>
    </dataValidation>
  </dataValidations>
  <printOptions horizontalCentered="1" verticalCentered="1"/>
  <pageMargins left="0.7" right="0.7" top="0.75" bottom="0.75" header="0.3" footer="0.3"/>
  <pageSetup paperSize="5" scale="7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409B-1724-4E45-A353-85EA9C7703AA}">
  <sheetPr>
    <tabColor theme="9" tint="0.79998168889431442"/>
    <pageSetUpPr fitToPage="1"/>
  </sheetPr>
  <dimension ref="B1:S66"/>
  <sheetViews>
    <sheetView workbookViewId="0">
      <pane xSplit="4" ySplit="20" topLeftCell="E21" activePane="bottomRight" state="frozen"/>
      <selection pane="topRight" activeCell="E1" sqref="E1"/>
      <selection pane="bottomLeft" activeCell="A21" sqref="A21"/>
      <selection pane="bottomRight" activeCell="K10" sqref="K10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15.28515625" bestFit="1" customWidth="1"/>
    <col min="6" max="7" width="15.28515625" customWidth="1" outlineLevel="1"/>
    <col min="8" max="8" width="4.7109375" customWidth="1"/>
    <col min="9" max="9" width="15.28515625" customWidth="1"/>
    <col min="10" max="11" width="15.28515625" customWidth="1" outlineLevel="1"/>
    <col min="12" max="12" width="4.7109375" customWidth="1"/>
    <col min="13" max="13" width="17" bestFit="1" customWidth="1"/>
    <col min="14" max="15" width="13.7109375" customWidth="1" outlineLevel="1"/>
    <col min="16" max="16" width="4.7109375" customWidth="1"/>
    <col min="17" max="17" width="17" bestFit="1" customWidth="1"/>
    <col min="18" max="18" width="13.7109375" customWidth="1" outlineLevel="1"/>
    <col min="19" max="19" width="14.42578125" customWidth="1" outlineLevel="1"/>
  </cols>
  <sheetData>
    <row r="1" spans="2:19" x14ac:dyDescent="0.25">
      <c r="B1" s="3"/>
      <c r="C1" s="3"/>
      <c r="D1" s="55" t="s">
        <v>56</v>
      </c>
      <c r="E1" s="121" cm="1">
        <f t="array" ref="E1">MAX(_xlfn._xlws.FILTER(All!$E1:$AN1,YEAR(_xlfn.ANCHORARRAY(All!$E$25))=E$20,0))</f>
        <v>1273</v>
      </c>
      <c r="F1" s="121" cm="1">
        <f t="array" ref="F1">MAX(_xlfn._xlws.FILTER(All!$E1:$AN1,YEAR(_xlfn.ANCHORARRAY(All!$E$25))=F$20,0))</f>
        <v>2072</v>
      </c>
      <c r="G1" s="121" cm="1">
        <f t="array" ref="G1">MAX(_xlfn._xlws.FILTER(All!$E1:$AN1,YEAR(_xlfn.ANCHORARRAY(All!$E$25))=G$20,0))</f>
        <v>2762</v>
      </c>
      <c r="I1" s="121"/>
      <c r="J1" s="121"/>
      <c r="K1" s="121"/>
      <c r="M1" s="121">
        <f>'JV1'!F1</f>
        <v>818</v>
      </c>
      <c r="N1" s="121">
        <f>'JV1'!G1</f>
        <v>1452</v>
      </c>
      <c r="O1" s="121">
        <f>'JV1'!H1</f>
        <v>2014</v>
      </c>
      <c r="Q1" s="121">
        <f>'JV2'!F1</f>
        <v>455</v>
      </c>
      <c r="R1" s="121">
        <f>'JV2'!G1</f>
        <v>620</v>
      </c>
      <c r="S1" s="121">
        <f>'JV2'!H1</f>
        <v>748</v>
      </c>
    </row>
    <row r="2" spans="2:19" hidden="1" outlineLevel="1" x14ac:dyDescent="0.25">
      <c r="B2" s="1" t="s">
        <v>329</v>
      </c>
      <c r="C2" s="3"/>
      <c r="D2" s="3"/>
      <c r="E2" s="5"/>
      <c r="F2" s="5"/>
      <c r="G2" s="5"/>
      <c r="I2" s="5"/>
      <c r="J2" s="5"/>
      <c r="K2" s="5"/>
      <c r="M2" s="121"/>
      <c r="N2" s="121"/>
      <c r="O2" s="121"/>
      <c r="Q2" s="121"/>
      <c r="R2" s="121"/>
      <c r="S2" s="121"/>
    </row>
    <row r="3" spans="2:19" hidden="1" outlineLevel="1" x14ac:dyDescent="0.25">
      <c r="B3" s="39" t="s">
        <v>373</v>
      </c>
      <c r="E3" s="121">
        <f>I3+M3+Q3</f>
        <v>523.77</v>
      </c>
      <c r="F3" s="121">
        <f t="shared" ref="F3:G3" si="0">J3+N3+R3</f>
        <v>887.29000000000008</v>
      </c>
      <c r="G3" s="121">
        <f t="shared" si="0"/>
        <v>1204.79</v>
      </c>
      <c r="I3" s="121"/>
      <c r="J3" s="121"/>
      <c r="K3" s="121"/>
      <c r="M3" s="121">
        <f>'JV1'!F3</f>
        <v>255.55000000000007</v>
      </c>
      <c r="N3" s="121">
        <f>'JV1'!G3</f>
        <v>493.03999999999996</v>
      </c>
      <c r="O3" s="121">
        <f>'JV1'!H3</f>
        <v>709.52999999999986</v>
      </c>
      <c r="Q3" s="121">
        <f>'JV2'!F3</f>
        <v>268.21999999999997</v>
      </c>
      <c r="R3" s="121">
        <f>'JV2'!G3</f>
        <v>394.25000000000011</v>
      </c>
      <c r="S3" s="121">
        <f>'JV2'!H3</f>
        <v>495.26</v>
      </c>
    </row>
    <row r="4" spans="2:19" hidden="1" outlineLevel="1" x14ac:dyDescent="0.25">
      <c r="B4" s="39" t="s">
        <v>374</v>
      </c>
      <c r="E4" s="121">
        <f t="shared" ref="E4:E6" si="1">I4+M4+Q4</f>
        <v>91.33</v>
      </c>
      <c r="F4" s="121">
        <f t="shared" ref="F4:F6" si="2">J4+N4+R4</f>
        <v>150.17000000000002</v>
      </c>
      <c r="G4" s="121">
        <f t="shared" ref="G4:G6" si="3">K4+O4+S4</f>
        <v>201.08</v>
      </c>
      <c r="I4" s="121"/>
      <c r="J4" s="121"/>
      <c r="K4" s="121"/>
      <c r="M4" s="121">
        <f>'JV1'!F4</f>
        <v>40.25</v>
      </c>
      <c r="N4" s="121">
        <f>'JV1'!G4</f>
        <v>78.460000000000008</v>
      </c>
      <c r="O4" s="121">
        <f>'JV1'!H4</f>
        <v>113.00000000000001</v>
      </c>
      <c r="Q4" s="121">
        <f>'JV2'!F4</f>
        <v>51.08</v>
      </c>
      <c r="R4" s="121">
        <f>'JV2'!G4</f>
        <v>71.709999999999994</v>
      </c>
      <c r="S4" s="121">
        <f>'JV2'!H4</f>
        <v>88.08</v>
      </c>
    </row>
    <row r="5" spans="2:19" hidden="1" outlineLevel="1" x14ac:dyDescent="0.25">
      <c r="B5" s="39" t="s">
        <v>418</v>
      </c>
      <c r="E5" s="121">
        <f t="shared" si="1"/>
        <v>145</v>
      </c>
      <c r="F5" s="121">
        <f t="shared" si="2"/>
        <v>219</v>
      </c>
      <c r="G5" s="121">
        <f t="shared" si="3"/>
        <v>282</v>
      </c>
      <c r="I5" s="121"/>
      <c r="J5" s="121"/>
      <c r="K5" s="121"/>
      <c r="M5" s="121">
        <f>'JV1'!F5</f>
        <v>79</v>
      </c>
      <c r="N5" s="121">
        <f>'JV1'!G5</f>
        <v>129</v>
      </c>
      <c r="O5" s="121">
        <f>'JV1'!H5</f>
        <v>176</v>
      </c>
      <c r="Q5" s="121">
        <f>'JV2'!F5</f>
        <v>66</v>
      </c>
      <c r="R5" s="121">
        <f>'JV2'!G5</f>
        <v>90</v>
      </c>
      <c r="S5" s="121">
        <f>'JV2'!H5</f>
        <v>106</v>
      </c>
    </row>
    <row r="6" spans="2:19" hidden="1" outlineLevel="1" x14ac:dyDescent="0.25">
      <c r="B6" s="39" t="s">
        <v>314</v>
      </c>
      <c r="C6" s="3"/>
      <c r="D6" s="3"/>
      <c r="E6" s="121">
        <f t="shared" si="1"/>
        <v>100.32420349714346</v>
      </c>
      <c r="F6" s="121">
        <f t="shared" si="2"/>
        <v>130.71259800000101</v>
      </c>
      <c r="G6" s="121">
        <f t="shared" si="3"/>
        <v>157.48091539428702</v>
      </c>
      <c r="I6" s="121" cm="1">
        <f t="array" ref="I6">MAX(_xlfn._xlws.FILTER(_xlfn.ANCHORARRAY('Corp.'!$E3),YEAR(_xlfn.ANCHORARRAY('Corp.'!$E$25))=I$20,0))</f>
        <v>100.32420349714346</v>
      </c>
      <c r="J6" s="121" cm="1">
        <f t="array" ref="J6">MAX(_xlfn._xlws.FILTER(_xlfn.ANCHORARRAY('Corp.'!$E3),YEAR(_xlfn.ANCHORARRAY('Corp.'!$E$25))=J$20,0))</f>
        <v>130.71259800000101</v>
      </c>
      <c r="K6" s="121" cm="1">
        <f t="array" ref="K6">MAX(_xlfn._xlws.FILTER(_xlfn.ANCHORARRAY('Corp.'!$E3),YEAR(_xlfn.ANCHORARRAY('Corp.'!$E$25))=K$20,0))</f>
        <v>157.48091539428702</v>
      </c>
      <c r="M6" s="121">
        <f>'JV1'!F6</f>
        <v>0</v>
      </c>
      <c r="N6" s="121">
        <f>'JV1'!G6</f>
        <v>0</v>
      </c>
      <c r="O6" s="121">
        <f>'JV1'!H6</f>
        <v>0</v>
      </c>
      <c r="Q6" s="121">
        <f>'JV2'!F6</f>
        <v>0</v>
      </c>
      <c r="R6" s="121">
        <f>'JV2'!G6</f>
        <v>0</v>
      </c>
      <c r="S6" s="121">
        <f>'JV2'!H6</f>
        <v>0</v>
      </c>
    </row>
    <row r="7" spans="2:19" collapsed="1" x14ac:dyDescent="0.25">
      <c r="B7" s="1" t="s">
        <v>330</v>
      </c>
      <c r="E7" s="162">
        <f>SUM(E3:E6)</f>
        <v>860.42420349714348</v>
      </c>
      <c r="F7" s="162">
        <f>SUM(F3:F6)</f>
        <v>1387.172598000001</v>
      </c>
      <c r="G7" s="162">
        <f>SUM(G3:G6)</f>
        <v>1845.3509153942869</v>
      </c>
      <c r="I7" s="162"/>
      <c r="J7" s="162"/>
      <c r="K7" s="162"/>
      <c r="M7" s="162">
        <f>SUM(M3:M6)</f>
        <v>374.80000000000007</v>
      </c>
      <c r="N7" s="162">
        <f>SUM(N3:N6)</f>
        <v>700.5</v>
      </c>
      <c r="O7" s="162">
        <f>SUM(O3:O6)</f>
        <v>998.52999999999986</v>
      </c>
      <c r="Q7" s="162">
        <f>SUM(Q3:Q6)</f>
        <v>385.29999999999995</v>
      </c>
      <c r="R7" s="162">
        <f>SUM(R3:R6)</f>
        <v>555.96</v>
      </c>
      <c r="S7" s="162">
        <f>SUM(S3:S6)</f>
        <v>689.34</v>
      </c>
    </row>
    <row r="8" spans="2:19" x14ac:dyDescent="0.25">
      <c r="M8" s="162"/>
      <c r="N8" s="162"/>
      <c r="O8" s="162"/>
      <c r="Q8" s="162"/>
      <c r="R8" s="162"/>
      <c r="S8" s="162"/>
    </row>
    <row r="9" spans="2:19" hidden="1" outlineLevel="1" x14ac:dyDescent="0.25">
      <c r="N9" s="66"/>
      <c r="O9" s="66"/>
    </row>
    <row r="10" spans="2:19" collapsed="1" x14ac:dyDescent="0.25">
      <c r="B10" s="39" t="s">
        <v>315</v>
      </c>
      <c r="E10" s="171">
        <f>I10+M10</f>
        <v>6</v>
      </c>
      <c r="F10" s="171">
        <f t="shared" ref="F10:G10" si="4">J10+N10</f>
        <v>5</v>
      </c>
      <c r="G10" s="171">
        <f t="shared" si="4"/>
        <v>5</v>
      </c>
      <c r="I10" s="66"/>
      <c r="J10" s="66"/>
      <c r="K10" s="66"/>
      <c r="M10" s="170">
        <f>'JV1'!F10</f>
        <v>6</v>
      </c>
      <c r="N10" s="170">
        <f>'JV1'!G10</f>
        <v>5</v>
      </c>
      <c r="O10" s="170">
        <f>'JV1'!H10</f>
        <v>5</v>
      </c>
      <c r="Q10" s="170">
        <f>'JV2'!F10</f>
        <v>3</v>
      </c>
      <c r="R10" s="170">
        <f>'JV2'!G10</f>
        <v>2</v>
      </c>
      <c r="S10" s="170">
        <f>'JV2'!H10</f>
        <v>2</v>
      </c>
    </row>
    <row r="11" spans="2:19" x14ac:dyDescent="0.25">
      <c r="M11" s="121"/>
      <c r="Q11" s="121"/>
      <c r="R11" s="121"/>
      <c r="S11" s="121"/>
    </row>
    <row r="12" spans="2:19" hidden="1" outlineLevel="1" x14ac:dyDescent="0.25">
      <c r="B12" s="55" t="s">
        <v>461</v>
      </c>
      <c r="E12" s="121">
        <f t="shared" ref="E12:E14" si="5">I12+M12+Q12</f>
        <v>745.46059113300498</v>
      </c>
      <c r="F12" s="121">
        <f t="shared" ref="F12:F14" si="6">J12+N12+R12</f>
        <v>1219.0320197044334</v>
      </c>
      <c r="G12" s="121">
        <f t="shared" ref="G12:G14" si="7">K12+O12+S12</f>
        <v>1602.5320197044334</v>
      </c>
      <c r="I12" s="121"/>
      <c r="J12" s="121"/>
      <c r="K12" s="121"/>
      <c r="M12" s="121">
        <f>'JV1'!F12</f>
        <v>335.69047619047615</v>
      </c>
      <c r="N12" s="121">
        <f>'JV1'!G12</f>
        <v>644.28571428571433</v>
      </c>
      <c r="O12" s="121">
        <f>'JV1'!H12</f>
        <v>943.71428571428555</v>
      </c>
      <c r="Q12" s="121">
        <f>'JV2'!F12</f>
        <v>409.77011494252878</v>
      </c>
      <c r="R12" s="121">
        <f>'JV2'!G12</f>
        <v>574.7463054187192</v>
      </c>
      <c r="S12" s="121">
        <f>'JV2'!H12</f>
        <v>658.81773399014787</v>
      </c>
    </row>
    <row r="13" spans="2:19" hidden="1" outlineLevel="1" x14ac:dyDescent="0.25">
      <c r="B13" s="55" t="s">
        <v>462</v>
      </c>
      <c r="E13" s="121">
        <f t="shared" si="5"/>
        <v>402.16666666666663</v>
      </c>
      <c r="F13" s="121">
        <f t="shared" si="6"/>
        <v>822</v>
      </c>
      <c r="G13" s="121">
        <f t="shared" si="7"/>
        <v>1259</v>
      </c>
      <c r="I13" s="121"/>
      <c r="J13" s="121"/>
      <c r="K13" s="121"/>
      <c r="M13" s="121">
        <f>'JV1'!F13</f>
        <v>111.33333333333334</v>
      </c>
      <c r="N13" s="121">
        <f>'JV1'!G13</f>
        <v>394.00000000000006</v>
      </c>
      <c r="O13" s="121">
        <f>'JV1'!H13</f>
        <v>713.99999999999989</v>
      </c>
      <c r="Q13" s="121">
        <f>'JV2'!F13</f>
        <v>290.83333333333331</v>
      </c>
      <c r="R13" s="121">
        <f>'JV2'!G13</f>
        <v>428</v>
      </c>
      <c r="S13" s="121">
        <f>'JV2'!H13</f>
        <v>545</v>
      </c>
    </row>
    <row r="14" spans="2:19" hidden="1" outlineLevel="1" x14ac:dyDescent="0.25">
      <c r="B14" s="55" t="s">
        <v>463</v>
      </c>
      <c r="E14" s="121">
        <f t="shared" si="5"/>
        <v>1675.1666666666665</v>
      </c>
      <c r="F14" s="121">
        <f t="shared" si="6"/>
        <v>2894</v>
      </c>
      <c r="G14" s="121">
        <f t="shared" si="7"/>
        <v>4021</v>
      </c>
      <c r="I14" s="121"/>
      <c r="J14" s="121"/>
      <c r="K14" s="121"/>
      <c r="M14" s="121">
        <f>'JV1'!F14</f>
        <v>929.33333333333337</v>
      </c>
      <c r="N14" s="121">
        <f>'JV1'!G14</f>
        <v>1846</v>
      </c>
      <c r="O14" s="121">
        <f>'JV1'!H14</f>
        <v>2728</v>
      </c>
      <c r="Q14" s="121">
        <f>'JV2'!F14</f>
        <v>745.83333333333326</v>
      </c>
      <c r="R14" s="121">
        <f>'JV2'!G14</f>
        <v>1048</v>
      </c>
      <c r="S14" s="121">
        <f>'JV2'!H14</f>
        <v>1293</v>
      </c>
    </row>
    <row r="15" spans="2:19" hidden="1" outlineLevel="1" x14ac:dyDescent="0.25">
      <c r="M15" s="121"/>
      <c r="Q15" s="121"/>
      <c r="R15" s="121"/>
      <c r="S15" s="121"/>
    </row>
    <row r="16" spans="2:19" collapsed="1" x14ac:dyDescent="0.25">
      <c r="B16" s="2" t="s">
        <v>464</v>
      </c>
      <c r="D16" s="2"/>
      <c r="E16" s="78">
        <f t="shared" ref="E16:G16" si="8">SUM(E21:E25)/E18*0.94</f>
        <v>134.75942532829669</v>
      </c>
      <c r="F16" s="78">
        <f t="shared" si="8"/>
        <v>147.46954852077863</v>
      </c>
      <c r="G16" s="78">
        <f t="shared" si="8"/>
        <v>149.45060566013902</v>
      </c>
      <c r="I16" s="71"/>
      <c r="J16" s="71"/>
      <c r="K16" s="71"/>
      <c r="M16" s="78">
        <f>'JV1'!F16</f>
        <v>179.105664284158</v>
      </c>
      <c r="N16" s="78">
        <f>'JV1'!G16</f>
        <v>184.21443514715338</v>
      </c>
      <c r="O16" s="78">
        <f>'JV1'!H16</f>
        <v>184.15873270782325</v>
      </c>
      <c r="Q16" s="78">
        <f>'JV2'!F16</f>
        <v>98.583914374575897</v>
      </c>
      <c r="R16" s="78">
        <f>'JV2'!G16</f>
        <v>101.52455646672681</v>
      </c>
      <c r="S16" s="78">
        <f>'JV2'!H16</f>
        <v>101.42525470647988</v>
      </c>
    </row>
    <row r="17" spans="2:19" x14ac:dyDescent="0.25"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0"/>
    </row>
    <row r="18" spans="2:19" x14ac:dyDescent="0.25">
      <c r="B18" s="2" t="s">
        <v>55</v>
      </c>
      <c r="C18" s="3"/>
      <c r="D18" s="57"/>
      <c r="E18" s="53">
        <f>M18+Q18</f>
        <v>733008.17333333322</v>
      </c>
      <c r="F18" s="53">
        <f t="shared" ref="F18:G18" si="9">N18+R18</f>
        <v>1466363.7999999996</v>
      </c>
      <c r="G18" s="53">
        <f t="shared" si="9"/>
        <v>2088011.1999999997</v>
      </c>
      <c r="I18" s="53"/>
      <c r="J18" s="53"/>
      <c r="K18" s="53"/>
      <c r="M18" s="53">
        <f>'JV1'!F18</f>
        <v>407617.02666666661</v>
      </c>
      <c r="N18" s="53">
        <f>'JV1'!G18</f>
        <v>981678.57333333301</v>
      </c>
      <c r="O18" s="53">
        <f>'JV1'!H18</f>
        <v>1452807.8399999996</v>
      </c>
      <c r="Q18" s="53">
        <f>'JV2'!F18</f>
        <v>325391.14666666661</v>
      </c>
      <c r="R18" s="53">
        <f>'JV2'!G18</f>
        <v>484685.22666666663</v>
      </c>
      <c r="S18" s="53">
        <f>'JV2'!H18</f>
        <v>635203.36</v>
      </c>
    </row>
    <row r="19" spans="2:19" x14ac:dyDescent="0.25">
      <c r="E19" s="70" t="s">
        <v>26</v>
      </c>
      <c r="F19" s="70"/>
      <c r="G19" s="70"/>
      <c r="I19" s="70" t="s">
        <v>13</v>
      </c>
      <c r="J19" s="70"/>
      <c r="K19" s="70"/>
      <c r="M19" s="70" t="s">
        <v>14</v>
      </c>
      <c r="N19" s="70"/>
      <c r="O19" s="70"/>
      <c r="Q19" s="70" t="s">
        <v>15</v>
      </c>
      <c r="R19" s="70"/>
      <c r="S19" s="70"/>
    </row>
    <row r="20" spans="2:19" x14ac:dyDescent="0.25">
      <c r="B20" s="1" t="s">
        <v>21</v>
      </c>
      <c r="D20" s="64"/>
      <c r="E20" s="76" cm="1">
        <f t="array" ref="E20:G20">_xlfn.ANCHORARRAY(I20)</f>
        <v>2026</v>
      </c>
      <c r="F20" s="76">
        <v>2027</v>
      </c>
      <c r="G20" s="76">
        <v>2028</v>
      </c>
      <c r="H20" s="106"/>
      <c r="I20" s="76" cm="1">
        <f t="array" ref="I20:K20">_xlfn.SEQUENCE(1,3,2026)</f>
        <v>2026</v>
      </c>
      <c r="J20" s="76">
        <v>2027</v>
      </c>
      <c r="K20" s="76">
        <v>2028</v>
      </c>
      <c r="L20" s="106"/>
      <c r="M20" s="76" cm="1">
        <f t="array" ref="M20:O20">_xlfn.SEQUENCE(1,3,2026)</f>
        <v>2026</v>
      </c>
      <c r="N20" s="76">
        <v>2027</v>
      </c>
      <c r="O20" s="76">
        <v>2028</v>
      </c>
      <c r="P20" s="106"/>
      <c r="Q20" s="76" cm="1">
        <f t="array" ref="Q20:S20">_xlfn.ANCHORARRAY('JV1'!$F$20)</f>
        <v>2026</v>
      </c>
      <c r="R20" s="76">
        <v>2027</v>
      </c>
      <c r="S20" s="76">
        <v>2028</v>
      </c>
    </row>
    <row r="21" spans="2:19" outlineLevel="1" x14ac:dyDescent="0.25">
      <c r="B21" s="39" t="s">
        <v>449</v>
      </c>
      <c r="D21" s="107"/>
      <c r="E21" s="12">
        <f>SUM(I21,M21,Q21)</f>
        <v>84837544.088223323</v>
      </c>
      <c r="F21" s="12">
        <f t="shared" ref="F21:F31" si="10">SUM(J21,N21,R21)</f>
        <v>187068087.47257638</v>
      </c>
      <c r="G21" s="12">
        <f t="shared" ref="G21:G31" si="11">SUM(K21,O21,S21)</f>
        <v>270280306.83936685</v>
      </c>
      <c r="I21" s="12" cm="1">
        <f t="array" ref="I21:K21">{0,0,0}</f>
        <v>0</v>
      </c>
      <c r="J21" s="12">
        <v>0</v>
      </c>
      <c r="K21" s="12">
        <v>0</v>
      </c>
      <c r="M21" s="67">
        <f>'JV1'!F21</f>
        <v>60978225.663333327</v>
      </c>
      <c r="N21" s="67">
        <f>'JV1'!G21</f>
        <v>150752212.93339998</v>
      </c>
      <c r="O21" s="67">
        <f>'JV1'!H21</f>
        <v>222950379.11249998</v>
      </c>
      <c r="Q21" s="67">
        <f>'JV2'!F21</f>
        <v>23859318.424889993</v>
      </c>
      <c r="R21" s="67">
        <f>'JV2'!G21</f>
        <v>36315874.53917639</v>
      </c>
      <c r="S21" s="67">
        <f>'JV2'!H21</f>
        <v>47329927.726866871</v>
      </c>
    </row>
    <row r="22" spans="2:19" outlineLevel="1" x14ac:dyDescent="0.25">
      <c r="B22" s="39" t="s">
        <v>450</v>
      </c>
      <c r="D22" s="107"/>
      <c r="E22" s="12">
        <f t="shared" ref="E22:E31" si="12">SUM(I22,M22,Q22)</f>
        <v>2668175.5480639995</v>
      </c>
      <c r="F22" s="12">
        <f t="shared" si="10"/>
        <v>6490927.1741114669</v>
      </c>
      <c r="G22" s="12">
        <f t="shared" si="11"/>
        <v>9739007.8979398422</v>
      </c>
      <c r="I22" s="12" cm="1">
        <f t="array" ref="I22:K22">{0,0,0}</f>
        <v>0</v>
      </c>
      <c r="J22" s="12">
        <v>0</v>
      </c>
      <c r="K22" s="12">
        <v>0</v>
      </c>
      <c r="M22" s="67">
        <f>'JV1'!F22</f>
        <v>1411010.813333333</v>
      </c>
      <c r="N22" s="67">
        <f>'JV1'!G22</f>
        <v>3967648.7448000005</v>
      </c>
      <c r="O22" s="67">
        <f>'JV1'!H22</f>
        <v>6017326.2084000017</v>
      </c>
      <c r="Q22" s="67">
        <f>'JV2'!F22</f>
        <v>1257164.7347306665</v>
      </c>
      <c r="R22" s="67">
        <f>'JV2'!G22</f>
        <v>2523278.4293114664</v>
      </c>
      <c r="S22" s="67">
        <f>'JV2'!H22</f>
        <v>3721681.6895398395</v>
      </c>
    </row>
    <row r="23" spans="2:19" outlineLevel="1" x14ac:dyDescent="0.25">
      <c r="B23" s="39" t="s">
        <v>451</v>
      </c>
      <c r="D23" s="107"/>
      <c r="E23" s="12">
        <f t="shared" si="12"/>
        <v>13982951.702392399</v>
      </c>
      <c r="F23" s="12">
        <f t="shared" si="10"/>
        <v>29056202.7954771</v>
      </c>
      <c r="G23" s="12">
        <f t="shared" si="11"/>
        <v>41435120.967330471</v>
      </c>
      <c r="I23" s="12" cm="1">
        <f t="array" ref="I23:K23">{0,0,0}</f>
        <v>0</v>
      </c>
      <c r="J23" s="12">
        <v>0</v>
      </c>
      <c r="K23" s="12">
        <v>0</v>
      </c>
      <c r="M23" s="67">
        <f>'JV1'!F23</f>
        <v>8276965.2679999992</v>
      </c>
      <c r="N23" s="67">
        <f>'JV1'!G23</f>
        <v>20516522.382069997</v>
      </c>
      <c r="O23" s="67">
        <f>'JV1'!H23</f>
        <v>30352541.217569988</v>
      </c>
      <c r="Q23" s="67">
        <f>'JV2'!F23</f>
        <v>5705986.4343924001</v>
      </c>
      <c r="R23" s="67">
        <f>'JV2'!G23</f>
        <v>8539680.4134071041</v>
      </c>
      <c r="S23" s="67">
        <f>'JV2'!H23</f>
        <v>11082579.749760482</v>
      </c>
    </row>
    <row r="24" spans="2:19" outlineLevel="1" x14ac:dyDescent="0.25">
      <c r="B24" s="39" t="s">
        <v>453</v>
      </c>
      <c r="D24" s="107"/>
      <c r="E24" s="12">
        <f t="shared" si="12"/>
        <v>1438538.1552240001</v>
      </c>
      <c r="F24" s="12">
        <f t="shared" si="10"/>
        <v>3053015.2496166802</v>
      </c>
      <c r="G24" s="12">
        <f t="shared" si="11"/>
        <v>4351163.68164228</v>
      </c>
      <c r="I24" s="12" cm="1">
        <f t="array" ref="I24:K24">{0,0,0}</f>
        <v>0</v>
      </c>
      <c r="J24" s="12">
        <v>0</v>
      </c>
      <c r="K24" s="12">
        <v>0</v>
      </c>
      <c r="M24" s="67">
        <f>'JV1'!F24</f>
        <v>1015424.1900000002</v>
      </c>
      <c r="N24" s="67">
        <f>'JV1'!G24</f>
        <v>2431039.1474600001</v>
      </c>
      <c r="O24" s="67">
        <f>'JV1'!H24</f>
        <v>3569559.3727199999</v>
      </c>
      <c r="Q24" s="67">
        <f>'JV2'!F24</f>
        <v>423113.96522399999</v>
      </c>
      <c r="R24" s="67">
        <f>'JV2'!G24</f>
        <v>621976.10215667996</v>
      </c>
      <c r="S24" s="67">
        <f>'JV2'!H24</f>
        <v>781604.30892227998</v>
      </c>
    </row>
    <row r="25" spans="2:19" outlineLevel="1" x14ac:dyDescent="0.25">
      <c r="B25" s="39" t="s">
        <v>452</v>
      </c>
      <c r="D25" s="107"/>
      <c r="E25" s="12">
        <f t="shared" si="12"/>
        <v>2157641.7819946664</v>
      </c>
      <c r="F25" s="12">
        <f t="shared" si="10"/>
        <v>4378583.8541899733</v>
      </c>
      <c r="G25" s="12">
        <f t="shared" si="11"/>
        <v>6167313.8745223461</v>
      </c>
      <c r="I25" s="12" cm="1">
        <f t="array" ref="I25:K25">{0,0,0}</f>
        <v>0</v>
      </c>
      <c r="J25" s="12">
        <v>0</v>
      </c>
      <c r="K25" s="12">
        <v>0</v>
      </c>
      <c r="M25" s="67">
        <f>'JV1'!F25</f>
        <v>1324892.3999999999</v>
      </c>
      <c r="N25" s="67">
        <f>'JV1'!G25</f>
        <v>3171940.6749333329</v>
      </c>
      <c r="O25" s="67">
        <f>'JV1'!H25</f>
        <v>4657444.7711999994</v>
      </c>
      <c r="Q25" s="67">
        <f>'JV2'!F25</f>
        <v>832749.38199466665</v>
      </c>
      <c r="R25" s="67">
        <f>'JV2'!G25</f>
        <v>1206643.1792566401</v>
      </c>
      <c r="S25" s="67">
        <f>'JV2'!H25</f>
        <v>1509869.1033223467</v>
      </c>
    </row>
    <row r="26" spans="2:19" outlineLevel="1" x14ac:dyDescent="0.25">
      <c r="B26" s="39" t="s">
        <v>473</v>
      </c>
      <c r="D26" s="107"/>
      <c r="E26" s="12">
        <f t="shared" si="12"/>
        <v>0</v>
      </c>
      <c r="F26" s="12">
        <f t="shared" si="10"/>
        <v>0</v>
      </c>
      <c r="G26" s="12">
        <f t="shared" si="11"/>
        <v>0</v>
      </c>
      <c r="I26" s="12" cm="1">
        <f t="array" ref="I26:K26">{0,0,0}</f>
        <v>0</v>
      </c>
      <c r="J26" s="12">
        <v>0</v>
      </c>
      <c r="K26" s="12">
        <v>0</v>
      </c>
      <c r="M26" s="67">
        <f>'JV1'!F26</f>
        <v>0</v>
      </c>
      <c r="N26" s="67">
        <f>'JV1'!G26</f>
        <v>0</v>
      </c>
      <c r="O26" s="67">
        <f>'JV1'!H26</f>
        <v>0</v>
      </c>
      <c r="Q26" s="67">
        <f>'JV2'!F26</f>
        <v>0</v>
      </c>
      <c r="R26" s="67">
        <f>'JV2'!G26</f>
        <v>0</v>
      </c>
      <c r="S26" s="67">
        <f>'JV2'!H26</f>
        <v>0</v>
      </c>
    </row>
    <row r="27" spans="2:19" outlineLevel="1" x14ac:dyDescent="0.25">
      <c r="B27" s="39" t="s">
        <v>474</v>
      </c>
      <c r="D27" s="107"/>
      <c r="E27" s="12">
        <f t="shared" si="12"/>
        <v>0</v>
      </c>
      <c r="F27" s="12">
        <f t="shared" si="10"/>
        <v>0</v>
      </c>
      <c r="G27" s="12">
        <f t="shared" si="11"/>
        <v>0</v>
      </c>
      <c r="I27" s="12" cm="1">
        <f t="array" ref="I27:K27">{0,0,0}</f>
        <v>0</v>
      </c>
      <c r="J27" s="12">
        <v>0</v>
      </c>
      <c r="K27" s="12">
        <v>0</v>
      </c>
      <c r="M27" s="67">
        <f>'JV1'!F27</f>
        <v>0</v>
      </c>
      <c r="N27" s="67">
        <f>'JV1'!G27</f>
        <v>0</v>
      </c>
      <c r="O27" s="67">
        <f>'JV1'!H27</f>
        <v>0</v>
      </c>
      <c r="Q27" s="67">
        <f>'JV2'!F27</f>
        <v>0</v>
      </c>
      <c r="R27" s="67">
        <f>'JV2'!G27</f>
        <v>0</v>
      </c>
      <c r="S27" s="67">
        <f>'JV2'!H27</f>
        <v>0</v>
      </c>
    </row>
    <row r="28" spans="2:19" outlineLevel="1" x14ac:dyDescent="0.25">
      <c r="B28" s="39" t="s">
        <v>475</v>
      </c>
      <c r="D28" s="107"/>
      <c r="E28" s="12">
        <f t="shared" si="12"/>
        <v>3196497.7832666663</v>
      </c>
      <c r="F28" s="12">
        <f t="shared" si="10"/>
        <v>5310918.6810073331</v>
      </c>
      <c r="G28" s="12">
        <f t="shared" si="11"/>
        <v>7485389.3886893336</v>
      </c>
      <c r="I28" s="12" cm="1">
        <f t="array" ref="I28:K28">{0,0,0}</f>
        <v>0</v>
      </c>
      <c r="J28" s="12">
        <v>0</v>
      </c>
      <c r="K28" s="12">
        <v>0</v>
      </c>
      <c r="M28" s="67">
        <f>'JV1'!F28</f>
        <v>1995184.8583333332</v>
      </c>
      <c r="N28" s="67">
        <f>'JV1'!G28</f>
        <v>3522926.4070000001</v>
      </c>
      <c r="O28" s="67">
        <f>'JV1'!H28</f>
        <v>5017501.2463333337</v>
      </c>
      <c r="Q28" s="67">
        <f>'JV2'!F28</f>
        <v>1201312.9249333334</v>
      </c>
      <c r="R28" s="67">
        <f>'JV2'!G28</f>
        <v>1787992.274007333</v>
      </c>
      <c r="S28" s="67">
        <f>'JV2'!H28</f>
        <v>2467888.1423559999</v>
      </c>
    </row>
    <row r="29" spans="2:19" outlineLevel="1" x14ac:dyDescent="0.25">
      <c r="B29" s="39" t="s">
        <v>476</v>
      </c>
      <c r="D29" s="107"/>
      <c r="E29" s="12">
        <f t="shared" si="12"/>
        <v>0</v>
      </c>
      <c r="F29" s="12">
        <f t="shared" si="10"/>
        <v>0</v>
      </c>
      <c r="G29" s="12">
        <f t="shared" si="11"/>
        <v>0</v>
      </c>
      <c r="I29" s="12" cm="1">
        <f t="array" ref="I29:K29">{0,0,0}</f>
        <v>0</v>
      </c>
      <c r="J29" s="12">
        <v>0</v>
      </c>
      <c r="K29" s="12">
        <v>0</v>
      </c>
      <c r="M29" s="67">
        <f>'JV1'!F29</f>
        <v>0</v>
      </c>
      <c r="N29" s="67">
        <f>'JV1'!G29</f>
        <v>0</v>
      </c>
      <c r="O29" s="67">
        <f>'JV1'!H29</f>
        <v>0</v>
      </c>
      <c r="Q29" s="67">
        <f>'JV2'!F29</f>
        <v>0</v>
      </c>
      <c r="R29" s="67">
        <f>'JV2'!G29</f>
        <v>0</v>
      </c>
      <c r="S29" s="67">
        <f>'JV2'!H29</f>
        <v>0</v>
      </c>
    </row>
    <row r="30" spans="2:19" outlineLevel="1" x14ac:dyDescent="0.25">
      <c r="B30" s="39" t="s">
        <v>107</v>
      </c>
      <c r="D30" s="107"/>
      <c r="E30" s="12">
        <f t="shared" si="12"/>
        <v>-12993761.887099806</v>
      </c>
      <c r="F30" s="12">
        <f t="shared" si="10"/>
        <v>-28242928.227237467</v>
      </c>
      <c r="G30" s="12">
        <f t="shared" si="11"/>
        <v>-40734996.317938931</v>
      </c>
      <c r="I30" s="12" cm="1">
        <f t="array" ref="I30:K30">{0,0,0}</f>
        <v>0</v>
      </c>
      <c r="J30" s="12">
        <v>0</v>
      </c>
      <c r="K30" s="12">
        <v>0</v>
      </c>
      <c r="M30" s="67">
        <f>'JV1'!F30</f>
        <v>-9000204.3831599988</v>
      </c>
      <c r="N30" s="67">
        <f>'JV1'!G30</f>
        <v>-22123474.834759593</v>
      </c>
      <c r="O30" s="67">
        <f>'JV1'!H30</f>
        <v>-32707770.231446791</v>
      </c>
      <c r="Q30" s="67">
        <f>'JV2'!F30</f>
        <v>-3993557.5039398074</v>
      </c>
      <c r="R30" s="67">
        <f>'JV2'!G30</f>
        <v>-6119453.3924778737</v>
      </c>
      <c r="S30" s="67">
        <f>'JV2'!H30</f>
        <v>-8027226.0864921389</v>
      </c>
    </row>
    <row r="31" spans="2:19" outlineLevel="1" x14ac:dyDescent="0.25">
      <c r="B31" s="39" t="s">
        <v>320</v>
      </c>
      <c r="C31" s="4"/>
      <c r="D31" s="107"/>
      <c r="E31" s="12">
        <f t="shared" si="12"/>
        <v>8699235.5739471838</v>
      </c>
      <c r="F31" s="12">
        <f t="shared" si="10"/>
        <v>11751149.958206676</v>
      </c>
      <c r="G31" s="12">
        <f t="shared" si="11"/>
        <v>15033214.42585302</v>
      </c>
      <c r="I31" s="12" cm="1">
        <f t="array" ref="I31:K31">I45:K45</f>
        <v>8699235.5739471838</v>
      </c>
      <c r="J31" s="12">
        <v>11751149.958206676</v>
      </c>
      <c r="K31" s="12">
        <v>15033214.42585302</v>
      </c>
      <c r="M31" s="67">
        <f>'JV1'!F31</f>
        <v>0</v>
      </c>
      <c r="N31" s="67">
        <f>'JV1'!G31</f>
        <v>0</v>
      </c>
      <c r="O31" s="67">
        <f>'JV1'!H31</f>
        <v>0</v>
      </c>
      <c r="Q31" s="67">
        <f>'JV2'!F31</f>
        <v>0</v>
      </c>
      <c r="R31" s="67">
        <f>'JV2'!G31</f>
        <v>0</v>
      </c>
      <c r="S31" s="67">
        <f>'JV2'!H31</f>
        <v>0</v>
      </c>
    </row>
    <row r="32" spans="2:19" x14ac:dyDescent="0.25">
      <c r="B32" s="1" t="s">
        <v>331</v>
      </c>
      <c r="C32" s="15"/>
      <c r="D32" s="107"/>
      <c r="E32" s="13">
        <f>SUM(E21:E30)</f>
        <v>95287587.172065243</v>
      </c>
      <c r="F32" s="13">
        <f t="shared" ref="F32:G32" si="13">SUM(F21:F31)</f>
        <v>218865956.95794812</v>
      </c>
      <c r="G32" s="13">
        <f t="shared" si="13"/>
        <v>313756520.75740522</v>
      </c>
      <c r="I32" s="13">
        <f>SUM(I21:I31)</f>
        <v>8699235.5739471838</v>
      </c>
      <c r="J32" s="13">
        <f t="shared" ref="J32:K32" si="14">SUM(J21:J31)</f>
        <v>11751149.958206676</v>
      </c>
      <c r="K32" s="13">
        <f t="shared" si="14"/>
        <v>15033214.42585302</v>
      </c>
      <c r="M32" s="13">
        <f>SUM(M21:M31)</f>
        <v>66001498.809840009</v>
      </c>
      <c r="N32" s="13">
        <f>SUM(N21:N31)</f>
        <v>162238815.45490375</v>
      </c>
      <c r="O32" s="13">
        <f>SUM(O21:O31)</f>
        <v>239856981.69727653</v>
      </c>
      <c r="Q32" s="13">
        <f>SUM(Q21:Q31)</f>
        <v>29286088.362225253</v>
      </c>
      <c r="R32" s="13">
        <f>SUM(R21:R31)</f>
        <v>44875991.544837743</v>
      </c>
      <c r="S32" s="13">
        <f>SUM(S21:S31)</f>
        <v>58866324.634275697</v>
      </c>
    </row>
    <row r="33" spans="2:19" x14ac:dyDescent="0.25">
      <c r="E33" s="60"/>
      <c r="F33" s="60"/>
      <c r="G33" s="60"/>
      <c r="I33" s="60"/>
      <c r="J33" s="60"/>
      <c r="K33" s="60"/>
    </row>
    <row r="34" spans="2:19" outlineLevel="1" x14ac:dyDescent="0.25">
      <c r="B34" s="1" t="s">
        <v>132</v>
      </c>
    </row>
    <row r="35" spans="2:19" outlineLevel="1" x14ac:dyDescent="0.25">
      <c r="B35" s="39" t="s">
        <v>23</v>
      </c>
      <c r="D35" s="83"/>
      <c r="E35" s="12">
        <f t="shared" ref="E35:E44" si="15">SUM(I35,M35,Q35)</f>
        <v>40372379.97330597</v>
      </c>
      <c r="F35" s="12">
        <f t="shared" ref="F35:F44" si="16">SUM(J35,N35,R35)</f>
        <v>80990661.792428374</v>
      </c>
      <c r="G35" s="12">
        <f t="shared" ref="G35:G44" si="17">SUM(K35,O35,S35)</f>
        <v>124503906.52750757</v>
      </c>
      <c r="I35" s="12" cm="1">
        <f t="array" ref="I35">SUM(_xlfn._xlws.FILTER(_xlfn.ANCHORARRAY('Corp.'!$E40),YEAR(_xlfn.ANCHORARRAY('Corp.'!$E$25))=I$20,0))</f>
        <v>8506088.3739471845</v>
      </c>
      <c r="J35" s="12" cm="1">
        <f t="array" ref="J35">SUM(_xlfn._xlws.FILTER(_xlfn.ANCHORARRAY('Corp.'!$E40),YEAR(_xlfn.ANCHORARRAY('Corp.'!$E$25))=J$20,0))</f>
        <v>11550276.870206676</v>
      </c>
      <c r="K35" s="12" cm="1">
        <f t="array" ref="K35">SUM(_xlfn._xlws.FILTER(_xlfn.ANCHORARRAY('Corp.'!$E40),YEAR(_xlfn.ANCHORARRAY('Corp.'!$E$25))=K$20,0))</f>
        <v>14824306.414333019</v>
      </c>
      <c r="M35" s="67">
        <f>'JV1'!F35</f>
        <v>15452304.199827505</v>
      </c>
      <c r="N35" s="67">
        <f>'JV1'!G35</f>
        <v>42165985.986392841</v>
      </c>
      <c r="O35" s="67">
        <f>'JV1'!H35</f>
        <v>70169067.22900185</v>
      </c>
      <c r="Q35" s="67">
        <f>'JV2'!F35</f>
        <v>16413987.399531281</v>
      </c>
      <c r="R35" s="67">
        <f>'JV2'!G35</f>
        <v>27274398.935828853</v>
      </c>
      <c r="S35" s="67">
        <f>'JV2'!H35</f>
        <v>39510532.884172708</v>
      </c>
    </row>
    <row r="36" spans="2:19" outlineLevel="1" x14ac:dyDescent="0.25">
      <c r="B36" s="39" t="s">
        <v>24</v>
      </c>
      <c r="D36" s="83"/>
      <c r="E36" s="12">
        <f t="shared" si="15"/>
        <v>19728614.400000002</v>
      </c>
      <c r="F36" s="12">
        <f t="shared" si="16"/>
        <v>41181043.199999988</v>
      </c>
      <c r="G36" s="12">
        <f t="shared" si="17"/>
        <v>57884851.200000003</v>
      </c>
      <c r="I36" s="12" cm="1">
        <f t="array" ref="I36">SUM(_xlfn._xlws.FILTER(_xlfn.ANCHORARRAY('Corp.'!$E41),YEAR(_xlfn.ANCHORARRAY('Corp.'!$E$25))=I$20,0))</f>
        <v>0</v>
      </c>
      <c r="J36" s="12" cm="1">
        <f t="array" ref="J36">SUM(_xlfn._xlws.FILTER(_xlfn.ANCHORARRAY('Corp.'!$E41),YEAR(_xlfn.ANCHORARRAY('Corp.'!$E$25))=J$20,0))</f>
        <v>0</v>
      </c>
      <c r="K36" s="12" cm="1">
        <f t="array" ref="K36">SUM(_xlfn._xlws.FILTER(_xlfn.ANCHORARRAY('Corp.'!$E41),YEAR(_xlfn.ANCHORARRAY('Corp.'!$E$25))=K$20,0))</f>
        <v>0</v>
      </c>
      <c r="M36" s="67">
        <f>'JV1'!F36</f>
        <v>19728614.400000002</v>
      </c>
      <c r="N36" s="67">
        <f>'JV1'!G36</f>
        <v>41181043.199999988</v>
      </c>
      <c r="O36" s="67">
        <f>'JV1'!H36</f>
        <v>57884851.200000003</v>
      </c>
      <c r="Q36" s="67">
        <f>'JV2'!F36</f>
        <v>0</v>
      </c>
      <c r="R36" s="67">
        <f>'JV2'!G36</f>
        <v>0</v>
      </c>
      <c r="S36" s="67">
        <f>'JV2'!H36</f>
        <v>0</v>
      </c>
    </row>
    <row r="37" spans="2:19" outlineLevel="1" x14ac:dyDescent="0.25">
      <c r="B37" s="39" t="s">
        <v>28</v>
      </c>
      <c r="D37" s="83"/>
      <c r="E37" s="12">
        <f t="shared" si="15"/>
        <v>1692571.6999999997</v>
      </c>
      <c r="F37" s="12">
        <f t="shared" si="16"/>
        <v>2893319.2031000005</v>
      </c>
      <c r="G37" s="12">
        <f t="shared" si="17"/>
        <v>4176137.315955</v>
      </c>
      <c r="I37" s="12" cm="1">
        <f t="array" ref="I37">SUM(_xlfn._xlws.FILTER(_xlfn.ANCHORARRAY('Corp.'!$E42),YEAR(_xlfn.ANCHORARRAY('Corp.'!$E$25))=I$20,0))</f>
        <v>0</v>
      </c>
      <c r="J37" s="12" cm="1">
        <f t="array" ref="J37">SUM(_xlfn._xlws.FILTER(_xlfn.ANCHORARRAY('Corp.'!$E42),YEAR(_xlfn.ANCHORARRAY('Corp.'!$E$25))=J$20,0))</f>
        <v>0</v>
      </c>
      <c r="K37" s="12" cm="1">
        <f t="array" ref="K37">SUM(_xlfn._xlws.FILTER(_xlfn.ANCHORARRAY('Corp.'!$E42),YEAR(_xlfn.ANCHORARRAY('Corp.'!$E$25))=K$20,0))</f>
        <v>0</v>
      </c>
      <c r="M37" s="67">
        <f>'JV1'!F37</f>
        <v>1228937.8799999999</v>
      </c>
      <c r="N37" s="67">
        <f>'JV1'!G37</f>
        <v>2115556.0164000001</v>
      </c>
      <c r="O37" s="67">
        <f>'JV1'!H37</f>
        <v>3070178.6968919998</v>
      </c>
      <c r="Q37" s="67">
        <f>'JV2'!F37</f>
        <v>463633.81999999995</v>
      </c>
      <c r="R37" s="67">
        <f>'JV2'!G37</f>
        <v>777763.18670000019</v>
      </c>
      <c r="S37" s="67">
        <f>'JV2'!H37</f>
        <v>1105958.619063</v>
      </c>
    </row>
    <row r="38" spans="2:19" outlineLevel="1" x14ac:dyDescent="0.25">
      <c r="B38" s="39" t="s">
        <v>31</v>
      </c>
      <c r="D38" s="83"/>
      <c r="E38" s="12">
        <f t="shared" si="15"/>
        <v>890575.16</v>
      </c>
      <c r="F38" s="12">
        <f t="shared" si="16"/>
        <v>1589926.1664</v>
      </c>
      <c r="G38" s="12">
        <f t="shared" si="17"/>
        <v>2317409.293056</v>
      </c>
      <c r="H38" s="12"/>
      <c r="I38" s="12" cm="1">
        <f t="array" ref="I38">SUM(_xlfn._xlws.FILTER(_xlfn.ANCHORARRAY('Corp.'!$E43),YEAR(_xlfn.ANCHORARRAY('Corp.'!$E$25))=I$20,0))</f>
        <v>0</v>
      </c>
      <c r="J38" s="12" cm="1">
        <f t="array" ref="J38">SUM(_xlfn._xlws.FILTER(_xlfn.ANCHORARRAY('Corp.'!$E43),YEAR(_xlfn.ANCHORARRAY('Corp.'!$E$25))=J$20,0))</f>
        <v>0</v>
      </c>
      <c r="K38" s="12" cm="1">
        <f t="array" ref="K38">SUM(_xlfn._xlws.FILTER(_xlfn.ANCHORARRAY('Corp.'!$E43),YEAR(_xlfn.ANCHORARRAY('Corp.'!$E$25))=K$20,0))</f>
        <v>0</v>
      </c>
      <c r="L38" s="12"/>
      <c r="M38" s="67">
        <f>'JV1'!F38</f>
        <v>621440.04</v>
      </c>
      <c r="N38" s="67">
        <f>'JV1'!G38</f>
        <v>1137697.6416</v>
      </c>
      <c r="O38" s="67">
        <f>'JV1'!H38</f>
        <v>1682039.4672640001</v>
      </c>
      <c r="Q38" s="67">
        <f>'JV2'!F38</f>
        <v>269135.12</v>
      </c>
      <c r="R38" s="67">
        <f>'JV2'!G38</f>
        <v>452228.52480000001</v>
      </c>
      <c r="S38" s="67">
        <f>'JV2'!H38</f>
        <v>635369.82579200005</v>
      </c>
    </row>
    <row r="39" spans="2:19" outlineLevel="1" x14ac:dyDescent="0.25">
      <c r="B39" s="39" t="s">
        <v>34</v>
      </c>
      <c r="D39" s="83"/>
      <c r="E39" s="12">
        <f t="shared" si="15"/>
        <v>448753.25340000005</v>
      </c>
      <c r="F39" s="12">
        <f t="shared" si="16"/>
        <v>645395.33447999996</v>
      </c>
      <c r="G39" s="12">
        <f t="shared" si="17"/>
        <v>825647.47286528023</v>
      </c>
      <c r="H39" s="12"/>
      <c r="I39" s="12" cm="1">
        <f t="array" ref="I39">SUM(_xlfn._xlws.FILTER(_xlfn.ANCHORARRAY('Corp.'!$E44),YEAR(_xlfn.ANCHORARRAY('Corp.'!$E$25))=I$20,0))</f>
        <v>193147.20000000004</v>
      </c>
      <c r="J39" s="12" cm="1">
        <f t="array" ref="J39">SUM(_xlfn._xlws.FILTER(_xlfn.ANCHORARRAY('Corp.'!$E44),YEAR(_xlfn.ANCHORARRAY('Corp.'!$E$25))=J$20,0))</f>
        <v>200873.08800000002</v>
      </c>
      <c r="K39" s="12" cm="1">
        <f t="array" ref="K39">SUM(_xlfn._xlws.FILTER(_xlfn.ANCHORARRAY('Corp.'!$E44),YEAR(_xlfn.ANCHORARRAY('Corp.'!$E$25))=K$20,0))</f>
        <v>208908.01152000003</v>
      </c>
      <c r="L39" s="12"/>
      <c r="M39" s="67">
        <f>'JV1'!F39</f>
        <v>110846.52119999999</v>
      </c>
      <c r="N39" s="67">
        <f>'JV1'!G39</f>
        <v>237173.14420799998</v>
      </c>
      <c r="O39" s="67">
        <f>'JV1'!H39</f>
        <v>362083.70273920009</v>
      </c>
      <c r="Q39" s="67">
        <f>'JV2'!F39</f>
        <v>144759.53220000002</v>
      </c>
      <c r="R39" s="67">
        <f>'JV2'!G39</f>
        <v>207349.10227199999</v>
      </c>
      <c r="S39" s="67">
        <f>'JV2'!H39</f>
        <v>254655.75860608008</v>
      </c>
    </row>
    <row r="40" spans="2:19" outlineLevel="1" x14ac:dyDescent="0.25">
      <c r="B40" s="39" t="s">
        <v>37</v>
      </c>
      <c r="D40" s="83"/>
      <c r="E40" s="12">
        <f t="shared" si="15"/>
        <v>940500</v>
      </c>
      <c r="F40" s="12">
        <f t="shared" si="16"/>
        <v>1577175</v>
      </c>
      <c r="G40" s="12">
        <f t="shared" si="17"/>
        <v>2132559.9</v>
      </c>
      <c r="H40" s="12"/>
      <c r="I40" s="12" cm="1">
        <f t="array" ref="I40">SUM(_xlfn._xlws.FILTER(_xlfn.ANCHORARRAY('Corp.'!$E45),YEAR(_xlfn.ANCHORARRAY('Corp.'!$E$25))=I$20,0))</f>
        <v>0</v>
      </c>
      <c r="J40" s="12" cm="1">
        <f t="array" ref="J40">SUM(_xlfn._xlws.FILTER(_xlfn.ANCHORARRAY('Corp.'!$E45),YEAR(_xlfn.ANCHORARRAY('Corp.'!$E$25))=J$20,0))</f>
        <v>0</v>
      </c>
      <c r="K40" s="12" cm="1">
        <f t="array" ref="K40">SUM(_xlfn._xlws.FILTER(_xlfn.ANCHORARRAY('Corp.'!$E45),YEAR(_xlfn.ANCHORARRAY('Corp.'!$E$25))=K$20,0))</f>
        <v>0</v>
      </c>
      <c r="L40" s="12"/>
      <c r="M40" s="67">
        <f>'JV1'!F40</f>
        <v>577500</v>
      </c>
      <c r="N40" s="67">
        <f>'JV1'!G40</f>
        <v>995520</v>
      </c>
      <c r="O40" s="67">
        <f>'JV1'!H40</f>
        <v>1396216.7999999998</v>
      </c>
      <c r="Q40" s="67">
        <f>'JV2'!F40</f>
        <v>363000</v>
      </c>
      <c r="R40" s="67">
        <f>'JV2'!G40</f>
        <v>581655</v>
      </c>
      <c r="S40" s="67">
        <f>'JV2'!H40</f>
        <v>736343.1</v>
      </c>
    </row>
    <row r="41" spans="2:19" outlineLevel="1" x14ac:dyDescent="0.25">
      <c r="B41" s="39" t="s">
        <v>40</v>
      </c>
      <c r="D41" s="83"/>
      <c r="E41" s="12">
        <f t="shared" si="15"/>
        <v>2622782.5</v>
      </c>
      <c r="F41" s="12">
        <f t="shared" si="16"/>
        <v>5167152.2100000009</v>
      </c>
      <c r="G41" s="12">
        <f t="shared" si="17"/>
        <v>7482379.4117999999</v>
      </c>
      <c r="H41" s="12"/>
      <c r="I41" s="12" cm="1">
        <f t="array" ref="I41">SUM(_xlfn._xlws.FILTER(_xlfn.ANCHORARRAY('Corp.'!$E46),YEAR(_xlfn.ANCHORARRAY('Corp.'!$E$25))=I$20,0))</f>
        <v>0</v>
      </c>
      <c r="J41" s="12" cm="1">
        <f t="array" ref="J41">SUM(_xlfn._xlws.FILTER(_xlfn.ANCHORARRAY('Corp.'!$E46),YEAR(_xlfn.ANCHORARRAY('Corp.'!$E$25))=J$20,0))</f>
        <v>0</v>
      </c>
      <c r="K41" s="12" cm="1">
        <f t="array" ref="K41">SUM(_xlfn._xlws.FILTER(_xlfn.ANCHORARRAY('Corp.'!$E46),YEAR(_xlfn.ANCHORARRAY('Corp.'!$E$25))=K$20,0))</f>
        <v>0</v>
      </c>
      <c r="L41" s="12"/>
      <c r="M41" s="67">
        <f>'JV1'!F41</f>
        <v>1093800.5</v>
      </c>
      <c r="N41" s="67">
        <f>'JV1'!G41</f>
        <v>2847953.22</v>
      </c>
      <c r="O41" s="67">
        <f>'JV1'!H41</f>
        <v>4441086.8136</v>
      </c>
      <c r="Q41" s="67">
        <f>'JV2'!F41</f>
        <v>1528982</v>
      </c>
      <c r="R41" s="67">
        <f>'JV2'!G41</f>
        <v>2319198.9900000002</v>
      </c>
      <c r="S41" s="67">
        <f>'JV2'!H41</f>
        <v>3041292.5981999999</v>
      </c>
    </row>
    <row r="42" spans="2:19" outlineLevel="1" x14ac:dyDescent="0.25">
      <c r="B42" s="39" t="s">
        <v>42</v>
      </c>
      <c r="D42" s="83"/>
      <c r="E42" s="12">
        <f t="shared" si="15"/>
        <v>752200</v>
      </c>
      <c r="F42" s="12">
        <f t="shared" si="16"/>
        <v>1319482.5</v>
      </c>
      <c r="G42" s="12">
        <f t="shared" si="17"/>
        <v>1912727.25</v>
      </c>
      <c r="H42" s="12"/>
      <c r="I42" s="12" cm="1">
        <f t="array" ref="I42">SUM(_xlfn._xlws.FILTER(_xlfn.ANCHORARRAY('Corp.'!$E47),YEAR(_xlfn.ANCHORARRAY('Corp.'!$E$25))=I$20,0))</f>
        <v>0</v>
      </c>
      <c r="J42" s="12" cm="1">
        <f t="array" ref="J42">SUM(_xlfn._xlws.FILTER(_xlfn.ANCHORARRAY('Corp.'!$E47),YEAR(_xlfn.ANCHORARRAY('Corp.'!$E$25))=J$20,0))</f>
        <v>0</v>
      </c>
      <c r="K42" s="12" cm="1">
        <f t="array" ref="K42">SUM(_xlfn._xlws.FILTER(_xlfn.ANCHORARRAY('Corp.'!$E47),YEAR(_xlfn.ANCHORARRAY('Corp.'!$E$25))=K$20,0))</f>
        <v>0</v>
      </c>
      <c r="L42" s="12"/>
      <c r="M42" s="67">
        <f>'JV1'!F42</f>
        <v>462000</v>
      </c>
      <c r="N42" s="67">
        <f>'JV1'!G42</f>
        <v>831600</v>
      </c>
      <c r="O42" s="67">
        <f>'JV1'!H42</f>
        <v>1243620</v>
      </c>
      <c r="Q42" s="67">
        <f>'JV2'!F42</f>
        <v>290200</v>
      </c>
      <c r="R42" s="67">
        <f>'JV2'!G42</f>
        <v>487882.5</v>
      </c>
      <c r="S42" s="67">
        <f>'JV2'!H42</f>
        <v>669107.25</v>
      </c>
    </row>
    <row r="43" spans="2:19" outlineLevel="1" x14ac:dyDescent="0.25">
      <c r="B43" s="39" t="s">
        <v>43</v>
      </c>
      <c r="D43" s="83"/>
      <c r="E43" s="12">
        <f t="shared" si="15"/>
        <v>1219327.46</v>
      </c>
      <c r="F43" s="12">
        <f t="shared" si="16"/>
        <v>987188.46</v>
      </c>
      <c r="G43" s="12">
        <f t="shared" si="17"/>
        <v>987188.46</v>
      </c>
      <c r="H43" s="12"/>
      <c r="I43" s="12" cm="1">
        <f t="array" ref="I43">SUM(_xlfn._xlws.FILTER(_xlfn.ANCHORARRAY('Corp.'!$E48),YEAR(_xlfn.ANCHORARRAY('Corp.'!$E$25))=I$20,0))</f>
        <v>0</v>
      </c>
      <c r="J43" s="12" cm="1">
        <f t="array" ref="J43">SUM(_xlfn._xlws.FILTER(_xlfn.ANCHORARRAY('Corp.'!$E48),YEAR(_xlfn.ANCHORARRAY('Corp.'!$E$25))=J$20,0))</f>
        <v>0</v>
      </c>
      <c r="K43" s="12" cm="1">
        <f t="array" ref="K43">SUM(_xlfn._xlws.FILTER(_xlfn.ANCHORARRAY('Corp.'!$E48),YEAR(_xlfn.ANCHORARRAY('Corp.'!$E$25))=K$20,0))</f>
        <v>0</v>
      </c>
      <c r="L43" s="12"/>
      <c r="M43" s="67">
        <f>'JV1'!F43</f>
        <v>885172.34999999986</v>
      </c>
      <c r="N43" s="67">
        <f>'JV1'!G43</f>
        <v>756172.35</v>
      </c>
      <c r="O43" s="67">
        <f>'JV1'!H43</f>
        <v>756172.35</v>
      </c>
      <c r="Q43" s="67">
        <f>'JV2'!F43</f>
        <v>334155.11</v>
      </c>
      <c r="R43" s="67">
        <f>'JV2'!G43</f>
        <v>231016.11</v>
      </c>
      <c r="S43" s="67">
        <f>'JV2'!H43</f>
        <v>231016.11</v>
      </c>
    </row>
    <row r="44" spans="2:19" outlineLevel="1" x14ac:dyDescent="0.25">
      <c r="B44" s="39" t="s">
        <v>44</v>
      </c>
      <c r="D44" s="83"/>
      <c r="E44" s="12">
        <f t="shared" si="15"/>
        <v>8699235.5739471838</v>
      </c>
      <c r="F44" s="12">
        <f t="shared" si="16"/>
        <v>11751149.95820668</v>
      </c>
      <c r="G44" s="12">
        <f t="shared" si="17"/>
        <v>15033214.425853025</v>
      </c>
      <c r="H44" s="12"/>
      <c r="I44" s="12" cm="1">
        <f t="array" ref="I44">SUM(_xlfn._xlws.FILTER(_xlfn.ANCHORARRAY('Corp.'!$E49),YEAR(_xlfn.ANCHORARRAY('Corp.'!$E$25))=I$20,0))</f>
        <v>0</v>
      </c>
      <c r="J44" s="12" cm="1">
        <f t="array" ref="J44">SUM(_xlfn._xlws.FILTER(_xlfn.ANCHORARRAY('Corp.'!$E49),YEAR(_xlfn.ANCHORARRAY('Corp.'!$E$25))=J$20,0))</f>
        <v>0</v>
      </c>
      <c r="K44" s="12" cm="1">
        <f t="array" ref="K44">SUM(_xlfn._xlws.FILTER(_xlfn.ANCHORARRAY('Corp.'!$E49),YEAR(_xlfn.ANCHORARRAY('Corp.'!$E$25))=K$20,0))</f>
        <v>0</v>
      </c>
      <c r="L44" s="12"/>
      <c r="M44" s="67">
        <f>'JV1'!F44</f>
        <v>4288919.3309256192</v>
      </c>
      <c r="N44" s="67">
        <f>'JV1'!G44</f>
        <v>7770086.4636398945</v>
      </c>
      <c r="O44" s="67">
        <f>'JV1'!H44</f>
        <v>10508298.346437296</v>
      </c>
      <c r="Q44" s="67">
        <f>'JV2'!F44</f>
        <v>4410316.2430215646</v>
      </c>
      <c r="R44" s="67">
        <f>'JV2'!G44</f>
        <v>3981063.4945667861</v>
      </c>
      <c r="S44" s="67">
        <f>'JV2'!H44</f>
        <v>4524916.0794157293</v>
      </c>
    </row>
    <row r="45" spans="2:19" x14ac:dyDescent="0.25">
      <c r="B45" s="1" t="s">
        <v>332</v>
      </c>
      <c r="E45" s="13">
        <f>SUM(E35:E43)</f>
        <v>68667704.446705967</v>
      </c>
      <c r="F45" s="13">
        <f>SUM(F35:F44)</f>
        <v>148102493.82461506</v>
      </c>
      <c r="G45" s="13">
        <f>SUM(G35:G44)</f>
        <v>217256021.25703692</v>
      </c>
      <c r="H45" s="13"/>
      <c r="I45" s="13">
        <f>SUM(I35:I43)</f>
        <v>8699235.5739471838</v>
      </c>
      <c r="J45" s="13">
        <f>SUM(J35:J44)</f>
        <v>11751149.958206676</v>
      </c>
      <c r="K45" s="13">
        <f>SUM(K35:K44)</f>
        <v>15033214.42585302</v>
      </c>
      <c r="L45" s="13"/>
      <c r="M45" s="13">
        <f>SUM(M35:M44)</f>
        <v>44449535.221953131</v>
      </c>
      <c r="N45" s="13">
        <f>SUM(N35:N44)</f>
        <v>100038788.02224071</v>
      </c>
      <c r="O45" s="13">
        <f>SUM(O35:O44)</f>
        <v>151513614.60593435</v>
      </c>
      <c r="P45" s="13"/>
      <c r="Q45" s="13">
        <f>SUM(Q35:Q44)</f>
        <v>24218169.224752843</v>
      </c>
      <c r="R45" s="13">
        <f>SUM(R35:R44)</f>
        <v>36312555.844167635</v>
      </c>
      <c r="S45" s="13">
        <f>SUM(S35:S44)</f>
        <v>50709192.225249521</v>
      </c>
    </row>
    <row r="47" spans="2:19" x14ac:dyDescent="0.25">
      <c r="B47" s="1" t="s">
        <v>50</v>
      </c>
      <c r="E47" s="74">
        <f t="shared" ref="E47:G47" si="18">E32-E45</f>
        <v>26619882.725359276</v>
      </c>
      <c r="F47" s="74">
        <f t="shared" si="18"/>
        <v>70763463.133333057</v>
      </c>
      <c r="G47" s="74">
        <f t="shared" si="18"/>
        <v>96500499.500368297</v>
      </c>
      <c r="I47" s="74">
        <f t="shared" ref="I47:K47" si="19">I32-I45</f>
        <v>0</v>
      </c>
      <c r="J47" s="74">
        <f t="shared" si="19"/>
        <v>0</v>
      </c>
      <c r="K47" s="74">
        <f t="shared" si="19"/>
        <v>0</v>
      </c>
      <c r="M47" s="74">
        <f>M32-M45</f>
        <v>21551963.587886877</v>
      </c>
      <c r="N47" s="74">
        <f>N32-N45</f>
        <v>62200027.432663038</v>
      </c>
      <c r="O47" s="74">
        <f>O32-O45</f>
        <v>88343367.091342181</v>
      </c>
      <c r="Q47" s="74">
        <f>Q32-Q45</f>
        <v>5067919.1374724098</v>
      </c>
      <c r="R47" s="74">
        <f>R32-R45</f>
        <v>8563435.7006701082</v>
      </c>
      <c r="S47" s="74">
        <f>S32-S45</f>
        <v>8157132.4090261757</v>
      </c>
    </row>
    <row r="48" spans="2:19" x14ac:dyDescent="0.25">
      <c r="B48" s="112" t="s">
        <v>333</v>
      </c>
      <c r="E48" s="111">
        <f>IFERROR(E47/E32,"")</f>
        <v>0.27936359304901393</v>
      </c>
      <c r="F48" s="111">
        <f t="shared" ref="F48" si="20">IFERROR(F47/F32,"")</f>
        <v>0.32331872949491736</v>
      </c>
      <c r="G48" s="111">
        <f t="shared" ref="G48" si="21">IFERROR(G47/G32,"")</f>
        <v>0.30756492093747412</v>
      </c>
      <c r="H48" s="12"/>
      <c r="I48" s="111">
        <f>IFERROR(I47/I32,"")</f>
        <v>0</v>
      </c>
      <c r="J48" s="111">
        <f t="shared" ref="J48:K48" si="22">IFERROR(J47/J32,"")</f>
        <v>0</v>
      </c>
      <c r="K48" s="111">
        <f t="shared" si="22"/>
        <v>0</v>
      </c>
      <c r="L48" s="12"/>
      <c r="M48" s="111">
        <f>IFERROR(M47/M32,"")</f>
        <v>0.32653748742859984</v>
      </c>
      <c r="N48" s="111">
        <f t="shared" ref="N48" si="23">IFERROR(N47/N32,"")</f>
        <v>0.38338561125621812</v>
      </c>
      <c r="O48" s="111">
        <f t="shared" ref="O48" si="24">IFERROR(O47/O32,"")</f>
        <v>0.36831684642325874</v>
      </c>
      <c r="P48" s="12"/>
      <c r="Q48" s="111">
        <f>IFERROR(Q47/Q32,"")</f>
        <v>0.17304868696665138</v>
      </c>
      <c r="R48" s="111">
        <f t="shared" ref="R48" si="25">IFERROR(R47/R32,"")</f>
        <v>0.19082443431058166</v>
      </c>
      <c r="S48" s="111">
        <f t="shared" ref="S48" si="26">IFERROR(S47/S32,"")</f>
        <v>0.13857043835681526</v>
      </c>
    </row>
    <row r="49" spans="2:19" x14ac:dyDescent="0.25">
      <c r="B49" t="s">
        <v>477</v>
      </c>
      <c r="E49" s="12">
        <f t="shared" ref="E49" si="27">SUM(I49,M49,Q49)</f>
        <v>0</v>
      </c>
      <c r="F49" s="12">
        <f t="shared" ref="F49" si="28">SUM(J49,N49,R49)</f>
        <v>0</v>
      </c>
      <c r="G49" s="12">
        <f t="shared" ref="G49" si="29">SUM(K49,O49,S49)</f>
        <v>3.7252902984619141E-9</v>
      </c>
      <c r="I49" s="67">
        <f>-SUM(M49,Q49)</f>
        <v>9316958.9538757503</v>
      </c>
      <c r="J49" s="67">
        <f t="shared" ref="J49:K49" si="30">-SUM(N49,R49)</f>
        <v>24767212.096666601</v>
      </c>
      <c r="K49" s="67">
        <f t="shared" si="30"/>
        <v>33775174.825128928</v>
      </c>
      <c r="M49" s="67">
        <f>M47*-0.35</f>
        <v>-7543187.2557604061</v>
      </c>
      <c r="N49" s="67">
        <f t="shared" ref="N49:O49" si="31">N47*-0.35</f>
        <v>-21770009.601432063</v>
      </c>
      <c r="O49" s="67">
        <f t="shared" si="31"/>
        <v>-30920178.481969763</v>
      </c>
      <c r="Q49" s="67">
        <f>Q47*-0.35</f>
        <v>-1773771.6981153432</v>
      </c>
      <c r="R49" s="67">
        <f t="shared" ref="R49" si="32">R47*-0.35</f>
        <v>-2997202.4952345379</v>
      </c>
      <c r="S49" s="67">
        <f t="shared" ref="S49" si="33">S47*-0.35</f>
        <v>-2854996.3431591615</v>
      </c>
    </row>
    <row r="50" spans="2:19" x14ac:dyDescent="0.25">
      <c r="B50" s="1" t="s">
        <v>531</v>
      </c>
      <c r="E50" s="74">
        <f>SUM(E47,E49)-(SUM(E26:E27,E29)*0.9)+E36-'JV1'!N36</f>
        <v>26619882.72535928</v>
      </c>
      <c r="F50" s="74">
        <f>SUM(F47,F49)-(SUM(F26:F27,F29)*0.9)+F36-'JV1'!O36</f>
        <v>70763463.133333057</v>
      </c>
      <c r="G50" s="74">
        <f>SUM(G47,G49)-(SUM(G26:G27,G29)*0.9)+G36-'JV1'!P36</f>
        <v>96500499.500368282</v>
      </c>
      <c r="I50" s="74">
        <f>SUM(I47,I49)-(SUM(I26:I27,I29)*0.9)+I36</f>
        <v>9316958.9538757503</v>
      </c>
      <c r="J50" s="74">
        <f t="shared" ref="J50:K50" si="34">SUM(J47,J49)-(SUM(J26:J27,J29)*0.9)+J36</f>
        <v>24767212.096666601</v>
      </c>
      <c r="K50" s="74">
        <f t="shared" si="34"/>
        <v>33775174.825128928</v>
      </c>
      <c r="M50" s="74">
        <f>SUM(M47,M49)-(SUM(M26:M27,M29)*0.9)+M36-'JV1'!N36</f>
        <v>14008776.332126472</v>
      </c>
      <c r="N50" s="74">
        <f>SUM(N47,N49)-(SUM(N26:N27,N29)*0.9)+N36-'JV1'!O36</f>
        <v>40430017.831230968</v>
      </c>
      <c r="O50" s="74">
        <f>SUM(O47,O49)-(SUM(O26:O27,O29)*0.9)+O36-'JV1'!P36</f>
        <v>57423188.609372422</v>
      </c>
      <c r="Q50" s="74">
        <f>SUM(Q47,Q49)-(SUM(Q26:Q27,Q29)*0.9)+Q36</f>
        <v>3294147.4393570665</v>
      </c>
      <c r="R50" s="74">
        <f t="shared" ref="R50:S50" si="35">SUM(R47,R49)-(SUM(R26:R27,R29)*0.9)+R36</f>
        <v>5566233.2054355703</v>
      </c>
      <c r="S50" s="74">
        <f t="shared" si="35"/>
        <v>5302136.0658670142</v>
      </c>
    </row>
    <row r="51" spans="2:19" x14ac:dyDescent="0.25">
      <c r="B51" s="112" t="s">
        <v>333</v>
      </c>
      <c r="E51" s="111">
        <f>IFERROR(E50/(E32-(SUM(E26:E27,E29)*0.9)),"")</f>
        <v>0.27936359304901398</v>
      </c>
      <c r="F51" s="111">
        <f t="shared" ref="F51:G51" si="36">IFERROR(F50/(F32-(SUM(F26:F27,F29)*0.9)),"")</f>
        <v>0.32331872949491736</v>
      </c>
      <c r="G51" s="111">
        <f t="shared" si="36"/>
        <v>0.30756492093747406</v>
      </c>
      <c r="H51" s="12"/>
      <c r="I51" s="111">
        <f t="shared" ref="I51" si="37">IFERROR(I50/(I32-(SUM(I26:I27,I29)*0.9)),"")</f>
        <v>1.0710089265519547</v>
      </c>
      <c r="J51" s="111">
        <f t="shared" ref="J51" si="38">IFERROR(J50/(J32-(SUM(J26:J27,J29)*0.9)),"")</f>
        <v>2.1076415656979912</v>
      </c>
      <c r="K51" s="111">
        <f t="shared" ref="K51" si="39">IFERROR(K50/(K32-(SUM(K26:K27,K29)*0.9)),"")</f>
        <v>2.2467034573154798</v>
      </c>
      <c r="L51" s="12"/>
      <c r="M51" s="111">
        <f t="shared" ref="M51" si="40">IFERROR(M50/(M32-(SUM(M26:M27,M29)*0.9)),"")</f>
        <v>0.21224936682858991</v>
      </c>
      <c r="N51" s="111">
        <f t="shared" ref="N51" si="41">IFERROR(N50/(N32-(SUM(N26:N27,N29)*0.9)),"")</f>
        <v>0.24920064731654173</v>
      </c>
      <c r="O51" s="111">
        <f t="shared" ref="O51" si="42">IFERROR(O50/(O32-(SUM(O26:O27,O29)*0.9)),"")</f>
        <v>0.2394059501751182</v>
      </c>
      <c r="P51" s="12"/>
      <c r="Q51" s="111">
        <f t="shared" ref="Q51" si="43">IFERROR(Q50/(Q32-(SUM(Q26:Q27,Q29)*0.9)),"")</f>
        <v>0.1124816465283234</v>
      </c>
      <c r="R51" s="111">
        <f t="shared" ref="R51" si="44">IFERROR(R50/(R32-(SUM(R26:R27,R29)*0.9)),"")</f>
        <v>0.12403588230187808</v>
      </c>
      <c r="S51" s="111">
        <f t="shared" ref="S51" si="45">IFERROR(S50/(S32-(SUM(S26:S27,S29)*0.9)),"")</f>
        <v>9.0070784931929909E-2</v>
      </c>
    </row>
    <row r="52" spans="2:19" x14ac:dyDescent="0.25">
      <c r="B52" s="1" t="s">
        <v>334</v>
      </c>
      <c r="E52" s="74">
        <f>E47-E66</f>
        <v>25060953.247089617</v>
      </c>
      <c r="F52" s="74">
        <f>F47-F66</f>
        <v>67479991.847954869</v>
      </c>
      <c r="G52" s="74">
        <f>G47-G66</f>
        <v>90569084.601420909</v>
      </c>
      <c r="H52" s="12"/>
      <c r="I52" s="74"/>
      <c r="J52" s="74"/>
      <c r="K52" s="74"/>
      <c r="L52" s="12"/>
      <c r="P52" s="12"/>
    </row>
    <row r="54" spans="2:19" x14ac:dyDescent="0.25">
      <c r="B54" t="s">
        <v>60</v>
      </c>
      <c r="C54" s="12"/>
      <c r="D54" s="12"/>
      <c r="E54" s="12" cm="1">
        <f t="array" ref="E54">SUM(_xlfn._xlws.FILTER(All!$E58:$AN58, YEAR(All!$E$25:$AN$25)=E$20))</f>
        <v>12656379.999999998</v>
      </c>
      <c r="F54" s="12" cm="1">
        <f t="array" ref="F54">SUM(_xlfn._xlws.FILTER(All!$E58:$AN58, YEAR(All!$E$25:$AN$25)=F$20))</f>
        <v>8674386.666666666</v>
      </c>
      <c r="G54" s="12" cm="1">
        <f t="array" ref="G54">SUM(_xlfn._xlws.FILTER(All!$E58:$AN58, YEAR(All!$E$25:$AN$25)=G$20))</f>
        <v>9499013.3333333321</v>
      </c>
      <c r="H54" s="150">
        <f>All!$D$58</f>
        <v>4544740</v>
      </c>
      <c r="I54" s="12" cm="1">
        <f t="array" ref="I54:K54">{0,0,0}</f>
        <v>0</v>
      </c>
      <c r="J54" s="12">
        <v>0</v>
      </c>
      <c r="K54" s="12">
        <v>0</v>
      </c>
      <c r="L54" s="150">
        <f>All!$D$58</f>
        <v>4544740</v>
      </c>
      <c r="M54" s="67">
        <f t="shared" ref="M54:O55" si="46">Q54+U54</f>
        <v>0</v>
      </c>
      <c r="N54" s="67">
        <f t="shared" si="46"/>
        <v>0</v>
      </c>
      <c r="O54" s="67">
        <f t="shared" si="46"/>
        <v>0</v>
      </c>
      <c r="P54" s="150">
        <f>All!$D$58</f>
        <v>4544740</v>
      </c>
      <c r="Q54" s="67">
        <f t="shared" ref="Q54:S55" si="47">U54+Y54+AC54</f>
        <v>0</v>
      </c>
      <c r="R54" s="67">
        <f t="shared" si="47"/>
        <v>0</v>
      </c>
      <c r="S54" s="67">
        <f t="shared" si="47"/>
        <v>0</v>
      </c>
    </row>
    <row r="55" spans="2:19" x14ac:dyDescent="0.25">
      <c r="B55" t="s">
        <v>335</v>
      </c>
      <c r="C55" s="12"/>
      <c r="D55" s="12"/>
      <c r="E55" s="12" cm="1">
        <f t="array" ref="E55">SUM(_xlfn._xlws.FILTER(All!$E59:$AN59, YEAR(All!$E$25:$AN$25)=E$20))</f>
        <v>-33895218.284590721</v>
      </c>
      <c r="F55" s="12" cm="1">
        <f t="array" ref="F55">SUM(_xlfn._xlws.FILTER(All!$E59:$AN59, YEAR(All!$E$25:$AN$25)=F$20))</f>
        <v>-70987848.161986679</v>
      </c>
      <c r="G55" s="12" cm="1">
        <f t="array" ref="G55">SUM(_xlfn._xlws.FILTER(All!$E59:$AN59, YEAR(All!$E$25:$AN$25)=G$20))</f>
        <v>-102643894.04026043</v>
      </c>
      <c r="H55" s="12"/>
      <c r="I55" s="12" cm="1">
        <f t="array" ref="I55:K55">{0,0,0}</f>
        <v>0</v>
      </c>
      <c r="J55" s="12">
        <v>0</v>
      </c>
      <c r="K55" s="12">
        <v>0</v>
      </c>
      <c r="L55" s="12"/>
      <c r="M55" s="67">
        <f t="shared" si="46"/>
        <v>0</v>
      </c>
      <c r="N55" s="67">
        <f t="shared" si="46"/>
        <v>0</v>
      </c>
      <c r="O55" s="67">
        <f t="shared" si="46"/>
        <v>0</v>
      </c>
      <c r="P55" s="12"/>
      <c r="Q55" s="67">
        <f t="shared" si="47"/>
        <v>0</v>
      </c>
      <c r="R55" s="67">
        <f t="shared" si="47"/>
        <v>0</v>
      </c>
      <c r="S55" s="67">
        <f t="shared" si="47"/>
        <v>0</v>
      </c>
    </row>
    <row r="56" spans="2:19" x14ac:dyDescent="0.25">
      <c r="E56" s="154">
        <f t="shared" ref="E56:F56" si="48">-E55/E32</f>
        <v>0.35571493927519166</v>
      </c>
      <c r="F56" s="154">
        <f t="shared" si="48"/>
        <v>0.324343946169874</v>
      </c>
      <c r="G56" s="154">
        <f>-G55/G32</f>
        <v>0.32714505436406249</v>
      </c>
    </row>
    <row r="57" spans="2:19" x14ac:dyDescent="0.25">
      <c r="B57" s="1" t="s">
        <v>336</v>
      </c>
      <c r="E57" s="13">
        <f>E50-E54+E55-E66</f>
        <v>-21490645.037501097</v>
      </c>
      <c r="F57" s="13">
        <f t="shared" ref="F57:G57" si="49">F50-F54+F55-F66</f>
        <v>-12182242.980698477</v>
      </c>
      <c r="G57" s="13">
        <f t="shared" si="49"/>
        <v>-21573822.772172872</v>
      </c>
      <c r="H57" s="13"/>
      <c r="I57" s="13">
        <f>I50-I54+I55-I66</f>
        <v>9316958.9538757503</v>
      </c>
      <c r="J57" s="13">
        <f t="shared" ref="J57:K57" si="50">J50-J54+J55-J66</f>
        <v>24767212.096666601</v>
      </c>
      <c r="K57" s="13">
        <f t="shared" si="50"/>
        <v>33775174.825128928</v>
      </c>
      <c r="L57" s="13"/>
      <c r="M57" s="13">
        <f>M50-M54+M55-M66</f>
        <v>14008776.332126472</v>
      </c>
      <c r="N57" s="13">
        <f t="shared" ref="N57:O57" si="51">N50-N54+N55-N66</f>
        <v>40430017.831230968</v>
      </c>
      <c r="O57" s="13">
        <f t="shared" si="51"/>
        <v>57423188.609372422</v>
      </c>
      <c r="P57" s="13"/>
      <c r="Q57" s="13">
        <f>Q50-Q54+Q55-Q66</f>
        <v>3294147.4393570665</v>
      </c>
      <c r="R57" s="13">
        <f t="shared" ref="R57:S57" si="52">R50-R54+R55-R66</f>
        <v>5566233.2054355703</v>
      </c>
      <c r="S57" s="13">
        <f t="shared" si="52"/>
        <v>5302136.0658670142</v>
      </c>
    </row>
    <row r="58" spans="2:19" x14ac:dyDescent="0.25">
      <c r="B58" t="s">
        <v>337</v>
      </c>
      <c r="E58" s="149" cm="1">
        <f t="array" ref="E58:G58">_xlfn.SCAN(-$H54,E57:G57,_xlfn.LAMBDA(_xlpm.capex,_xlpm.fcf,_xlpm.capex+_xlpm.fcf))</f>
        <v>-26035385.037501097</v>
      </c>
      <c r="F58" s="149">
        <v>-38217628.018199578</v>
      </c>
      <c r="G58" s="149">
        <v>-59791450.790372446</v>
      </c>
      <c r="H58" s="13"/>
      <c r="I58" s="149" cm="1">
        <f t="array" ref="I58:K58">_xlfn.SCAN(-$H54,I57:K57,_xlfn.LAMBDA(_xlpm.capex,_xlpm.fcf,_xlpm.capex+_xlpm.fcf))</f>
        <v>4772218.9538757503</v>
      </c>
      <c r="J58" s="149">
        <v>29539431.050542351</v>
      </c>
      <c r="K58" s="149">
        <v>63314605.875671282</v>
      </c>
      <c r="L58" s="13"/>
      <c r="M58" s="149">
        <f>SUM($F57:M$57)</f>
        <v>48112056.454926401</v>
      </c>
      <c r="N58" s="149">
        <f>SUM($F57:N$57)</f>
        <v>88542074.28615737</v>
      </c>
      <c r="O58" s="149">
        <f>SUM($F57:O$57)</f>
        <v>145965262.89552981</v>
      </c>
      <c r="P58" s="13"/>
      <c r="Q58" s="149">
        <f>SUM($F57:Q$57)</f>
        <v>149259410.33488688</v>
      </c>
      <c r="R58" s="149">
        <f>SUM($F57:R$57)</f>
        <v>154825643.54032245</v>
      </c>
      <c r="S58" s="149">
        <f>SUM($F57:S$57)</f>
        <v>160127779.60618946</v>
      </c>
    </row>
    <row r="59" spans="2:19" x14ac:dyDescent="0.25">
      <c r="E59" s="13"/>
      <c r="F59" s="13"/>
      <c r="G59" s="13"/>
      <c r="H59" s="13"/>
      <c r="I59" s="13"/>
      <c r="J59" s="13"/>
      <c r="K59" s="13"/>
      <c r="L59" s="13"/>
      <c r="M59" s="12"/>
      <c r="N59" s="12"/>
      <c r="O59" s="12"/>
      <c r="P59" s="13"/>
      <c r="Q59" s="12"/>
      <c r="R59" s="12"/>
      <c r="S59" s="12"/>
    </row>
    <row r="60" spans="2:19" x14ac:dyDescent="0.25">
      <c r="B60" s="1" t="s">
        <v>272</v>
      </c>
    </row>
    <row r="61" spans="2:19" x14ac:dyDescent="0.25">
      <c r="B61" t="s">
        <v>338</v>
      </c>
      <c r="E61" s="149" cm="1">
        <f t="array" ref="E61">_xlfn.XLOOKUP(DATE(E$20,1,1),_xlfn.ANCHORARRAY(All!$E$25),All!$E$65:$AN$65,0,0)</f>
        <v>4869737.3325661831</v>
      </c>
      <c r="F61" s="149" cm="1">
        <f t="array" ref="F61">_xlfn.XLOOKUP(DATE(F$20,1,1),_xlfn.ANCHORARRAY(All!$E$25),All!$E$65:$AN$65,0,0)</f>
        <v>26560382.370067284</v>
      </c>
      <c r="G61" s="149" cm="1">
        <f t="array" ref="G61">_xlfn.XLOOKUP(DATE(G$20,1,1),_xlfn.ANCHORARRAY(All!$E$25),All!$E$65:$AN$65,0,0)</f>
        <v>42142625.35076572</v>
      </c>
      <c r="I61" s="149"/>
      <c r="J61" s="149"/>
      <c r="K61" s="149"/>
    </row>
    <row r="62" spans="2:19" x14ac:dyDescent="0.25">
      <c r="B62" t="s">
        <v>339</v>
      </c>
      <c r="E62" s="149" cm="1">
        <f t="array" ref="E62">_xlfn.XLOOKUP(DATE(E$20,12,1),_xlfn.ANCHORARRAY(All!$E$25),All!$E$67:$AN$67,0,0)</f>
        <v>26362662.402051896</v>
      </c>
      <c r="F62" s="149" cm="1">
        <f t="array" ref="F62">_xlfn.XLOOKUP(DATE(F$20,12,1),_xlfn.ANCHORARRAY(All!$E$25),All!$E$67:$AN$67,0,0)</f>
        <v>41828908.536740169</v>
      </c>
      <c r="G62" s="149" cm="1">
        <f t="array" ref="G62">_xlfn.XLOOKUP(DATE(G$20,12,1),_xlfn.ANCHORARRAY(All!$E$25),All!$E$67:$AN$67,0,0)</f>
        <v>76343869.104653642</v>
      </c>
      <c r="I62" s="149"/>
      <c r="J62" s="149"/>
      <c r="K62" s="149"/>
    </row>
    <row r="63" spans="2:19" x14ac:dyDescent="0.25">
      <c r="B63" t="s">
        <v>340</v>
      </c>
      <c r="E63" s="149" cm="1">
        <f t="array" ref="E63">SUM(_xlfn._xlws.FILTER(All!$E$66:$AN$66,YEAR(_xlfn.ANCHORARRAY(All!$E$25))=E$20,0))</f>
        <v>20131715.559231438</v>
      </c>
      <c r="F63" s="149" cm="1">
        <f t="array" ref="F63">SUM(_xlfn._xlws.FILTER(All!$E$66:$AN$66,YEAR(_xlfn.ANCHORARRAY(All!$E$25))=F$20,0))</f>
        <v>12298771.695320241</v>
      </c>
      <c r="G63" s="149" cm="1">
        <f t="array" ref="G63">SUM(_xlfn._xlws.FILTER(All!$E$66:$AN$66,YEAR(_xlfn.ANCHORARRAY(All!$E$25))=G$20,0))</f>
        <v>28842407.873225443</v>
      </c>
      <c r="I63" s="149"/>
      <c r="J63" s="149"/>
      <c r="K63" s="149"/>
    </row>
    <row r="65" spans="2:11" x14ac:dyDescent="0.25">
      <c r="B65" t="s">
        <v>341</v>
      </c>
      <c r="E65" s="149" cm="1">
        <f t="array" ref="E65">_xlfn.XLOOKUP(DATE(E$20,12,1),_xlfn.ANCHORARRAY(All!$E$25),All!$E$69:$AN$69,0,0)</f>
        <v>3400000</v>
      </c>
      <c r="F65" s="149" cm="1">
        <f t="array" ref="F65">_xlfn.XLOOKUP(DATE(F$20,12,1),_xlfn.ANCHORARRAY(All!$E$25),All!$E$69:$AN$69,0,0)</f>
        <v>6800000</v>
      </c>
      <c r="G65" s="149" cm="1">
        <f t="array" ref="G65">_xlfn.XLOOKUP(DATE(G$20,12,1),_xlfn.ANCHORARRAY(All!$E$25),All!$E$69:$AN$69,0,0)</f>
        <v>20000000</v>
      </c>
      <c r="I65" s="149"/>
      <c r="J65" s="149"/>
      <c r="K65" s="149"/>
    </row>
    <row r="66" spans="2:11" x14ac:dyDescent="0.25">
      <c r="B66" t="s">
        <v>342</v>
      </c>
      <c r="E66" s="149" cm="1">
        <f t="array" ref="E66">SUM(_xlfn._xlws.FILTER(All!$E$54:$AN$54,YEAR(_xlfn.ANCHORARRAY(All!$E$25))=E$20,0))</f>
        <v>1558929.4782696578</v>
      </c>
      <c r="F66" s="149" cm="1">
        <f t="array" ref="F66">SUM(_xlfn._xlws.FILTER(All!$E$54:$AN$54,YEAR(_xlfn.ANCHORARRAY(All!$E$25))=F$20,0))</f>
        <v>3283471.2853781916</v>
      </c>
      <c r="G66" s="149" cm="1">
        <f t="array" ref="G66">SUM(_xlfn._xlws.FILTER(All!$E$54:$AN$54,YEAR(_xlfn.ANCHORARRAY(All!$E$25))=G$20,0))</f>
        <v>5931414.8989473917</v>
      </c>
      <c r="I66" s="149"/>
      <c r="J66" s="149"/>
      <c r="K66" s="149"/>
    </row>
  </sheetData>
  <printOptions horizontalCentered="1" verticalCentered="1"/>
  <pageMargins left="0" right="0" top="0" bottom="0" header="0" footer="0"/>
  <pageSetup paperSize="3" scale="8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830D-F48B-43B1-BD28-ED50C1DCD82E}">
  <sheetPr>
    <tabColor theme="9" tint="0.79998168889431442"/>
    <pageSetUpPr fitToPage="1"/>
  </sheetPr>
  <dimension ref="A1:X61"/>
  <sheetViews>
    <sheetView zoomScaleNormal="100" workbookViewId="0">
      <pane xSplit="3" ySplit="20" topLeftCell="D48" activePane="bottomRight" state="frozen"/>
      <selection activeCell="B16" sqref="B16"/>
      <selection pane="topRight" activeCell="B16" sqref="B16"/>
      <selection pane="bottomLeft" activeCell="B16" sqref="B16"/>
      <selection pane="bottomRight" activeCell="F57" sqref="F57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4.7109375" customWidth="1"/>
    <col min="6" max="6" width="15.85546875" customWidth="1"/>
    <col min="7" max="8" width="13.7109375" customWidth="1" outlineLevel="1"/>
    <col min="9" max="9" width="4.7109375" customWidth="1"/>
    <col min="10" max="10" width="13.85546875" customWidth="1" outlineLevel="1"/>
    <col min="11" max="12" width="14" customWidth="1" outlineLevel="1"/>
    <col min="13" max="13" width="4.7109375" customWidth="1"/>
    <col min="14" max="14" width="13.85546875" customWidth="1" outlineLevel="1"/>
    <col min="15" max="16" width="14" customWidth="1" outlineLevel="1"/>
    <col min="17" max="17" width="4.7109375" customWidth="1"/>
    <col min="18" max="18" width="12.5703125" customWidth="1" outlineLevel="1"/>
    <col min="19" max="20" width="13.7109375" customWidth="1" outlineLevel="1"/>
    <col min="21" max="21" width="4.7109375" customWidth="1"/>
    <col min="22" max="24" width="13.42578125" customWidth="1" outlineLevel="1"/>
  </cols>
  <sheetData>
    <row r="1" spans="1:24" x14ac:dyDescent="0.25">
      <c r="A1" s="97"/>
      <c r="B1" s="3"/>
      <c r="C1" s="3"/>
      <c r="D1" s="55" t="s">
        <v>460</v>
      </c>
      <c r="F1" s="121">
        <f>J1+N1</f>
        <v>818</v>
      </c>
      <c r="G1" s="121">
        <f t="shared" ref="G1:H1" si="0">K1+O1</f>
        <v>1452</v>
      </c>
      <c r="H1" s="121">
        <f t="shared" si="0"/>
        <v>2014</v>
      </c>
      <c r="J1" s="168">
        <f>R1+V1</f>
        <v>303</v>
      </c>
      <c r="K1" s="168">
        <f t="shared" ref="K1:L1" si="1">S1+W1</f>
        <v>605</v>
      </c>
      <c r="L1" s="168">
        <f t="shared" si="1"/>
        <v>873</v>
      </c>
      <c r="N1" s="168" cm="1">
        <f t="array" ref="N1">_xlfn.LET(_xlpm.hours,_xlfn._TRO_TRAILING(Sites!$AD:$AF),_xlpm.states,ISNUMBER(SEARCH($N$19,_xlfn._TRO_TRAILING(Sites!$I:$I))),
_xlpm.years,ISNUMBER(SEARCH(N$20,Sites!$AD$3:$AF$3)),_xlpm.mna,ISNUMBER(SEARCH("M&amp;A",_xlfn._TRO_TRAILING(Sites!$I:$I))),
SUM(_xlfn._xlws.FILTER(_xlfn._xlws.FILTER(_xlpm.hours,_xlpm.mna,0),_xlpm.years),0))</f>
        <v>515</v>
      </c>
      <c r="O1" s="168" cm="1">
        <f t="array" ref="O1">_xlfn.LET(_xlpm.hours,_xlfn._TRO_TRAILING(Sites!$AD:$AF),_xlpm.states,ISNUMBER(SEARCH($N$19,_xlfn._TRO_TRAILING(Sites!$I:$I))),
_xlpm.years,ISNUMBER(SEARCH(O$20,Sites!$AD$3:$AF$3)),_xlpm.mna,ISNUMBER(SEARCH("M&amp;A",_xlfn._TRO_TRAILING(Sites!$I:$I))),
SUM(_xlfn._xlws.FILTER(_xlfn._xlws.FILTER(_xlpm.hours,_xlpm.mna,0),_xlpm.years),0))</f>
        <v>847</v>
      </c>
      <c r="P1" s="168" cm="1">
        <f t="array" ref="P1">_xlfn.LET(_xlpm.hours,_xlfn._TRO_TRAILING(Sites!$AD:$AF),_xlpm.states,ISNUMBER(SEARCH($N$19,_xlfn._TRO_TRAILING(Sites!$I:$I))),
_xlpm.years,ISNUMBER(SEARCH(P$20,Sites!$AD$3:$AF$3)),_xlpm.mna,ISNUMBER(SEARCH("M&amp;A",_xlfn._TRO_TRAILING(Sites!$I:$I))),
SUM(_xlfn._xlws.FILTER(_xlfn._xlws.FILTER(_xlpm.hours,_xlpm.mna,0),_xlpm.years),0))</f>
        <v>1141</v>
      </c>
      <c r="R1" s="128" cm="1">
        <f t="array" ref="R1">_xlfn.LET(_xlpm.hours,_xlfn._TRO_TRAILING(Sites!$AD:$AF),_xlpm.type,ISNUMBER(SEARCH($R$17,_xlfn._TRO_TRAILING(Sites!$H:$H))),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60</v>
      </c>
      <c r="S1" s="128" cm="1">
        <f t="array" ref="S1">_xlfn.LET(_xlpm.hours,_xlfn._TRO_TRAILING(Sites!$AD:$AF),_xlpm.type,ISNUMBER(SEARCH($R$17,_xlfn._TRO_TRAILING(Sites!$H:$H))),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155</v>
      </c>
      <c r="T1" s="128" cm="1">
        <f t="array" ref="T1">_xlfn.LET(_xlpm.hours,_xlfn._TRO_TRAILING(Sites!$AD:$AF),_xlpm.type,ISNUMBER(SEARCH($R$17,_xlfn._TRO_TRAILING(Sites!$H:$H))),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228</v>
      </c>
      <c r="V1" s="128" cm="1">
        <f t="array" ref="V1">_xlfn.LET(_xlpm.hours,_xlfn._TRO_TRAILING(Sites!$AD:$AF),_xlpm.type,ISNUMBER(SEARCH($V$17,_xlfn._TRO_TRAILING(Sites!$H:$H))),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243</v>
      </c>
      <c r="W1" s="128" cm="1">
        <f t="array" ref="W1">_xlfn.LET(_xlpm.hours,_xlfn._TRO_TRAILING(Sites!$AD:$AF),_xlpm.type,ISNUMBER(SEARCH($V$17,_xlfn._TRO_TRAILING(Sites!$H:$H))),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450</v>
      </c>
      <c r="X1" s="128" cm="1">
        <f t="array" ref="X1">_xlfn.LET(_xlpm.hours,_xlfn._TRO_TRAILING(Sites!$AD:$AF),_xlpm.type,ISNUMBER(SEARCH($V$17,_xlfn._TRO_TRAILING(Sites!$H:$H))),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645</v>
      </c>
    </row>
    <row r="2" spans="1:24" hidden="1" outlineLevel="1" x14ac:dyDescent="0.25">
      <c r="B2" s="1" t="s">
        <v>329</v>
      </c>
      <c r="C2" s="3"/>
      <c r="D2" s="3"/>
      <c r="F2" s="97"/>
      <c r="G2" s="121"/>
      <c r="H2" s="121"/>
      <c r="J2" s="97"/>
      <c r="K2" s="5"/>
      <c r="L2" s="5"/>
      <c r="N2" s="69"/>
      <c r="O2" s="69"/>
      <c r="P2" s="69"/>
    </row>
    <row r="3" spans="1:24" hidden="1" outlineLevel="1" x14ac:dyDescent="0.25">
      <c r="B3" s="39" t="s">
        <v>373</v>
      </c>
      <c r="F3" s="121">
        <f t="shared" ref="F3:F5" si="2">J3+N3</f>
        <v>255.55000000000007</v>
      </c>
      <c r="G3" s="121">
        <f t="shared" ref="G3:G5" si="3">K3+O3</f>
        <v>493.03999999999996</v>
      </c>
      <c r="H3" s="121">
        <f t="shared" ref="H3:H5" si="4">L3+P3</f>
        <v>709.52999999999986</v>
      </c>
      <c r="I3" s="128"/>
      <c r="J3" s="168">
        <f t="shared" ref="J3:J5" si="5">R3+V3</f>
        <v>255.55000000000007</v>
      </c>
      <c r="K3" s="168">
        <f t="shared" ref="K3:K5" si="6">S3+W3</f>
        <v>493.03999999999996</v>
      </c>
      <c r="L3" s="168">
        <f t="shared" ref="L3:L5" si="7">T3+X3</f>
        <v>709.52999999999986</v>
      </c>
      <c r="M3" s="128"/>
      <c r="N3" s="164" cm="1">
        <f t="array" ref="N3">_xlfn.LET(_xlpm.hours,_xlfn._TRO_TRAILING(Sites!$N:$P),_xlpm.states,ISNUMBER(SEARCH($N$19,_xlfn._TRO_TRAILING(Sites!$I:$I))),
_xlpm.years,ISNUMBER(SEARCH(N$20,Sites!$N$3:$P$3)),_xlpm.mna,ISNUMBER(SEARCH("M&amp;A",_xlfn._TRO_TRAILING(Sites!$I:$I))),
SUM(_xlfn._xlws.FILTER(_xlfn._xlws.FILTER(_xlpm.hours,_xlpm.mna,0),_xlpm.years),0))</f>
        <v>0</v>
      </c>
      <c r="O3" s="164" cm="1">
        <f t="array" ref="O3">_xlfn.LET(_xlpm.hours,_xlfn._TRO_TRAILING(Sites!$N:$P),_xlpm.states,ISNUMBER(SEARCH($N$19,_xlfn._TRO_TRAILING(Sites!$I:$I))),
_xlpm.years,ISNUMBER(SEARCH(O$20,Sites!$N$3:$P$3)),_xlpm.mna,ISNUMBER(SEARCH("M&amp;A",_xlfn._TRO_TRAILING(Sites!$I:$I))),
SUM(_xlfn._xlws.FILTER(_xlfn._xlws.FILTER(_xlpm.hours,_xlpm.mna,0),_xlpm.years),0))</f>
        <v>0</v>
      </c>
      <c r="P3" s="164" cm="1">
        <f t="array" ref="P3">_xlfn.LET(_xlpm.hours,_xlfn._TRO_TRAILING(Sites!$N:$P),_xlpm.states,ISNUMBER(SEARCH($N$19,_xlfn._TRO_TRAILING(Sites!$I:$I))),
_xlpm.years,ISNUMBER(SEARCH(P$20,Sites!$N$3:$P$3)),_xlpm.mna,ISNUMBER(SEARCH("M&amp;A",_xlfn._TRO_TRAILING(Sites!$I:$I))),
SUM(_xlfn._xlws.FILTER(_xlfn._xlws.FILTER(_xlpm.hours,_xlpm.mna,0),_xlpm.years),0))</f>
        <v>0</v>
      </c>
      <c r="Q3" s="128"/>
      <c r="R3" s="128" cm="1">
        <f t="array" ref="R3">_xlfn.LET(_xlpm.hours,_xlfn._TRO_TRAILING(Sites!$N:$P),_xlpm.type,ISNUMBER(SEARCH($R$17,_xlfn._TRO_TRAILING(Sites!$H:$H))),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26.799999999999997</v>
      </c>
      <c r="S3" s="128" cm="1">
        <f t="array" ref="S3">_xlfn.LET(_xlpm.hours,_xlfn._TRO_TRAILING(Sites!$N:$P),_xlpm.type,ISNUMBER(SEARCH($R$17,_xlfn._TRO_TRAILING(Sites!$H:$H))),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69.47999999999999</v>
      </c>
      <c r="T3" s="128" cm="1">
        <f t="array" ref="T3">_xlfn.LET(_xlpm.hours,_xlfn._TRO_TRAILING(Sites!$N:$P),_xlpm.type,ISNUMBER(SEARCH($R$17,_xlfn._TRO_TRAILING(Sites!$H:$H))),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102.42999999999998</v>
      </c>
      <c r="U3" s="128"/>
      <c r="V3" s="128" cm="1">
        <f t="array" ref="V3">_xlfn.LET(_xlpm.hours,_xlfn._TRO_TRAILING(Sites!$N:$P),_xlpm.type,ISNUMBER(SEARCH($V$17,_xlfn._TRO_TRAILING(Sites!$H:$H))),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228.75000000000006</v>
      </c>
      <c r="W3" s="128" cm="1">
        <f t="array" ref="W3">_xlfn.LET(_xlpm.hours,_xlfn._TRO_TRAILING(Sites!$N:$P),_xlpm.type,ISNUMBER(SEARCH($V$17,_xlfn._TRO_TRAILING(Sites!$H:$H))),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423.55999999999995</v>
      </c>
      <c r="X3" s="128" cm="1">
        <f t="array" ref="X3">_xlfn.LET(_xlpm.hours,_xlfn._TRO_TRAILING(Sites!$N:$P),_xlpm.type,ISNUMBER(SEARCH($V$17,_xlfn._TRO_TRAILING(Sites!$H:$H))),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607.09999999999991</v>
      </c>
    </row>
    <row r="4" spans="1:24" hidden="1" outlineLevel="1" x14ac:dyDescent="0.25">
      <c r="B4" s="39" t="s">
        <v>374</v>
      </c>
      <c r="F4" s="121">
        <f t="shared" si="2"/>
        <v>40.25</v>
      </c>
      <c r="G4" s="121">
        <f t="shared" si="3"/>
        <v>78.460000000000008</v>
      </c>
      <c r="H4" s="121">
        <f t="shared" si="4"/>
        <v>113.00000000000001</v>
      </c>
      <c r="I4" s="128"/>
      <c r="J4" s="168">
        <f t="shared" si="5"/>
        <v>40.25</v>
      </c>
      <c r="K4" s="168">
        <f t="shared" si="6"/>
        <v>78.460000000000008</v>
      </c>
      <c r="L4" s="168">
        <f t="shared" si="7"/>
        <v>113.00000000000001</v>
      </c>
      <c r="M4" s="128"/>
      <c r="N4" s="164" cm="1">
        <f t="array" ref="N4">_xlfn.LET(_xlpm.hours,_xlfn._TRO_TRAILING(Sites!$R:$T),_xlpm.states,ISNUMBER(SEARCH($N$19,_xlfn._TRO_TRAILING(Sites!$I:$I))),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" s="164" cm="1">
        <f t="array" ref="O4">_xlfn.LET(_xlpm.hours,_xlfn._TRO_TRAILING(Sites!$R:$T),_xlpm.states,ISNUMBER(SEARCH($N$19,_xlfn._TRO_TRAILING(Sites!$I:$I))),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" s="164" cm="1">
        <f t="array" ref="P4">_xlfn.LET(_xlpm.hours,_xlfn._TRO_TRAILING(Sites!$R:$T),_xlpm.states,ISNUMBER(SEARCH($N$19,_xlfn._TRO_TRAILING(Sites!$I:$I))),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Q4" s="128"/>
      <c r="R4" s="128" cm="1">
        <f t="array" ref="R4">_xlfn.LET(_xlpm.hours,_xlfn._TRO_TRAILING(Sites!$R:$T),_xlpm.type,ISNUMBER(SEARCH($R$17,_xlfn._TRO_TRAILING(Sites!$H:$H))),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5.49</v>
      </c>
      <c r="S4" s="128" cm="1">
        <f t="array" ref="S4">_xlfn.LET(_xlpm.hours,_xlfn._TRO_TRAILING(Sites!$R:$T),_xlpm.type,ISNUMBER(SEARCH($R$17,_xlfn._TRO_TRAILING(Sites!$H:$H))),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14.15</v>
      </c>
      <c r="T4" s="128" cm="1">
        <f t="array" ref="T4">_xlfn.LET(_xlpm.hours,_xlfn._TRO_TRAILING(Sites!$R:$T),_xlpm.type,ISNUMBER(SEARCH($R$17,_xlfn._TRO_TRAILING(Sites!$H:$H))),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20.820000000000004</v>
      </c>
      <c r="U4" s="128"/>
      <c r="V4" s="128" cm="1">
        <f t="array" ref="V4">_xlfn.LET(_xlpm.hours,_xlfn._TRO_TRAILING(Sites!$R:$T),_xlpm.type,ISNUMBER(SEARCH($V$17,_xlfn._TRO_TRAILING(Sites!$H:$H))),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34.76</v>
      </c>
      <c r="W4" s="128" cm="1">
        <f t="array" ref="W4">_xlfn.LET(_xlpm.hours,_xlfn._TRO_TRAILING(Sites!$R:$T),_xlpm.type,ISNUMBER(SEARCH($V$17,_xlfn._TRO_TRAILING(Sites!$H:$H))),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64.31</v>
      </c>
      <c r="X4" s="128" cm="1">
        <f t="array" ref="X4">_xlfn.LET(_xlpm.hours,_xlfn._TRO_TRAILING(Sites!$R:$T),_xlpm.type,ISNUMBER(SEARCH($V$17,_xlfn._TRO_TRAILING(Sites!$H:$H))),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92.18</v>
      </c>
    </row>
    <row r="5" spans="1:24" hidden="1" outlineLevel="1" x14ac:dyDescent="0.25">
      <c r="B5" s="39" t="s">
        <v>418</v>
      </c>
      <c r="F5" s="121">
        <f t="shared" si="2"/>
        <v>79</v>
      </c>
      <c r="G5" s="121">
        <f t="shared" si="3"/>
        <v>129</v>
      </c>
      <c r="H5" s="121">
        <f t="shared" si="4"/>
        <v>176</v>
      </c>
      <c r="I5" s="128"/>
      <c r="J5" s="168">
        <f t="shared" si="5"/>
        <v>79</v>
      </c>
      <c r="K5" s="168">
        <f t="shared" si="6"/>
        <v>129</v>
      </c>
      <c r="L5" s="168">
        <f t="shared" si="7"/>
        <v>176</v>
      </c>
      <c r="M5" s="128"/>
      <c r="N5" s="164" cm="1">
        <f t="array" ref="N5">_xlfn.LET(_xlpm.hours,_xlfn._TRO_TRAILING(Sites!$Z:$AB),_xlpm.states,ISNUMBER(SEARCH($N$19,_xlfn._TRO_TRAILING(Sites!$I:$I))),
_xlpm.years,ISNUMBER(SEARCH(N$20,Sites!$AD$3:$AF$3)),_xlpm.mna,ISNUMBER(SEARCH("M&amp;A",_xlfn._TRO_TRAILING(Sites!$I:$I))),
SUM(_xlfn._xlws.FILTER(_xlfn._xlws.FILTER(_xlpm.hours,_xlpm.mna,0),_xlpm.years),0))</f>
        <v>0</v>
      </c>
      <c r="O5" s="164" cm="1">
        <f t="array" ref="O5">_xlfn.LET(_xlpm.hours,_xlfn._TRO_TRAILING(Sites!$Z:$AB),_xlpm.states,ISNUMBER(SEARCH($N$19,_xlfn._TRO_TRAILING(Sites!$I:$I))),
_xlpm.years,ISNUMBER(SEARCH(O$20,Sites!$AD$3:$AF$3)),_xlpm.mna,ISNUMBER(SEARCH("M&amp;A",_xlfn._TRO_TRAILING(Sites!$I:$I))),
SUM(_xlfn._xlws.FILTER(_xlfn._xlws.FILTER(_xlpm.hours,_xlpm.mna,0),_xlpm.years),0))</f>
        <v>0</v>
      </c>
      <c r="P5" s="164" cm="1">
        <f t="array" ref="P5">_xlfn.LET(_xlpm.hours,_xlfn._TRO_TRAILING(Sites!$Z:$AB),_xlpm.states,ISNUMBER(SEARCH($N$19,_xlfn._TRO_TRAILING(Sites!$I:$I))),
_xlpm.years,ISNUMBER(SEARCH(P$20,Sites!$AD$3:$AF$3)),_xlpm.mna,ISNUMBER(SEARCH("M&amp;A",_xlfn._TRO_TRAILING(Sites!$I:$I))),
SUM(_xlfn._xlws.FILTER(_xlfn._xlws.FILTER(_xlpm.hours,_xlpm.mna,0),_xlpm.years),0))</f>
        <v>0</v>
      </c>
      <c r="Q5" s="128"/>
      <c r="R5" s="128" cm="1">
        <f t="array" ref="R5">_xlfn.LET(_xlpm.hours,_xlfn._TRO_TRAILING(Sites!$Z:$AB),_xlpm.type,ISNUMBER(SEARCH($R$17,_xlfn._TRO_TRAILING(Sites!$H:$H))),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13</v>
      </c>
      <c r="S5" s="128" cm="1">
        <f t="array" ref="S5">_xlfn.LET(_xlpm.hours,_xlfn._TRO_TRAILING(Sites!$Z:$AB),_xlpm.type,ISNUMBER(SEARCH($R$17,_xlfn._TRO_TRAILING(Sites!$H:$H))),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24</v>
      </c>
      <c r="T5" s="128" cm="1">
        <f t="array" ref="T5">_xlfn.LET(_xlpm.hours,_xlfn._TRO_TRAILING(Sites!$Z:$AB),_xlpm.type,ISNUMBER(SEARCH($R$17,_xlfn._TRO_TRAILING(Sites!$H:$H))),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33</v>
      </c>
      <c r="U5" s="128"/>
      <c r="V5" s="128" cm="1">
        <f t="array" ref="V5">_xlfn.LET(_xlpm.hours,_xlfn._TRO_TRAILING(Sites!$Z:$AB),_xlpm.type,ISNUMBER(SEARCH($V$17,_xlfn._TRO_TRAILING(Sites!$H:$H))),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66</v>
      </c>
      <c r="W5" s="128" cm="1">
        <f t="array" ref="W5">_xlfn.LET(_xlpm.hours,_xlfn._TRO_TRAILING(Sites!$Z:$AB),_xlpm.type,ISNUMBER(SEARCH($V$17,_xlfn._TRO_TRAILING(Sites!$H:$H))),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105</v>
      </c>
      <c r="X5" s="128" cm="1">
        <f t="array" ref="X5">_xlfn.LET(_xlpm.hours,_xlfn._TRO_TRAILING(Sites!$Z:$AB),_xlpm.type,ISNUMBER(SEARCH($V$17,_xlfn._TRO_TRAILING(Sites!$H:$H))),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143</v>
      </c>
    </row>
    <row r="6" spans="1:24" hidden="1" outlineLevel="1" x14ac:dyDescent="0.25">
      <c r="B6" s="39" t="s">
        <v>314</v>
      </c>
      <c r="F6" s="128"/>
      <c r="G6" s="128"/>
      <c r="H6" s="128"/>
      <c r="I6" s="128"/>
      <c r="J6" s="164"/>
      <c r="K6" s="164"/>
      <c r="L6" s="164"/>
      <c r="M6" s="128"/>
      <c r="N6" s="164"/>
      <c r="O6" s="164"/>
      <c r="P6" s="164"/>
      <c r="Q6" s="128"/>
      <c r="R6" s="128"/>
      <c r="S6" s="128"/>
      <c r="T6" s="128"/>
      <c r="U6" s="128"/>
      <c r="V6" s="128"/>
      <c r="W6" s="128"/>
      <c r="X6" s="128"/>
    </row>
    <row r="7" spans="1:24" collapsed="1" x14ac:dyDescent="0.25">
      <c r="B7" s="1" t="s">
        <v>330</v>
      </c>
      <c r="F7" s="162">
        <f>SUM(F3:F6)</f>
        <v>374.80000000000007</v>
      </c>
      <c r="G7" s="162">
        <f>SUM(G3:G6)</f>
        <v>700.5</v>
      </c>
      <c r="H7" s="162">
        <f>SUM(H3:H6)</f>
        <v>998.52999999999986</v>
      </c>
      <c r="I7" s="128"/>
      <c r="J7" s="162">
        <f>SUM(J3:J6)</f>
        <v>374.80000000000007</v>
      </c>
      <c r="K7" s="162">
        <f>SUM(K3:K6)</f>
        <v>700.5</v>
      </c>
      <c r="L7" s="162">
        <f>SUM(L3:L6)</f>
        <v>998.52999999999986</v>
      </c>
      <c r="M7" s="128"/>
      <c r="N7" s="162">
        <f>SUM(N3:N6)</f>
        <v>0</v>
      </c>
      <c r="O7" s="162">
        <f>SUM(O3:O6)</f>
        <v>0</v>
      </c>
      <c r="P7" s="162">
        <f>SUM(P3:P6)</f>
        <v>0</v>
      </c>
      <c r="Q7" s="128"/>
      <c r="R7" s="133">
        <f>SUM(R3:R6)</f>
        <v>45.29</v>
      </c>
      <c r="S7" s="133">
        <f>SUM(S3:S6)</f>
        <v>107.63</v>
      </c>
      <c r="T7" s="133">
        <f>SUM(T3:T6)</f>
        <v>156.25</v>
      </c>
      <c r="U7" s="128"/>
      <c r="V7" s="133">
        <f>SUM(V3:V6)</f>
        <v>329.51000000000005</v>
      </c>
      <c r="W7" s="133">
        <f>SUM(W3:W6)</f>
        <v>592.86999999999989</v>
      </c>
      <c r="X7" s="133">
        <f>SUM(X3:X6)</f>
        <v>842.28</v>
      </c>
    </row>
    <row r="8" spans="1:24" x14ac:dyDescent="0.25">
      <c r="B8" s="1"/>
      <c r="F8" s="162"/>
      <c r="G8" s="162"/>
      <c r="H8" s="162"/>
      <c r="I8" s="128"/>
      <c r="J8" s="162"/>
      <c r="K8" s="162"/>
      <c r="L8" s="162"/>
      <c r="M8" s="128"/>
      <c r="N8" s="162"/>
      <c r="O8" s="162"/>
      <c r="P8" s="162"/>
      <c r="Q8" s="128"/>
      <c r="R8" s="133"/>
      <c r="S8" s="133"/>
      <c r="T8" s="133"/>
      <c r="U8" s="128"/>
      <c r="V8" s="133"/>
      <c r="W8" s="133"/>
      <c r="X8" s="133"/>
    </row>
    <row r="9" spans="1:24" hidden="1" outlineLevel="1" x14ac:dyDescent="0.25">
      <c r="B9" s="39"/>
      <c r="F9" s="66"/>
      <c r="G9" s="66"/>
      <c r="H9" s="66"/>
      <c r="I9" s="118"/>
      <c r="M9" s="118"/>
      <c r="N9" s="169"/>
      <c r="O9" s="169"/>
      <c r="P9" s="169"/>
      <c r="Q9" s="118"/>
      <c r="U9" s="118"/>
    </row>
    <row r="10" spans="1:24" collapsed="1" x14ac:dyDescent="0.25">
      <c r="B10" s="39" t="s">
        <v>315</v>
      </c>
      <c r="F10" s="170">
        <f t="shared" ref="F10:H10" si="8">J10+N10</f>
        <v>6</v>
      </c>
      <c r="G10" s="170">
        <f t="shared" si="8"/>
        <v>5</v>
      </c>
      <c r="H10" s="170">
        <f t="shared" si="8"/>
        <v>5</v>
      </c>
      <c r="I10" s="118"/>
      <c r="J10" s="118">
        <f>COUNTIFS(Sites!$B$4:$B$37,$J$19,Sites!$D$4:$D$37,J$20)</f>
        <v>6</v>
      </c>
      <c r="K10" s="118">
        <f>COUNTIFS(Sites!$B$4:$B$37,$J$19,Sites!$D$4:$D$37,K$20)</f>
        <v>5</v>
      </c>
      <c r="L10" s="118">
        <f>COUNTIFS(Sites!$B$4:$B$37,$J$19,Sites!$D$4:$D$37,L$20)</f>
        <v>5</v>
      </c>
      <c r="M10" s="118"/>
      <c r="N10" s="118">
        <f>COUNTIFS(Sites!$B$4:$B$37,$N$19,Sites!$D$4:$D$37,N$20)</f>
        <v>0</v>
      </c>
      <c r="O10" s="118">
        <f>COUNTIFS(Sites!$B$4:$B$37,$N$19,Sites!$D$4:$D$37,O$20)</f>
        <v>0</v>
      </c>
      <c r="P10" s="118">
        <f>COUNTIFS(Sites!$B$4:$B$37,$N$19,Sites!$D$4:$D$37,P$20)</f>
        <v>0</v>
      </c>
      <c r="Q10" s="118"/>
      <c r="U10" s="118"/>
    </row>
    <row r="12" spans="1:24" hidden="1" outlineLevel="1" x14ac:dyDescent="0.25">
      <c r="B12" s="96" t="s">
        <v>461</v>
      </c>
      <c r="F12" s="121">
        <f t="shared" ref="F12:F14" si="9">J12+N12</f>
        <v>335.69047619047615</v>
      </c>
      <c r="G12" s="121">
        <f t="shared" ref="G12:G14" si="10">K12+O12</f>
        <v>644.28571428571433</v>
      </c>
      <c r="H12" s="121">
        <f t="shared" ref="H12:H14" si="11">L12+P12</f>
        <v>943.71428571428555</v>
      </c>
      <c r="J12" s="168">
        <f t="shared" ref="J12:J14" si="12">R12+V12</f>
        <v>335.69047619047615</v>
      </c>
      <c r="K12" s="168">
        <f t="shared" ref="K12:K14" si="13">S12+W12</f>
        <v>644.28571428571433</v>
      </c>
      <c r="L12" s="168">
        <f t="shared" ref="L12:L14" si="14">T12+X12</f>
        <v>943.71428571428555</v>
      </c>
      <c r="N12" s="53" cm="1">
        <f t="array" ref="N12">_xlfn.LET(_xlpm.hours,_xlfn._TRO_TRAILING(Sites!$AH:$AJ),_xlpm.states,ISNUMBER(SEARCH($N$19,_xlfn._TRO_TRAILING(Sites!$I:$I))),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12" s="53" cm="1">
        <f t="array" ref="O12">_xlfn.LET(_xlpm.hours,_xlfn._TRO_TRAILING(Sites!$AH:$AJ),_xlpm.states,ISNUMBER(SEARCH($N$19,_xlfn._TRO_TRAILING(Sites!$I:$I))),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12" s="53" cm="1">
        <f t="array" ref="P12">_xlfn.LET(_xlpm.hours,_xlfn._TRO_TRAILING(Sites!$AH:$AJ),_xlpm.states,ISNUMBER(SEARCH($N$19,_xlfn._TRO_TRAILING(Sites!$I:$I))),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12" s="128" cm="1">
        <f t="array" ref="R12">_xlfn.LET(_xlpm.hours,_xlfn._TRO_TRAILING(Sites!$AH:$AJ),_xlpm.type,ISNUMBER(SEARCH($R$17,_xlfn._TRO_TRAILING(Sites!$H:$H))),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70.523809523809533</v>
      </c>
      <c r="S12" s="128" cm="1">
        <f t="array" ref="S12">_xlfn.LET(_xlpm.hours,_xlfn._TRO_TRAILING(Sites!$AH:$AJ),_xlpm.type,ISNUMBER(SEARCH($R$17,_xlfn._TRO_TRAILING(Sites!$H:$H))),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196.11904761904756</v>
      </c>
      <c r="T12" s="128" cm="1">
        <f t="array" ref="T12">_xlfn.LET(_xlpm.hours,_xlfn._TRO_TRAILING(Sites!$AH:$AJ),_xlpm.type,ISNUMBER(SEARCH($R$17,_xlfn._TRO_TRAILING(Sites!$H:$H))),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255.54761904761901</v>
      </c>
      <c r="V12" s="128" cm="1">
        <f t="array" ref="V12">_xlfn.LET(_xlpm.hours,_xlfn._TRO_TRAILING(Sites!$AH:$AJ),_xlpm.type,ISNUMBER(SEARCH($V$17,_xlfn._TRO_TRAILING(Sites!$H:$H))),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265.16666666666663</v>
      </c>
      <c r="W12" s="128" cm="1">
        <f t="array" ref="W12">_xlfn.LET(_xlpm.hours,_xlfn._TRO_TRAILING(Sites!$AH:$AJ),_xlpm.type,ISNUMBER(SEARCH($V$17,_xlfn._TRO_TRAILING(Sites!$H:$H))),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448.16666666666674</v>
      </c>
      <c r="X12" s="128" cm="1">
        <f t="array" ref="X12">_xlfn.LET(_xlpm.hours,_xlfn._TRO_TRAILING(Sites!$AH:$AJ),_xlpm.type,ISNUMBER(SEARCH($V$17,_xlfn._TRO_TRAILING(Sites!$H:$H))),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688.16666666666652</v>
      </c>
    </row>
    <row r="13" spans="1:24" hidden="1" outlineLevel="1" x14ac:dyDescent="0.25">
      <c r="B13" s="96" t="s">
        <v>462</v>
      </c>
      <c r="F13" s="121">
        <f t="shared" si="9"/>
        <v>111.33333333333334</v>
      </c>
      <c r="G13" s="121">
        <f t="shared" si="10"/>
        <v>394.00000000000006</v>
      </c>
      <c r="H13" s="121">
        <f t="shared" si="11"/>
        <v>713.99999999999989</v>
      </c>
      <c r="J13" s="168">
        <f t="shared" si="12"/>
        <v>111.33333333333334</v>
      </c>
      <c r="K13" s="168">
        <f t="shared" si="13"/>
        <v>394.00000000000006</v>
      </c>
      <c r="L13" s="168">
        <f t="shared" si="14"/>
        <v>713.99999999999989</v>
      </c>
      <c r="N13" s="53" cm="1">
        <f t="array" ref="N13">_xlfn.LET(_xlpm.hours,_xlfn._TRO_TRAILING(Sites!$AL:$AN),_xlpm.states,ISNUMBER(SEARCH($N$19,_xlfn._TRO_TRAILING(Sites!$I:$I))),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13" s="53" cm="1">
        <f t="array" ref="O13">_xlfn.LET(_xlpm.hours,_xlfn._TRO_TRAILING(Sites!$AL:$AN),_xlpm.states,ISNUMBER(SEARCH($N$19,_xlfn._TRO_TRAILING(Sites!$I:$I))),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13" s="53" cm="1">
        <f t="array" ref="P13">_xlfn.LET(_xlpm.hours,_xlfn._TRO_TRAILING(Sites!$AL:$AN),_xlpm.states,ISNUMBER(SEARCH($N$19,_xlfn._TRO_TRAILING(Sites!$I:$I))),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13" s="128" cm="1">
        <f t="array" ref="R13">_xlfn.LET(_xlpm.hours,_xlfn._TRO_TRAILING(Sites!$AL:$AN),_xlpm.type,ISNUMBER(SEARCH($R$17,_xlfn._TRO_TRAILING(Sites!$H:$H))),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33.666666666666664</v>
      </c>
      <c r="S13" s="128" cm="1">
        <f t="array" ref="S13">_xlfn.LET(_xlpm.hours,_xlfn._TRO_TRAILING(Sites!$AL:$AN),_xlpm.type,ISNUMBER(SEARCH($R$17,_xlfn._TRO_TRAILING(Sites!$H:$H))),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113.83333333333333</v>
      </c>
      <c r="T13" s="128" cm="1">
        <f t="array" ref="T13">_xlfn.LET(_xlpm.hours,_xlfn._TRO_TRAILING(Sites!$AL:$AN),_xlpm.type,ISNUMBER(SEARCH($R$17,_xlfn._TRO_TRAILING(Sites!$H:$H))),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193.83333333333334</v>
      </c>
      <c r="V13" s="128" cm="1">
        <f t="array" ref="V13">_xlfn.LET(_xlpm.hours,_xlfn._TRO_TRAILING(Sites!$AL:$AN),_xlpm.type,ISNUMBER(SEARCH($V$17,_xlfn._TRO_TRAILING(Sites!$H:$H))),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77.666666666666671</v>
      </c>
      <c r="W13" s="128" cm="1">
        <f t="array" ref="W13">_xlfn.LET(_xlpm.hours,_xlfn._TRO_TRAILING(Sites!$AL:$AN),_xlpm.type,ISNUMBER(SEARCH($V$17,_xlfn._TRO_TRAILING(Sites!$H:$H))),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280.16666666666674</v>
      </c>
      <c r="X13" s="128" cm="1">
        <f t="array" ref="X13">_xlfn.LET(_xlpm.hours,_xlfn._TRO_TRAILING(Sites!$AL:$AN),_xlpm.type,ISNUMBER(SEARCH($V$17,_xlfn._TRO_TRAILING(Sites!$H:$H))),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520.16666666666652</v>
      </c>
    </row>
    <row r="14" spans="1:24" hidden="1" outlineLevel="1" x14ac:dyDescent="0.25">
      <c r="B14" s="96" t="s">
        <v>463</v>
      </c>
      <c r="F14" s="121">
        <f t="shared" si="9"/>
        <v>929.33333333333337</v>
      </c>
      <c r="G14" s="121">
        <f t="shared" si="10"/>
        <v>1846</v>
      </c>
      <c r="H14" s="121">
        <f t="shared" si="11"/>
        <v>2728</v>
      </c>
      <c r="J14" s="168">
        <f t="shared" si="12"/>
        <v>414.33333333333337</v>
      </c>
      <c r="K14" s="168">
        <f t="shared" si="13"/>
        <v>999</v>
      </c>
      <c r="L14" s="168">
        <f t="shared" si="14"/>
        <v>1587.0000000000002</v>
      </c>
      <c r="N14" s="53" cm="1">
        <f t="array" ref="N14">_xlfn.LET(_xlpm.hours,_xlfn._TRO_TRAILING(Sites!$AP:$AR),_xlpm.states,ISNUMBER(SEARCH($N$19,_xlfn._TRO_TRAILING(Sites!$I:$I))),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515</v>
      </c>
      <c r="O14" s="53" cm="1">
        <f t="array" ref="O14">_xlfn.LET(_xlpm.hours,_xlfn._TRO_TRAILING(Sites!$AP:$AR),_xlpm.states,ISNUMBER(SEARCH($N$19,_xlfn._TRO_TRAILING(Sites!$I:$I))),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847</v>
      </c>
      <c r="P14" s="53" cm="1">
        <f t="array" ref="P14">_xlfn.LET(_xlpm.hours,_xlfn._TRO_TRAILING(Sites!$AP:$AR),_xlpm.states,ISNUMBER(SEARCH($N$19,_xlfn._TRO_TRAILING(Sites!$I:$I))),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1141</v>
      </c>
      <c r="R14" s="128" cm="1">
        <f t="array" ref="R14">_xlfn.LET(_xlpm.hours,_xlfn._TRO_TRAILING(Sites!$AP:$AR),_xlpm.type,ISNUMBER(SEARCH($R$17,_xlfn._TRO_TRAILING(Sites!$H:$H))),
_xlpm.states,ISNUMBER(SEARCH($R$19,_xlfn._TRO_TRAILING(Sites!$I:$I))),
_xlpm.years,ISNUMBER(SEARCH(R$20,Sites!$AH$3:$AJ$3)),
SUM(_xlfn._xlws.FILTER(_xlfn._xlws.FILTER(_xlpm.hours,_xlpm.states*_xlpm.type,0),_xlpm.years),0))</f>
        <v>93.666666666666671</v>
      </c>
      <c r="S14" s="128" cm="1">
        <f t="array" ref="S14">_xlfn.LET(_xlpm.hours,_xlfn._TRO_TRAILING(Sites!$AP:$AR),_xlpm.type,ISNUMBER(SEARCH($R$17,_xlfn._TRO_TRAILING(Sites!$H:$H))),
_xlpm.states,ISNUMBER(SEARCH($R$19,_xlfn._TRO_TRAILING(Sites!$I:$I))),
_xlpm.years,ISNUMBER(SEARCH(S$20,Sites!$AH$3:$AJ$3)),
SUM(_xlfn._xlws.FILTER(_xlfn._xlws.FILTER(_xlpm.hours,_xlpm.states*_xlpm.type,0),_xlpm.years),0))</f>
        <v>268.83333333333331</v>
      </c>
      <c r="T14" s="128" cm="1">
        <f t="array" ref="T14">_xlfn.LET(_xlpm.hours,_xlfn._TRO_TRAILING(Sites!$AP:$AR),_xlpm.type,ISNUMBER(SEARCH($R$17,_xlfn._TRO_TRAILING(Sites!$H:$H))),
_xlpm.states,ISNUMBER(SEARCH($R$19,_xlfn._TRO_TRAILING(Sites!$I:$I))),
_xlpm.years,ISNUMBER(SEARCH(T$20,Sites!$AH$3:$AJ$3)),
SUM(_xlfn._xlws.FILTER(_xlfn._xlws.FILTER(_xlpm.hours,_xlpm.states*_xlpm.type,0),_xlpm.years),0))</f>
        <v>421.83333333333331</v>
      </c>
      <c r="V14" s="128" cm="1">
        <f t="array" ref="V14">_xlfn.LET(_xlpm.hours,_xlfn._TRO_TRAILING(Sites!$AP:$AR),_xlpm.type,ISNUMBER(SEARCH($V$17,_xlfn._TRO_TRAILING(Sites!$H:$H))),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320.66666666666669</v>
      </c>
      <c r="W14" s="128" cm="1">
        <f t="array" ref="W14">_xlfn.LET(_xlpm.hours,_xlfn._TRO_TRAILING(Sites!$AP:$AR),_xlpm.type,ISNUMBER(SEARCH($V$17,_xlfn._TRO_TRAILING(Sites!$H:$H))),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730.16666666666663</v>
      </c>
      <c r="X14" s="128" cm="1">
        <f t="array" ref="X14">_xlfn.LET(_xlpm.hours,_xlfn._TRO_TRAILING(Sites!$AP:$AR),_xlpm.type,ISNUMBER(SEARCH($V$17,_xlfn._TRO_TRAILING(Sites!$H:$H))),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1165.166666666667</v>
      </c>
    </row>
    <row r="15" spans="1:24" collapsed="1" x14ac:dyDescent="0.25">
      <c r="J15" s="71"/>
      <c r="K15" s="71"/>
      <c r="L15" s="71"/>
      <c r="N15" s="71"/>
      <c r="O15" s="71"/>
      <c r="P15" s="71"/>
    </row>
    <row r="16" spans="1:24" x14ac:dyDescent="0.25">
      <c r="B16" s="2" t="s">
        <v>464</v>
      </c>
      <c r="D16" s="2"/>
      <c r="F16" s="161">
        <f t="shared" ref="F16:H16" si="15">IFERROR(SUM(F21:F25)/F18,0)</f>
        <v>179.105664284158</v>
      </c>
      <c r="G16" s="161">
        <f t="shared" si="15"/>
        <v>184.21443514715338</v>
      </c>
      <c r="H16" s="161">
        <f t="shared" si="15"/>
        <v>184.15873270782325</v>
      </c>
      <c r="J16" s="161">
        <f>IFERROR(SUM(J21:J25)/J18,0)</f>
        <v>176.86912512167601</v>
      </c>
      <c r="K16" s="161">
        <f t="shared" ref="K16:L16" si="16">IFERROR(SUM(K21:K25)/K18,0)</f>
        <v>182.25500270250424</v>
      </c>
      <c r="L16" s="161">
        <f t="shared" si="16"/>
        <v>182.33157945723877</v>
      </c>
      <c r="N16" s="161">
        <f>IFERROR(SUM(N21:N25)/N18,0)</f>
        <v>181.02798941115702</v>
      </c>
      <c r="O16" s="161">
        <f t="shared" ref="O16:P16" si="17">IFERROR(SUM(O21:O25)/O18,0)</f>
        <v>186.45882909349172</v>
      </c>
      <c r="P16" s="161">
        <f t="shared" si="17"/>
        <v>186.45882909349172</v>
      </c>
      <c r="R16" s="161">
        <f>IFERROR(SUM(R21:R25)/R18,0)</f>
        <v>181.0312536939883</v>
      </c>
      <c r="S16" s="161">
        <f t="shared" ref="S16:T16" si="18">IFERROR(SUM(S21:S25)/S18,0)</f>
        <v>186.46272212130481</v>
      </c>
      <c r="T16" s="161">
        <f t="shared" si="18"/>
        <v>186.46123539843569</v>
      </c>
      <c r="V16" s="161">
        <f>IFERROR(SUM(V21:V25)/V18,0)</f>
        <v>176.33175469781614</v>
      </c>
      <c r="W16" s="161">
        <f t="shared" ref="W16:X16" si="19">IFERROR(SUM(W21:W25)/W18,0)</f>
        <v>181.6217073387507</v>
      </c>
      <c r="X16" s="161">
        <f t="shared" si="19"/>
        <v>181.62170733875072</v>
      </c>
    </row>
    <row r="17" spans="2:24" x14ac:dyDescent="0.25">
      <c r="F17" s="140" t="s">
        <v>419</v>
      </c>
      <c r="G17" s="141"/>
      <c r="H17" s="140"/>
      <c r="J17" s="140" t="s">
        <v>343</v>
      </c>
      <c r="K17" s="141"/>
      <c r="L17" s="140"/>
      <c r="N17" s="140" t="s">
        <v>344</v>
      </c>
      <c r="O17" s="141"/>
      <c r="P17" s="140"/>
      <c r="R17" s="140" t="s">
        <v>408</v>
      </c>
      <c r="S17" s="141"/>
      <c r="T17" s="140"/>
      <c r="V17" s="140" t="s">
        <v>65</v>
      </c>
      <c r="W17" s="140"/>
      <c r="X17" s="140"/>
    </row>
    <row r="18" spans="2:24" x14ac:dyDescent="0.25">
      <c r="B18" s="2" t="s">
        <v>55</v>
      </c>
      <c r="C18" s="3"/>
      <c r="D18" s="57"/>
      <c r="F18" s="72">
        <f>J18+N18</f>
        <v>407617.02666666661</v>
      </c>
      <c r="G18" s="72">
        <f t="shared" ref="G18:H18" si="20">K18+O18</f>
        <v>981678.57333333301</v>
      </c>
      <c r="H18" s="72">
        <f t="shared" si="20"/>
        <v>1452807.8399999996</v>
      </c>
      <c r="J18" s="72">
        <f t="shared" ref="J18" si="21">R18+V18</f>
        <v>188410.19999999998</v>
      </c>
      <c r="K18" s="72">
        <f t="shared" ref="K18" si="22">S18+W18</f>
        <v>524111.42666666646</v>
      </c>
      <c r="L18" s="72">
        <f t="shared" ref="L18" si="23">T18+X18</f>
        <v>809642.82666666631</v>
      </c>
      <c r="N18" s="53" cm="1">
        <f t="array" ref="N18">_xlfn.LET(_xlpm.hours,_xlfn._TRO_TRAILING(Sites!$I:$L),_xlpm.states,ISNUMBER(SEARCH($N$19,_xlfn._TRO_TRAILING(Sites!$I:$I))),
_xlpm.years,ISNUMBER(SEARCH(N$20,Sites!$I$3:$L$3)),_xlpm.mna,ISNUMBER(SEARCH("M&amp;A",_xlfn._TRO_TRAILING(Sites!$I:$I))),
SUM(_xlfn._xlws.FILTER(_xlfn._xlws.FILTER(_xlpm.hours,_xlpm.mna,0),_xlpm.years),0))</f>
        <v>219206.82666666666</v>
      </c>
      <c r="O18" s="53" cm="1">
        <f t="array" ref="O18">_xlfn.LET(_xlpm.hours,_xlfn._TRO_TRAILING(Sites!$I:$L),_xlpm.states,ISNUMBER(SEARCH($N$19,_xlfn._TRO_TRAILING(Sites!$I:$I))),
_xlpm.years,ISNUMBER(SEARCH(O$20,Sites!$I$3:$L$3)),_xlpm.mna,ISNUMBER(SEARCH("M&amp;A",_xlfn._TRO_TRAILING(Sites!$I:$I))),
SUM(_xlfn._xlws.FILTER(_xlfn._xlws.FILTER(_xlpm.hours,_xlpm.mna,0),_xlpm.years),0))</f>
        <v>457567.14666666661</v>
      </c>
      <c r="P18" s="53" cm="1">
        <f t="array" ref="P18">_xlfn.LET(_xlpm.hours,_xlfn._TRO_TRAILING(Sites!$I:$L),_xlpm.states,ISNUMBER(SEARCH($N$19,_xlfn._TRO_TRAILING(Sites!$I:$I))),
_xlpm.years,ISNUMBER(SEARCH(P$20,Sites!$I$3:$L$3)),_xlpm.mna,ISNUMBER(SEARCH("M&amp;A",_xlfn._TRO_TRAILING(Sites!$I:$I))),
SUM(_xlfn._xlws.FILTER(_xlfn._xlws.FILTER(_xlpm.hours,_xlpm.mna,0),_xlpm.years),0))</f>
        <v>643165.01333333331</v>
      </c>
      <c r="R18" s="53" cm="1">
        <f t="array" ref="R18">_xlfn.LET(_xlpm.hours,_xlfn._TRO_TRAILING(Sites!$I:$L),_xlpm.type,ISNUMBER(SEARCH($R$17,_xlfn._TRO_TRAILING(Sites!$H:$H))),
_xlpm.states,ISNUMBER(SEARCH($R$19,_xlfn._TRO_TRAILING(Sites!$I:$I))),_xlpm.years,ISNUMBER(SEARCH(R$20,Sites!$I$3:$L$3)),
SUM(_xlfn._xlws.FILTER(_xlfn._xlws.FILTER(_xlpm.hours,_xlpm.states*_xlpm.type,0),_xlpm.years),0))</f>
        <v>21544.013333333336</v>
      </c>
      <c r="S18" s="53" cm="1">
        <f t="array" ref="S18">_xlfn.LET(_xlpm.hours,_xlfn._TRO_TRAILING(Sites!$I:$L),_xlpm.type,ISNUMBER(SEARCH($R$17,_xlfn._TRO_TRAILING(Sites!$H:$H))),
_xlpm.states,ISNUMBER(SEARCH($R$19,_xlfn._TRO_TRAILING(Sites!$I:$I))),_xlpm.years,ISNUMBER(SEARCH(S$20,Sites!$I$3:$L$3)),
SUM(_xlfn._xlws.FILTER(_xlfn._xlws.FILTER(_xlpm.hours,_xlpm.states*_xlpm.type,0),_xlpm.years),0))</f>
        <v>68563.58666666667</v>
      </c>
      <c r="T18" s="53" cm="1">
        <f t="array" ref="T18">_xlfn.LET(_xlpm.hours,_xlfn._TRO_TRAILING(Sites!$I:$L),_xlpm.type,ISNUMBER(SEARCH($R$17,_xlfn._TRO_TRAILING(Sites!$H:$H))),
_xlpm.states,ISNUMBER(SEARCH($R$19,_xlfn._TRO_TRAILING(Sites!$I:$I))),_xlpm.years,ISNUMBER(SEARCH(T$20,Sites!$I$3:$L$3)),
SUM(_xlfn._xlws.FILTER(_xlfn._xlws.FILTER(_xlpm.hours,_xlpm.states*_xlpm.type,0),_xlpm.years),0))</f>
        <v>118760.10666666666</v>
      </c>
      <c r="V18" s="53" cm="1">
        <f t="array" ref="V18">_xlfn.LET(_xlpm.hours,_xlfn._TRO_TRAILING(Sites!$I:$L),_xlpm.type,ISNUMBER(SEARCH($V$17,_xlfn._TRO_TRAILING(Sites!$H:$H))),
_xlpm.states,ISNUMBER(SEARCH($V$19,_xlfn._TRO_TRAILING(Sites!$I:$I))),
_xlpm.years,ISNUMBER(SEARCH(V$20,Sites!$I$3:$L$3)),
SUM(_xlfn._xlws.FILTER(_xlfn._xlws.FILTER(_xlpm.hours,_xlpm.states*_xlpm.type,0),_xlpm.years),0))</f>
        <v>166866.18666666665</v>
      </c>
      <c r="W18" s="53" cm="1">
        <f t="array" ref="W18">_xlfn.LET(_xlpm.hours,_xlfn._TRO_TRAILING(Sites!$I:$L),_xlpm.type,ISNUMBER(SEARCH($V$17,_xlfn._TRO_TRAILING(Sites!$H:$H))),
_xlpm.states,ISNUMBER(SEARCH($V$19,_xlfn._TRO_TRAILING(Sites!$I:$I))),
_xlpm.years,ISNUMBER(SEARCH(W$20,Sites!$I$3:$L$3)),
SUM(_xlfn._xlws.FILTER(_xlfn._xlws.FILTER(_xlpm.hours,_xlpm.states*_xlpm.type,0),_xlpm.years),0))</f>
        <v>455547.83999999979</v>
      </c>
      <c r="X18" s="53" cm="1">
        <f t="array" ref="X18">_xlfn.LET(_xlpm.hours,_xlfn._TRO_TRAILING(Sites!$I:$L),_xlpm.type,ISNUMBER(SEARCH($V$17,_xlfn._TRO_TRAILING(Sites!$H:$H))),
_xlpm.states,ISNUMBER(SEARCH($V$19,_xlfn._TRO_TRAILING(Sites!$I:$I))),
_xlpm.years,ISNUMBER(SEARCH(X$20,Sites!$I$3:$L$3)),
SUM(_xlfn._xlws.FILTER(_xlfn._xlws.FILTER(_xlpm.hours,_xlpm.states*_xlpm.type,0),_xlpm.years),0))</f>
        <v>690882.71999999962</v>
      </c>
    </row>
    <row r="19" spans="2:24" x14ac:dyDescent="0.25">
      <c r="F19" s="70" t="s">
        <v>14</v>
      </c>
      <c r="G19" s="70"/>
      <c r="H19" s="70"/>
      <c r="J19" s="70" t="s">
        <v>29</v>
      </c>
      <c r="K19" s="70"/>
      <c r="L19" s="70"/>
      <c r="N19" s="70" t="s">
        <v>45</v>
      </c>
      <c r="O19" s="70"/>
      <c r="P19" s="70"/>
      <c r="R19" s="70" t="s">
        <v>29</v>
      </c>
      <c r="S19" s="70"/>
      <c r="T19" s="70"/>
      <c r="V19" s="70" t="s">
        <v>29</v>
      </c>
      <c r="W19" s="70"/>
      <c r="X19" s="70"/>
    </row>
    <row r="20" spans="2:24" x14ac:dyDescent="0.25">
      <c r="B20" s="1" t="s">
        <v>21</v>
      </c>
      <c r="D20" s="64"/>
      <c r="F20" s="76" cm="1">
        <f t="array" ref="F20:H20">_xlfn.SEQUENCE(1,3,2026)</f>
        <v>2026</v>
      </c>
      <c r="G20" s="76">
        <v>2027</v>
      </c>
      <c r="H20" s="76">
        <v>2028</v>
      </c>
      <c r="I20" s="3"/>
      <c r="J20" s="76" cm="1">
        <f t="array" ref="J20:L20">_xlfn.SEQUENCE(1,3,2026)</f>
        <v>2026</v>
      </c>
      <c r="K20" s="76">
        <v>2027</v>
      </c>
      <c r="L20" s="76">
        <v>2028</v>
      </c>
      <c r="M20" s="3"/>
      <c r="N20" s="76" cm="1">
        <f t="array" ref="N20:P20">_xlfn.SEQUENCE(1,3,2026)</f>
        <v>2026</v>
      </c>
      <c r="O20" s="76">
        <v>2027</v>
      </c>
      <c r="P20" s="76">
        <v>2028</v>
      </c>
      <c r="Q20" s="3"/>
      <c r="R20" s="76" cm="1">
        <f t="array" ref="R20:T20">_xlfn.ANCHORARRAY($F$20)</f>
        <v>2026</v>
      </c>
      <c r="S20" s="76">
        <v>2027</v>
      </c>
      <c r="T20" s="76">
        <v>2028</v>
      </c>
      <c r="U20" s="3"/>
      <c r="V20" s="76" cm="1">
        <f t="array" ref="V20:X20">_xlfn.ANCHORARRAY('JV1'!$F$20)</f>
        <v>2026</v>
      </c>
      <c r="W20" s="76">
        <v>2027</v>
      </c>
      <c r="X20" s="76">
        <v>2028</v>
      </c>
    </row>
    <row r="21" spans="2:24" outlineLevel="1" x14ac:dyDescent="0.25">
      <c r="B21" s="39" t="s">
        <v>449</v>
      </c>
      <c r="D21" s="107"/>
      <c r="F21" s="67">
        <f>J21+N21</f>
        <v>60978225.663333327</v>
      </c>
      <c r="G21" s="67">
        <f t="shared" ref="G21:G31" si="24">K21+O21</f>
        <v>150752212.93339998</v>
      </c>
      <c r="H21" s="67">
        <f t="shared" ref="H21:H31" si="25">L21+P21</f>
        <v>222950379.11249998</v>
      </c>
      <c r="J21" s="67" cm="1">
        <f t="array" ref="J21">_xlfn.LET(_xlpm.hours,_xlfn._TRO_TRAILING(Sites!$BJ:$BL),_xlpm.type,ISNUMBER(SEARCH($J$17,_xlfn._TRO_TRAILING(Sites!$H:$H))),_xlpm.states,ISNUMBER(SEARCH($J$19,_xlfn._TRO_TRAILING(Sites!$I:$I))),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27364667.59</v>
      </c>
      <c r="K21" s="67" cm="1">
        <f t="array" ref="K21">_xlfn.LET(_xlpm.hours,_xlfn._TRO_TRAILING(Sites!$BJ:$BL),_xlpm.type,ISNUMBER(SEARCH($J$17,_xlfn._TRO_TRAILING(Sites!$H:$H))),_xlpm.states,ISNUMBER(SEARCH($J$19,_xlfn._TRO_TRAILING(Sites!$I:$I))),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78483142.240966648</v>
      </c>
      <c r="L21" s="67" cm="1">
        <f t="array" ref="L21">_xlfn.LET(_xlpm.hours,_xlfn._TRO_TRAILING(Sites!$BJ:$BL),_xlpm.type,ISNUMBER(SEARCH($J$17,_xlfn._TRO_TRAILING(Sites!$H:$H))),_xlpm.states,ISNUMBER(SEARCH($J$19,_xlfn._TRO_TRAILING(Sites!$I:$I))),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121367609.99523334</v>
      </c>
      <c r="N21" s="67" cm="1">
        <f t="array" ref="N21">_xlfn.LET(_xlpm.hours,_xlfn._TRO_TRAILING(Sites!$BJ:$BL),_xlpm.type,ISNUMBER(SEARCH($N$17,_xlfn._TRO_TRAILING(Sites!$H:$H))),_xlpm.states,ISNUMBER(SEARCH($N$19,_xlfn._TRO_TRAILING(Sites!$I:$I))),
_xlpm.years,ISNUMBER(SEARCH(N$20,Sites!$R$3:$T$3)),_xlpm.mna,ISNUMBER(SEARCH($N$19,_xlfn._TRO_TRAILING(Sites!$I:$I))),
SUM(_xlfn._xlws.FILTER(_xlfn._xlws.FILTER(_xlpm.hours,_xlpm.mna,0),_xlpm.years),0))</f>
        <v>33613558.07333333</v>
      </c>
      <c r="O21" s="67" cm="1">
        <f t="array" ref="O21">_xlfn.LET(_xlpm.hours,_xlfn._TRO_TRAILING(Sites!$BJ:$BL),_xlpm.type,ISNUMBER(SEARCH($N$17,_xlfn._TRO_TRAILING(Sites!$H:$H))),_xlpm.states,ISNUMBER(SEARCH($N$19,_xlfn._TRO_TRAILING(Sites!$I:$I))),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72269070.692433327</v>
      </c>
      <c r="P21" s="67" cm="1">
        <f t="array" ref="P21">_xlfn.LET(_xlpm.hours,_xlfn._TRO_TRAILING(Sites!$BJ:$BL),_xlpm.type,ISNUMBER(SEARCH($N$17,_xlfn._TRO_TRAILING(Sites!$H:$H))),_xlpm.states,ISNUMBER(SEARCH($N$19,_xlfn._TRO_TRAILING(Sites!$I:$I))),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101582769.11726664</v>
      </c>
      <c r="R21" s="67" cm="1">
        <f t="array" ref="R21">_xlfn.LET(_xlpm.hours,_xlfn._TRO_TRAILING(Sites!$BJ:$BL),_xlpm.type,ISNUMBER(SEARCH($R$17,_xlfn._TRO_TRAILING(Sites!$H:$H))),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3299813.4433333338</v>
      </c>
      <c r="S21" s="67" cm="1">
        <f t="array" ref="S21">_xlfn.LET(_xlpm.hours,_xlfn._TRO_TRAILING(Sites!$BJ:$BL),_xlpm.type,ISNUMBER(SEARCH($R$17,_xlfn._TRO_TRAILING(Sites!$H:$H))),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10814710.896166667</v>
      </c>
      <c r="T21" s="67" cm="1">
        <f t="array" ref="T21">_xlfn.LET(_xlpm.hours,_xlfn._TRO_TRAILING(Sites!$BJ:$BL),_xlpm.type,ISNUMBER(SEARCH($R$17,_xlfn._TRO_TRAILING(Sites!$H:$H))),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18741835.486833334</v>
      </c>
      <c r="V21" s="67" cm="1">
        <f t="array" ref="V21">_xlfn.LET(_xlpm.hours,_xlfn._TRO_TRAILING(Sites!$BJ:$BL),_xlpm.type,ISNUMBER(SEARCH($V$17,_xlfn._TRO_TRAILING(Sites!$H:$H))),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24064854.146666665</v>
      </c>
      <c r="W21" s="67" cm="1">
        <f t="array" ref="W21">_xlfn.LET(_xlpm.hours,_xlfn._TRO_TRAILING(Sites!$BJ:$BL),_xlpm.type,ISNUMBER(SEARCH($V$17,_xlfn._TRO_TRAILING(Sites!$H:$H))),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67668431.344799981</v>
      </c>
      <c r="X21" s="67" cm="1">
        <f t="array" ref="X21">_xlfn.LET(_xlpm.hours,_xlfn._TRO_TRAILING(Sites!$BJ:$BL),_xlpm.type,ISNUMBER(SEARCH($V$17,_xlfn._TRO_TRAILING(Sites!$H:$H))),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102625774.50839999</v>
      </c>
    </row>
    <row r="22" spans="2:24" outlineLevel="1" x14ac:dyDescent="0.25">
      <c r="B22" s="39" t="s">
        <v>450</v>
      </c>
      <c r="D22" s="107"/>
      <c r="F22" s="67">
        <f t="shared" ref="F22:F31" si="26">J22+N22</f>
        <v>1411010.813333333</v>
      </c>
      <c r="G22" s="67">
        <f t="shared" si="24"/>
        <v>3967648.7448000005</v>
      </c>
      <c r="H22" s="67">
        <f t="shared" si="25"/>
        <v>6017326.2084000017</v>
      </c>
      <c r="J22" s="67" cm="1">
        <f t="array" ref="J22">_xlfn.LET(_xlpm.hours,_xlfn._TRO_TRAILING(Sites!$BN:$BP),_xlpm.type,ISNUMBER(SEARCH($J$17,_xlfn._TRO_TRAILING(Sites!$H:$H))),_xlpm.states,ISNUMBER(SEARCH($J$19,_xlfn._TRO_TRAILING(Sites!$I:$I))),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1411010.813333333</v>
      </c>
      <c r="K22" s="67" cm="1">
        <f t="array" ref="K22">_xlfn.LET(_xlpm.hours,_xlfn._TRO_TRAILING(Sites!$BN:$BP),_xlpm.type,ISNUMBER(SEARCH($J$17,_xlfn._TRO_TRAILING(Sites!$H:$H))),_xlpm.states,ISNUMBER(SEARCH($J$19,_xlfn._TRO_TRAILING(Sites!$I:$I))),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3967648.7448000005</v>
      </c>
      <c r="L22" s="67" cm="1">
        <f t="array" ref="L22">_xlfn.LET(_xlpm.hours,_xlfn._TRO_TRAILING(Sites!$BN:$BP),_xlpm.type,ISNUMBER(SEARCH($J$17,_xlfn._TRO_TRAILING(Sites!$H:$H))),_xlpm.states,ISNUMBER(SEARCH($J$19,_xlfn._TRO_TRAILING(Sites!$I:$I))),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6017326.2084000017</v>
      </c>
      <c r="N22" s="67" cm="1">
        <f t="array" ref="N22">_xlfn.LET(_xlpm.hours,_xlfn._TRO_TRAILING(Sites!$BN:$BP),_xlpm.type,ISNUMBER(SEARCH($N$17,_xlfn._TRO_TRAILING(Sites!$H:$H))),_xlpm.states,ISNUMBER(SEARCH($N$19,_xlfn._TRO_TRAILING(Sites!$I:$I))),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22" s="67" cm="1">
        <f t="array" ref="O22">_xlfn.LET(_xlpm.hours,_xlfn._TRO_TRAILING(Sites!$BN:$BP),_xlpm.type,ISNUMBER(SEARCH($N$17,_xlfn._TRO_TRAILING(Sites!$H:$H))),_xlpm.states,ISNUMBER(SEARCH($N$19,_xlfn._TRO_TRAILING(Sites!$I:$I))),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22" s="67" cm="1">
        <f t="array" ref="P22">_xlfn.LET(_xlpm.hours,_xlfn._TRO_TRAILING(Sites!$BN:$BP),_xlpm.type,ISNUMBER(SEARCH($N$17,_xlfn._TRO_TRAILING(Sites!$H:$H))),_xlpm.states,ISNUMBER(SEARCH($N$19,_xlfn._TRO_TRAILING(Sites!$I:$I))),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22" s="67" cm="1">
        <f t="array" ref="R22">_xlfn.LET(_xlpm.hours,_xlfn._TRO_TRAILING(Sites!$BN:$BP),_xlpm.type,ISNUMBER(SEARCH($R$17,_xlfn._TRO_TRAILING(Sites!$H:$H))),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22" s="67" cm="1">
        <f t="array" ref="S22">_xlfn.LET(_xlpm.hours,_xlfn._TRO_TRAILING(Sites!$BN:$BP),_xlpm.type,ISNUMBER(SEARCH($R$17,_xlfn._TRO_TRAILING(Sites!$H:$H))),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22" s="67" cm="1">
        <f t="array" ref="T22">_xlfn.LET(_xlpm.hours,_xlfn._TRO_TRAILING(Sites!$BN:$BP),_xlpm.type,ISNUMBER(SEARCH($R$17,_xlfn._TRO_TRAILING(Sites!$H:$H))),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22" s="67" cm="1">
        <f t="array" ref="V22">_xlfn.LET(_xlpm.hours,_xlfn._TRO_TRAILING(Sites!$BN:$BP),_xlpm.type,ISNUMBER(SEARCH($V$17,_xlfn._TRO_TRAILING(Sites!$H:$H))),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1411010.813333333</v>
      </c>
      <c r="W22" s="67" cm="1">
        <f t="array" ref="W22">_xlfn.LET(_xlpm.hours,_xlfn._TRO_TRAILING(Sites!$BN:$BP),_xlpm.type,ISNUMBER(SEARCH($V$17,_xlfn._TRO_TRAILING(Sites!$H:$H))),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3967648.7448000005</v>
      </c>
      <c r="X22" s="67" cm="1">
        <f t="array" ref="X22">_xlfn.LET(_xlpm.hours,_xlfn._TRO_TRAILING(Sites!$BN:$BP),_xlpm.type,ISNUMBER(SEARCH($V$17,_xlfn._TRO_TRAILING(Sites!$H:$H))),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6017326.2084000017</v>
      </c>
    </row>
    <row r="23" spans="2:24" outlineLevel="1" x14ac:dyDescent="0.25">
      <c r="B23" s="39" t="s">
        <v>451</v>
      </c>
      <c r="D23" s="107"/>
      <c r="F23" s="67">
        <f t="shared" si="26"/>
        <v>8276965.2679999992</v>
      </c>
      <c r="G23" s="67">
        <f t="shared" si="24"/>
        <v>20516522.382069997</v>
      </c>
      <c r="H23" s="67">
        <f t="shared" si="25"/>
        <v>30352541.217569988</v>
      </c>
      <c r="J23" s="67" cm="1">
        <f t="array" ref="J23">_xlfn.LET(_xlpm.hours,_xlfn._TRO_TRAILING(Sites!$BR:$BT),_xlpm.type,ISNUMBER(SEARCH($J$17,_xlfn._TRO_TRAILING(Sites!$H:$H))),_xlpm.states,ISNUMBER(SEARCH($J$19,_xlfn._TRO_TRAILING(Sites!$I:$I))),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3796598.8059999994</v>
      </c>
      <c r="K23" s="67" cm="1">
        <f t="array" ref="K23">_xlfn.LET(_xlpm.hours,_xlfn._TRO_TRAILING(Sites!$BR:$BT),_xlpm.type,ISNUMBER(SEARCH($J$17,_xlfn._TRO_TRAILING(Sites!$H:$H))),_xlpm.states,ISNUMBER(SEARCH($J$19,_xlfn._TRO_TRAILING(Sites!$I:$I))),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10883745.040739998</v>
      </c>
      <c r="L23" s="67" cm="1">
        <f t="array" ref="L23">_xlfn.LET(_xlpm.hours,_xlfn._TRO_TRAILING(Sites!$BR:$BT),_xlpm.type,ISNUMBER(SEARCH($J$17,_xlfn._TRO_TRAILING(Sites!$H:$H))),_xlpm.states,ISNUMBER(SEARCH($J$19,_xlfn._TRO_TRAILING(Sites!$I:$I))),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16812527.66478999</v>
      </c>
      <c r="N23" s="67" cm="1">
        <f t="array" ref="N23">_xlfn.LET(_xlpm.hours,_xlfn._TRO_TRAILING(Sites!$BR:$BT),_xlpm.type,ISNUMBER(SEARCH($N$17,_xlfn._TRO_TRAILING(Sites!$H:$H))),_xlpm.states,ISNUMBER(SEARCH($N$19,_xlfn._TRO_TRAILING(Sites!$I:$I))),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4480366.4619999994</v>
      </c>
      <c r="O23" s="67" cm="1">
        <f t="array" ref="O23">_xlfn.LET(_xlpm.hours,_xlfn._TRO_TRAILING(Sites!$BR:$BT),_xlpm.type,ISNUMBER(SEARCH($N$17,_xlfn._TRO_TRAILING(Sites!$H:$H))),_xlpm.states,ISNUMBER(SEARCH($N$19,_xlfn._TRO_TRAILING(Sites!$I:$I))),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9632777.3413299974</v>
      </c>
      <c r="P23" s="67" cm="1">
        <f t="array" ref="P23">_xlfn.LET(_xlpm.hours,_xlfn._TRO_TRAILING(Sites!$BR:$BT),_xlpm.type,ISNUMBER(SEARCH($N$17,_xlfn._TRO_TRAILING(Sites!$H:$H))),_xlpm.states,ISNUMBER(SEARCH($N$19,_xlfn._TRO_TRAILING(Sites!$I:$I))),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13540013.552779999</v>
      </c>
      <c r="R23" s="67" cm="1">
        <f t="array" ref="R23">_xlfn.LET(_xlpm.hours,_xlfn._TRO_TRAILING(Sites!$BR:$BT),_xlpm.type,ISNUMBER(SEARCH($R$17,_xlfn._TRO_TRAILING(Sites!$H:$H))),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443182.73999999987</v>
      </c>
      <c r="S23" s="67" cm="1">
        <f t="array" ref="S23">_xlfn.LET(_xlpm.hours,_xlfn._TRO_TRAILING(Sites!$BR:$BT),_xlpm.type,ISNUMBER(SEARCH($R$17,_xlfn._TRO_TRAILING(Sites!$H:$H))),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1454209.1935799993</v>
      </c>
      <c r="T23" s="67" cm="1">
        <f t="array" ref="T23">_xlfn.LET(_xlpm.hours,_xlfn._TRO_TRAILING(Sites!$BR:$BT),_xlpm.type,ISNUMBER(SEARCH($R$17,_xlfn._TRO_TRAILING(Sites!$H:$H))),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2511717.0750099989</v>
      </c>
      <c r="V23" s="67" cm="1">
        <f t="array" ref="V23">_xlfn.LET(_xlpm.hours,_xlfn._TRO_TRAILING(Sites!$BR:$BT),_xlpm.type,ISNUMBER(SEARCH($V$17,_xlfn._TRO_TRAILING(Sites!$H:$H))),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3353416.0659999992</v>
      </c>
      <c r="W23" s="67" cm="1">
        <f t="array" ref="W23">_xlfn.LET(_xlpm.hours,_xlfn._TRO_TRAILING(Sites!$BR:$BT),_xlpm.type,ISNUMBER(SEARCH($V$17,_xlfn._TRO_TRAILING(Sites!$H:$H))),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9429535.8471599966</v>
      </c>
      <c r="X23" s="67" cm="1">
        <f t="array" ref="X23">_xlfn.LET(_xlpm.hours,_xlfn._TRO_TRAILING(Sites!$BR:$BT),_xlpm.type,ISNUMBER(SEARCH($V$17,_xlfn._TRO_TRAILING(Sites!$H:$H))),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14300810.589779995</v>
      </c>
    </row>
    <row r="24" spans="2:24" outlineLevel="1" x14ac:dyDescent="0.25">
      <c r="B24" s="39" t="s">
        <v>453</v>
      </c>
      <c r="D24" s="107"/>
      <c r="F24" s="67">
        <f t="shared" si="26"/>
        <v>1015424.1900000002</v>
      </c>
      <c r="G24" s="67">
        <f t="shared" si="24"/>
        <v>2431039.1474600001</v>
      </c>
      <c r="H24" s="67">
        <f t="shared" si="25"/>
        <v>3569559.3727199999</v>
      </c>
      <c r="J24" s="67" cm="1">
        <f t="array" ref="J24">_xlfn.LET(_xlpm.hours,_xlfn._TRO_TRAILING(Sites!$BV:$BX),_xlpm.type,ISNUMBER(SEARCH($J$17,_xlfn._TRO_TRAILING(Sites!$H:$H))),_xlpm.states,ISNUMBER(SEARCH($J$19,_xlfn._TRO_TRAILING(Sites!$I:$I))),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326137.04200000007</v>
      </c>
      <c r="K24" s="67" cm="1">
        <f t="array" ref="K24">_xlfn.LET(_xlpm.hours,_xlfn._TRO_TRAILING(Sites!$BV:$BX),_xlpm.type,ISNUMBER(SEARCH($J$17,_xlfn._TRO_TRAILING(Sites!$H:$H))),_xlpm.states,ISNUMBER(SEARCH($J$19,_xlfn._TRO_TRAILING(Sites!$I:$I))),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949073.40264000022</v>
      </c>
      <c r="L24" s="67" cm="1">
        <f t="array" ref="L24">_xlfn.LET(_xlpm.hours,_xlfn._TRO_TRAILING(Sites!$BV:$BX),_xlpm.type,ISNUMBER(SEARCH($J$17,_xlfn._TRO_TRAILING(Sites!$H:$H))),_xlpm.states,ISNUMBER(SEARCH($J$19,_xlfn._TRO_TRAILING(Sites!$I:$I))),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1486480.3646000002</v>
      </c>
      <c r="N24" s="67" cm="1">
        <f t="array" ref="N24">_xlfn.LET(_xlpm.hours,_xlfn._TRO_TRAILING(Sites!$BV:$BX),_xlpm.type,ISNUMBER(SEARCH($N$17,_xlfn._TRO_TRAILING(Sites!$H:$H))),_xlpm.states,ISNUMBER(SEARCH($N$19,_xlfn._TRO_TRAILING(Sites!$I:$I))),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689287.14800000004</v>
      </c>
      <c r="O24" s="67" cm="1">
        <f t="array" ref="O24">_xlfn.LET(_xlpm.hours,_xlfn._TRO_TRAILING(Sites!$BV:$BX),_xlpm.type,ISNUMBER(SEARCH($N$17,_xlfn._TRO_TRAILING(Sites!$H:$H))),_xlpm.states,ISNUMBER(SEARCH($N$19,_xlfn._TRO_TRAILING(Sites!$I:$I))),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1481965.7448199999</v>
      </c>
      <c r="P24" s="67" cm="1">
        <f t="array" ref="P24">_xlfn.LET(_xlpm.hours,_xlfn._TRO_TRAILING(Sites!$BV:$BX),_xlpm.type,ISNUMBER(SEARCH($N$17,_xlfn._TRO_TRAILING(Sites!$H:$H))),_xlpm.states,ISNUMBER(SEARCH($N$19,_xlfn._TRO_TRAILING(Sites!$I:$I))),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2083079.0081199997</v>
      </c>
      <c r="R24" s="67" cm="1">
        <f t="array" ref="R24">_xlfn.LET(_xlpm.hours,_xlfn._TRO_TRAILING(Sites!$BV:$BX),_xlpm.type,ISNUMBER(SEARCH($R$17,_xlfn._TRO_TRAILING(Sites!$H:$H))),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68181.959999999992</v>
      </c>
      <c r="S24" s="67" cm="1">
        <f t="array" ref="S24">_xlfn.LET(_xlpm.hours,_xlfn._TRO_TRAILING(Sites!$BV:$BX),_xlpm.type,ISNUMBER(SEARCH($R$17,_xlfn._TRO_TRAILING(Sites!$H:$H))),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223724.49132</v>
      </c>
      <c r="T24" s="67" cm="1">
        <f t="array" ref="T24">_xlfn.LET(_xlpm.hours,_xlfn._TRO_TRAILING(Sites!$BV:$BX),_xlpm.type,ISNUMBER(SEARCH($R$17,_xlfn._TRO_TRAILING(Sites!$H:$H))),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386418.01154000004</v>
      </c>
      <c r="V24" s="67" cm="1">
        <f t="array" ref="V24">_xlfn.LET(_xlpm.hours,_xlfn._TRO_TRAILING(Sites!$BV:$BX),_xlpm.type,ISNUMBER(SEARCH($V$17,_xlfn._TRO_TRAILING(Sites!$H:$H))),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257955.08199999999</v>
      </c>
      <c r="W24" s="67" cm="1">
        <f t="array" ref="W24">_xlfn.LET(_xlpm.hours,_xlfn._TRO_TRAILING(Sites!$BV:$BX),_xlpm.type,ISNUMBER(SEARCH($V$17,_xlfn._TRO_TRAILING(Sites!$H:$H))),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725348.91132000019</v>
      </c>
      <c r="X24" s="67" cm="1">
        <f t="array" ref="X24">_xlfn.LET(_xlpm.hours,_xlfn._TRO_TRAILING(Sites!$BV:$BX),_xlpm.type,ISNUMBER(SEARCH($V$17,_xlfn._TRO_TRAILING(Sites!$H:$H))),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1100062.3530600003</v>
      </c>
    </row>
    <row r="25" spans="2:24" outlineLevel="1" x14ac:dyDescent="0.25">
      <c r="B25" s="39" t="s">
        <v>452</v>
      </c>
      <c r="D25" s="107"/>
      <c r="F25" s="67">
        <f t="shared" si="26"/>
        <v>1324892.3999999999</v>
      </c>
      <c r="G25" s="67">
        <f t="shared" si="24"/>
        <v>3171940.6749333329</v>
      </c>
      <c r="H25" s="67">
        <f t="shared" si="25"/>
        <v>4657444.7711999994</v>
      </c>
      <c r="J25" s="67" cm="1">
        <f t="array" ref="J25">_xlfn.LET(_xlpm.hours,_xlfn._TRO_TRAILING(Sites!$BZ:$CB),_xlpm.type,ISNUMBER(SEARCH($J$17,_xlfn._TRO_TRAILING(Sites!$H:$H))),_xlpm.states,ISNUMBER(SEARCH($J$19,_xlfn._TRO_TRAILING(Sites!$I:$I))),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425532.98666666669</v>
      </c>
      <c r="K25" s="67" cm="1">
        <f t="array" ref="K25">_xlfn.LET(_xlpm.hours,_xlfn._TRO_TRAILING(Sites!$BZ:$CB),_xlpm.type,ISNUMBER(SEARCH($J$17,_xlfn._TRO_TRAILING(Sites!$H:$H))),_xlpm.states,ISNUMBER(SEARCH($J$19,_xlfn._TRO_TRAILING(Sites!$I:$I))),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1238320.0544</v>
      </c>
      <c r="L25" s="67" cm="1">
        <f t="array" ref="L25">_xlfn.LET(_xlpm.hours,_xlfn._TRO_TRAILING(Sites!$BZ:$CB),_xlpm.type,ISNUMBER(SEARCH($J$17,_xlfn._TRO_TRAILING(Sites!$H:$H))),_xlpm.states,ISNUMBER(SEARCH($J$19,_xlfn._TRO_TRAILING(Sites!$I:$I))),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1939511.1493333331</v>
      </c>
      <c r="N25" s="67" cm="1">
        <f t="array" ref="N25">_xlfn.LET(_xlpm.hours,_xlfn._TRO_TRAILING(Sites!$BZ:$CB),_xlpm.type,ISNUMBER(SEARCH($N$17,_xlfn._TRO_TRAILING(Sites!$H:$H))),_xlpm.states,ISNUMBER(SEARCH($N$19,_xlfn._TRO_TRAILING(Sites!$I:$I))),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899359.41333333321</v>
      </c>
      <c r="O25" s="67" cm="1">
        <f t="array" ref="O25">_xlfn.LET(_xlpm.hours,_xlfn._TRO_TRAILING(Sites!$BZ:$CB),_xlpm.type,ISNUMBER(SEARCH($N$17,_xlfn._TRO_TRAILING(Sites!$H:$H))),_xlpm.states,ISNUMBER(SEARCH($N$19,_xlfn._TRO_TRAILING(Sites!$I:$I))),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1933620.6205333332</v>
      </c>
      <c r="P25" s="67" cm="1">
        <f t="array" ref="P25">_xlfn.LET(_xlpm.hours,_xlfn._TRO_TRAILING(Sites!$BZ:$CB),_xlpm.type,ISNUMBER(SEARCH($N$17,_xlfn._TRO_TRAILING(Sites!$H:$H))),_xlpm.states,ISNUMBER(SEARCH($N$19,_xlfn._TRO_TRAILING(Sites!$I:$I))),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2717933.6218666667</v>
      </c>
      <c r="R25" s="67" cm="1">
        <f t="array" ref="R25">_xlfn.LET(_xlpm.hours,_xlfn._TRO_TRAILING(Sites!$BZ:$CB),_xlpm.type,ISNUMBER(SEARCH($R$17,_xlfn._TRO_TRAILING(Sites!$H:$H))),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88961.599999999977</v>
      </c>
      <c r="S25" s="67" cm="1">
        <f t="array" ref="S25">_xlfn.LET(_xlpm.hours,_xlfn._TRO_TRAILING(Sites!$BZ:$CB),_xlpm.type,ISNUMBER(SEARCH($R$17,_xlfn._TRO_TRAILING(Sites!$H:$H))),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291908.42719999998</v>
      </c>
      <c r="T25" s="67" cm="1">
        <f t="array" ref="T25">_xlfn.LET(_xlpm.hours,_xlfn._TRO_TRAILING(Sites!$BZ:$CB),_xlpm.type,ISNUMBER(SEARCH($R$17,_xlfn._TRO_TRAILING(Sites!$H:$H))),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504185.63173333334</v>
      </c>
      <c r="V25" s="67" cm="1">
        <f t="array" ref="V25">_xlfn.LET(_xlpm.hours,_xlfn._TRO_TRAILING(Sites!$BZ:$CB),_xlpm.type,ISNUMBER(SEARCH($V$17,_xlfn._TRO_TRAILING(Sites!$H:$H))),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336571.38666666666</v>
      </c>
      <c r="W25" s="67" cm="1">
        <f t="array" ref="W25">_xlfn.LET(_xlpm.hours,_xlfn._TRO_TRAILING(Sites!$BZ:$CB),_xlpm.type,ISNUMBER(SEARCH($V$17,_xlfn._TRO_TRAILING(Sites!$H:$H))),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946411.6272000001</v>
      </c>
      <c r="X25" s="67" cm="1">
        <f t="array" ref="X25">_xlfn.LET(_xlpm.hours,_xlfn._TRO_TRAILING(Sites!$BZ:$CB),_xlpm.type,ISNUMBER(SEARCH($V$17,_xlfn._TRO_TRAILING(Sites!$H:$H))),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1435325.5175999999</v>
      </c>
    </row>
    <row r="26" spans="2:24" outlineLevel="1" x14ac:dyDescent="0.25">
      <c r="B26" s="39" t="s">
        <v>473</v>
      </c>
      <c r="D26" s="107"/>
      <c r="F26" s="67">
        <f t="shared" si="26"/>
        <v>0</v>
      </c>
      <c r="G26" s="67">
        <f t="shared" si="24"/>
        <v>0</v>
      </c>
      <c r="H26" s="67">
        <f t="shared" si="25"/>
        <v>0</v>
      </c>
      <c r="J26" s="188">
        <v>0</v>
      </c>
      <c r="K26" s="188">
        <v>0</v>
      </c>
      <c r="L26" s="188">
        <v>0</v>
      </c>
      <c r="N26" s="188">
        <v>0</v>
      </c>
      <c r="O26" s="188">
        <v>0</v>
      </c>
      <c r="P26" s="188">
        <v>0</v>
      </c>
      <c r="R26" s="67" cm="1">
        <f t="array" ref="R26">_xlfn.LET(_xlpm.hours,_xlfn._TRO_TRAILING(Sites!$CD:$CF),_xlpm.type,ISNUMBER(SEARCH($R$17,_xlfn._TRO_TRAILING(Sites!$H:$H))),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26" s="67" cm="1">
        <f t="array" ref="S26">_xlfn.LET(_xlpm.hours,_xlfn._TRO_TRAILING(Sites!$CD:$CF),_xlpm.type,ISNUMBER(SEARCH($R$17,_xlfn._TRO_TRAILING(Sites!$H:$H))),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26" s="67" cm="1">
        <f t="array" ref="T26">_xlfn.LET(_xlpm.hours,_xlfn._TRO_TRAILING(Sites!$CD:$CF),_xlpm.type,ISNUMBER(SEARCH($R$17,_xlfn._TRO_TRAILING(Sites!$H:$H))),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26" s="67" cm="1">
        <f t="array" ref="V26">_xlfn.LET(_xlpm.hours,_xlfn._TRO_TRAILING(Sites!$CD:$CF),_xlpm.type,ISNUMBER(SEARCH($V$17,_xlfn._TRO_TRAILING(Sites!$H:$H))),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1505647.0682343834</v>
      </c>
      <c r="W26" s="67" cm="1">
        <f t="array" ref="W26">_xlfn.LET(_xlpm.hours,_xlfn._TRO_TRAILING(Sites!$CD:$CF),_xlpm.type,ISNUMBER(SEARCH($V$17,_xlfn._TRO_TRAILING(Sites!$H:$H))),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4016328.787005791</v>
      </c>
      <c r="X26" s="67" cm="1">
        <f t="array" ref="X26">_xlfn.LET(_xlpm.hours,_xlfn._TRO_TRAILING(Sites!$CD:$CF),_xlpm.type,ISNUMBER(SEARCH($V$17,_xlfn._TRO_TRAILING(Sites!$H:$H))),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5714103.2588426508</v>
      </c>
    </row>
    <row r="27" spans="2:24" outlineLevel="1" x14ac:dyDescent="0.25">
      <c r="B27" s="39" t="s">
        <v>474</v>
      </c>
      <c r="D27" s="107"/>
      <c r="F27" s="67">
        <f t="shared" si="26"/>
        <v>0</v>
      </c>
      <c r="G27" s="67">
        <f t="shared" si="24"/>
        <v>0</v>
      </c>
      <c r="H27" s="67">
        <f t="shared" si="25"/>
        <v>0</v>
      </c>
      <c r="J27" s="188">
        <v>0</v>
      </c>
      <c r="K27" s="188">
        <v>0</v>
      </c>
      <c r="L27" s="188">
        <v>0</v>
      </c>
      <c r="N27" s="188">
        <v>0</v>
      </c>
      <c r="O27" s="188">
        <v>0</v>
      </c>
      <c r="P27" s="188">
        <v>0</v>
      </c>
      <c r="R27" s="67" cm="1">
        <f t="array" ref="R27">_xlfn.LET(_xlpm.hours,_xlfn._TRO_TRAILING(Sites!$CH:$CJ),_xlpm.type,ISNUMBER(SEARCH($R$17,_xlfn._TRO_TRAILING(Sites!$H:$H))),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27" s="67" cm="1">
        <f t="array" ref="S27">_xlfn.LET(_xlpm.hours,_xlfn._TRO_TRAILING(Sites!$CH:$CJ),_xlpm.type,ISNUMBER(SEARCH($R$17,_xlfn._TRO_TRAILING(Sites!$H:$H))),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27" s="67" cm="1">
        <f t="array" ref="T27">_xlfn.LET(_xlpm.hours,_xlfn._TRO_TRAILING(Sites!$CH:$CJ),_xlpm.type,ISNUMBER(SEARCH($R$17,_xlfn._TRO_TRAILING(Sites!$H:$H))),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27" s="67" cm="1">
        <f t="array" ref="V27">_xlfn.LET(_xlpm.hours,_xlfn._TRO_TRAILING(Sites!$CH:$CJ),_xlpm.type,ISNUMBER(SEARCH($V$17,_xlfn._TRO_TRAILING(Sites!$H:$H))),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201184.51885965318</v>
      </c>
      <c r="W27" s="67" cm="1">
        <f t="array" ref="W27">_xlfn.LET(_xlpm.hours,_xlfn._TRO_TRAILING(Sites!$CH:$CJ),_xlpm.type,ISNUMBER(SEARCH($V$17,_xlfn._TRO_TRAILING(Sites!$H:$H))),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536661.73942308617</v>
      </c>
      <c r="X27" s="67" cm="1">
        <f t="array" ref="X27">_xlfn.LET(_xlpm.hours,_xlfn._TRO_TRAILING(Sites!$CH:$CJ),_xlpm.type,ISNUMBER(SEARCH($V$17,_xlfn._TRO_TRAILING(Sites!$H:$H))),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763518.31654194708</v>
      </c>
    </row>
    <row r="28" spans="2:24" outlineLevel="1" x14ac:dyDescent="0.25">
      <c r="B28" s="39" t="s">
        <v>475</v>
      </c>
      <c r="D28" s="107"/>
      <c r="F28" s="67">
        <f t="shared" si="26"/>
        <v>1995184.8583333332</v>
      </c>
      <c r="G28" s="67">
        <f t="shared" si="24"/>
        <v>3522926.4070000001</v>
      </c>
      <c r="H28" s="67">
        <f t="shared" si="25"/>
        <v>5017501.2463333337</v>
      </c>
      <c r="J28" s="67" cm="1">
        <f t="array" ref="J28">_xlfn.LET(_xlpm.hours,_xlfn._TRO_TRAILING(Sites!$CL:$CN),_xlpm.type,ISNUMBER(SEARCH($J$17,_xlfn._TRO_TRAILING(Sites!$H:$H))),_xlpm.states,ISNUMBER(SEARCH($J$19,_xlfn._TRO_TRAILING(Sites!$I:$I))),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1995184.8583333332</v>
      </c>
      <c r="K28" s="67" cm="1">
        <f t="array" ref="K28">_xlfn.LET(_xlpm.hours,_xlfn._TRO_TRAILING(Sites!$CL:$CN),_xlpm.type,ISNUMBER(SEARCH($J$17,_xlfn._TRO_TRAILING(Sites!$H:$H))),_xlpm.states,ISNUMBER(SEARCH($J$19,_xlfn._TRO_TRAILING(Sites!$I:$I))),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3522926.4070000001</v>
      </c>
      <c r="L28" s="67" cm="1">
        <f t="array" ref="L28">_xlfn.LET(_xlpm.hours,_xlfn._TRO_TRAILING(Sites!$CL:$CN),_xlpm.type,ISNUMBER(SEARCH($J$17,_xlfn._TRO_TRAILING(Sites!$H:$H))),_xlpm.states,ISNUMBER(SEARCH($J$19,_xlfn._TRO_TRAILING(Sites!$I:$I))),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5017501.2463333337</v>
      </c>
      <c r="N28" s="67" cm="1">
        <f t="array" ref="N28">_xlfn.LET(_xlpm.hours,_xlfn._TRO_TRAILING(Sites!$CL:$CN),_xlpm.type,ISNUMBER(SEARCH($N$17,_xlfn._TRO_TRAILING(Sites!$H:$H))),_xlpm.states,ISNUMBER(SEARCH($N$19,_xlfn._TRO_TRAILING(Sites!$I:$I))),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28" s="67" cm="1">
        <f t="array" ref="O28">_xlfn.LET(_xlpm.hours,_xlfn._TRO_TRAILING(Sites!$CL:$CN),_xlpm.type,ISNUMBER(SEARCH($N$17,_xlfn._TRO_TRAILING(Sites!$H:$H))),_xlpm.states,ISNUMBER(SEARCH($N$19,_xlfn._TRO_TRAILING(Sites!$I:$I))),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28" s="67" cm="1">
        <f t="array" ref="P28">_xlfn.LET(_xlpm.hours,_xlfn._TRO_TRAILING(Sites!$CL:$CN),_xlpm.type,ISNUMBER(SEARCH($N$17,_xlfn._TRO_TRAILING(Sites!$H:$H))),_xlpm.states,ISNUMBER(SEARCH($N$19,_xlfn._TRO_TRAILING(Sites!$I:$I))),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28" s="67" cm="1">
        <f t="array" ref="R28">_xlfn.LET(_xlpm.hours,_xlfn._TRO_TRAILING(Sites!$CL:$CN),_xlpm.type,ISNUMBER(SEARCH($R$17,_xlfn._TRO_TRAILING(Sites!$H:$H))),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28" s="67" cm="1">
        <f t="array" ref="S28">_xlfn.LET(_xlpm.hours,_xlfn._TRO_TRAILING(Sites!$CL:$CN),_xlpm.type,ISNUMBER(SEARCH($R$17,_xlfn._TRO_TRAILING(Sites!$H:$H))),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28" s="67" cm="1">
        <f t="array" ref="T28">_xlfn.LET(_xlpm.hours,_xlfn._TRO_TRAILING(Sites!$CL:$CN),_xlpm.type,ISNUMBER(SEARCH($R$17,_xlfn._TRO_TRAILING(Sites!$H:$H))),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28" s="67" cm="1">
        <f t="array" ref="V28">_xlfn.LET(_xlpm.hours,_xlfn._TRO_TRAILING(Sites!$CL:$CN),_xlpm.type,ISNUMBER(SEARCH($V$17,_xlfn._TRO_TRAILING(Sites!$H:$H))),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1995184.8583333332</v>
      </c>
      <c r="W28" s="67" cm="1">
        <f t="array" ref="W28">_xlfn.LET(_xlpm.hours,_xlfn._TRO_TRAILING(Sites!$CL:$CN),_xlpm.type,ISNUMBER(SEARCH($V$17,_xlfn._TRO_TRAILING(Sites!$H:$H))),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3522926.4070000001</v>
      </c>
      <c r="X28" s="67" cm="1">
        <f t="array" ref="X28">_xlfn.LET(_xlpm.hours,_xlfn._TRO_TRAILING(Sites!$CL:$CN),_xlpm.type,ISNUMBER(SEARCH($V$17,_xlfn._TRO_TRAILING(Sites!$H:$H))),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5017501.2463333337</v>
      </c>
    </row>
    <row r="29" spans="2:24" outlineLevel="1" x14ac:dyDescent="0.25">
      <c r="B29" s="39" t="s">
        <v>476</v>
      </c>
      <c r="D29" s="107"/>
      <c r="F29" s="67">
        <f t="shared" si="26"/>
        <v>0</v>
      </c>
      <c r="G29" s="67">
        <f t="shared" si="24"/>
        <v>0</v>
      </c>
      <c r="H29" s="67">
        <f t="shared" si="25"/>
        <v>0</v>
      </c>
      <c r="J29" s="188">
        <v>0</v>
      </c>
      <c r="K29" s="188">
        <v>0</v>
      </c>
      <c r="L29" s="188">
        <v>0</v>
      </c>
      <c r="N29" s="188">
        <v>0</v>
      </c>
      <c r="O29" s="188">
        <v>0</v>
      </c>
      <c r="P29" s="188">
        <v>0</v>
      </c>
      <c r="R29" s="67" cm="1">
        <f t="array" ref="R29">_xlfn.LET(_xlpm.hours,_xlfn._TRO_TRAILING(Sites!$CP:$CR),_xlpm.type,ISNUMBER(SEARCH($R$17,_xlfn._TRO_TRAILING(Sites!$H:$H))),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29" s="67" cm="1">
        <f t="array" ref="S29">_xlfn.LET(_xlpm.hours,_xlfn._TRO_TRAILING(Sites!$CP:$CR),_xlpm.type,ISNUMBER(SEARCH($R$17,_xlfn._TRO_TRAILING(Sites!$H:$H))),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29" s="67" cm="1">
        <f t="array" ref="T29">_xlfn.LET(_xlpm.hours,_xlfn._TRO_TRAILING(Sites!$CP:$CR),_xlpm.type,ISNUMBER(SEARCH($R$17,_xlfn._TRO_TRAILING(Sites!$H:$H))),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29" s="67" cm="1">
        <f t="array" ref="V29">_xlfn.LET(_xlpm.hours,_xlfn._TRO_TRAILING(Sites!$CP:$CR),_xlpm.type,ISNUMBER(SEARCH($V$17,_xlfn._TRO_TRAILING(Sites!$H:$H))),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1223541.9690493539</v>
      </c>
      <c r="W29" s="67" cm="1">
        <f t="array" ref="W29">_xlfn.LET(_xlpm.hours,_xlfn._TRO_TRAILING(Sites!$CP:$CR),_xlpm.type,ISNUMBER(SEARCH($V$17,_xlfn._TRO_TRAILING(Sites!$H:$H))),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3263810.5808988218</v>
      </c>
      <c r="X29" s="67" cm="1">
        <f t="array" ref="X29">_xlfn.LET(_xlpm.hours,_xlfn._TRO_TRAILING(Sites!$CP:$CR),_xlpm.type,ISNUMBER(SEARCH($V$17,_xlfn._TRO_TRAILING(Sites!$H:$H))),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4643482.0617518798</v>
      </c>
    </row>
    <row r="30" spans="2:24" outlineLevel="1" x14ac:dyDescent="0.25">
      <c r="B30" s="39" t="s">
        <v>107</v>
      </c>
      <c r="D30" s="107"/>
      <c r="F30" s="67">
        <f t="shared" si="26"/>
        <v>-9000204.3831599988</v>
      </c>
      <c r="G30" s="67">
        <f t="shared" si="24"/>
        <v>-22123474.834759593</v>
      </c>
      <c r="H30" s="67">
        <f t="shared" si="25"/>
        <v>-32707770.231446791</v>
      </c>
      <c r="J30" s="67" cm="1">
        <f t="array" ref="J30">_xlfn.LET(_xlpm.hours,_xlfn._TRO_TRAILING(Sites!$BF:$BH),_xlpm.type,ISNUMBER(SEARCH($J$17,_xlfn._TRO_TRAILING(Sites!$H:$H))),_xlpm.states,ISNUMBER(SEARCH($J$19,_xlfn._TRO_TRAILING(Sites!$I:$I))),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-4238295.8515599994</v>
      </c>
      <c r="K30" s="67" cm="1">
        <f t="array" ref="K30">_xlfn.LET(_xlpm.hours,_xlfn._TRO_TRAILING(Sites!$BF:$BH),_xlpm.type,ISNUMBER(SEARCH($J$17,_xlfn._TRO_TRAILING(Sites!$H:$H))),_xlpm.states,ISNUMBER(SEARCH($J$19,_xlfn._TRO_TRAILING(Sites!$I:$I))),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-11885382.706865598</v>
      </c>
      <c r="L30" s="67" cm="1">
        <f t="array" ref="L30">_xlfn.LET(_xlpm.hours,_xlfn._TRO_TRAILING(Sites!$BF:$BH),_xlpm.type,ISNUMBER(SEARCH($J$17,_xlfn._TRO_TRAILING(Sites!$H:$H))),_xlpm.states,ISNUMBER(SEARCH($J$19,_xlfn._TRO_TRAILING(Sites!$I:$I))),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-18316914.795442794</v>
      </c>
      <c r="N30" s="67" cm="1">
        <f t="array" ref="N30">_xlfn.LET(_xlpm.hours,_xlfn._TRO_TRAILING(Sites!$BF:$BH),_xlpm.type,ISNUMBER(SEARCH($N$17,_xlfn._TRO_TRAILING(Sites!$H:$H))),_xlpm.states,ISNUMBER(SEARCH($N$19,_xlfn._TRO_TRAILING(Sites!$I:$I))),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-4761908.5315999985</v>
      </c>
      <c r="O30" s="67" cm="1">
        <f t="array" ref="O30">_xlfn.LET(_xlpm.hours,_xlfn._TRO_TRAILING(Sites!$BF:$BH),_xlpm.type,ISNUMBER(SEARCH($N$17,_xlfn._TRO_TRAILING(Sites!$H:$H))),_xlpm.states,ISNUMBER(SEARCH($N$19,_xlfn._TRO_TRAILING(Sites!$I:$I))),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-10238092.127893997</v>
      </c>
      <c r="P30" s="67" cm="1">
        <f t="array" ref="P30">_xlfn.LET(_xlpm.hours,_xlfn._TRO_TRAILING(Sites!$BF:$BH),_xlpm.type,ISNUMBER(SEARCH($N$17,_xlfn._TRO_TRAILING(Sites!$H:$H))),_xlpm.states,ISNUMBER(SEARCH($N$19,_xlfn._TRO_TRAILING(Sites!$I:$I))),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-14390855.436003998</v>
      </c>
      <c r="R30" s="67" cm="1">
        <f t="array" ref="R30">_xlfn.LET(_xlpm.hours,_xlfn._TRO_TRAILING(Sites!$BF:$BH),_xlpm.type,ISNUMBER(SEARCH($R$17,_xlfn._TRO_TRAILING(Sites!$H:$H))),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-468016.76919999992</v>
      </c>
      <c r="S30" s="67" cm="1">
        <f t="array" ref="S30">_xlfn.LET(_xlpm.hours,_xlfn._TRO_TRAILING(Sites!$BF:$BH),_xlpm.type,ISNUMBER(SEARCH($R$17,_xlfn._TRO_TRAILING(Sites!$H:$H))),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-1534146.3609920002</v>
      </c>
      <c r="T30" s="67" cm="1">
        <f t="array" ref="T30">_xlfn.LET(_xlpm.hours,_xlfn._TRO_TRAILING(Sites!$BF:$BH),_xlpm.type,ISNUMBER(SEARCH($R$17,_xlfn._TRO_TRAILING(Sites!$H:$H))),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-2657298.7446139995</v>
      </c>
      <c r="V30" s="67" cm="1">
        <f t="array" ref="V30">_xlfn.LET(_xlpm.hours,_xlfn._TRO_TRAILING(Sites!$BF:$BH),_xlpm.type,ISNUMBER(SEARCH($V$17,_xlfn._TRO_TRAILING(Sites!$H:$H))),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-3770279.082359999</v>
      </c>
      <c r="W30" s="67" cm="1">
        <f t="array" ref="W30">_xlfn.LET(_xlpm.hours,_xlfn._TRO_TRAILING(Sites!$BF:$BH),_xlpm.type,ISNUMBER(SEARCH($V$17,_xlfn._TRO_TRAILING(Sites!$H:$H))),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-10351236.345873598</v>
      </c>
      <c r="X30" s="67" cm="1">
        <f t="array" ref="X30">_xlfn.LET(_xlpm.hours,_xlfn._TRO_TRAILING(Sites!$BF:$BH),_xlpm.type,ISNUMBER(SEARCH($V$17,_xlfn._TRO_TRAILING(Sites!$H:$H))),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-15659616.050828794</v>
      </c>
    </row>
    <row r="31" spans="2:24" outlineLevel="1" x14ac:dyDescent="0.25">
      <c r="B31" s="39" t="s">
        <v>320</v>
      </c>
      <c r="C31" s="4"/>
      <c r="D31" s="107"/>
      <c r="F31" s="67">
        <f t="shared" si="26"/>
        <v>0</v>
      </c>
      <c r="G31" s="67">
        <f t="shared" si="24"/>
        <v>0</v>
      </c>
      <c r="H31" s="67">
        <f t="shared" si="25"/>
        <v>0</v>
      </c>
      <c r="J31" s="67" cm="1">
        <f t="array" ref="J31">_xlfn.LET(_xlpm.hours,_xlfn._TRO_TRAILING(Sites!$CT:$CV),_xlpm.type,ISNUMBER(SEARCH($J$17,_xlfn._TRO_TRAILING(Sites!$H:$H))),_xlpm.states,ISNUMBER(SEARCH($J$19,_xlfn._TRO_TRAILING(Sites!$I:$I))),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0</v>
      </c>
      <c r="K31" s="67" cm="1">
        <f t="array" ref="K31">_xlfn.LET(_xlpm.hours,_xlfn._TRO_TRAILING(Sites!$CT:$CV),_xlpm.type,ISNUMBER(SEARCH($J$17,_xlfn._TRO_TRAILING(Sites!$H:$H))),_xlpm.states,ISNUMBER(SEARCH($J$19,_xlfn._TRO_TRAILING(Sites!$I:$I))),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0</v>
      </c>
      <c r="L31" s="67" cm="1">
        <f t="array" ref="L31">_xlfn.LET(_xlpm.hours,_xlfn._TRO_TRAILING(Sites!$CT:$CV),_xlpm.type,ISNUMBER(SEARCH($J$17,_xlfn._TRO_TRAILING(Sites!$H:$H))),_xlpm.states,ISNUMBER(SEARCH($J$19,_xlfn._TRO_TRAILING(Sites!$I:$I))),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0</v>
      </c>
      <c r="N31" s="67" cm="1">
        <f t="array" ref="N31">_xlfn.LET(_xlpm.hours,_xlfn._TRO_TRAILING(Sites!$CT:$CV),_xlpm.type,ISNUMBER(SEARCH($N$17,_xlfn._TRO_TRAILING(Sites!$H:$H))),_xlpm.states,ISNUMBER(SEARCH($N$19,_xlfn._TRO_TRAILING(Sites!$I:$I))),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31" s="67" cm="1">
        <f t="array" ref="O31">_xlfn.LET(_xlpm.hours,_xlfn._TRO_TRAILING(Sites!$CT:$CV),_xlpm.type,ISNUMBER(SEARCH($N$17,_xlfn._TRO_TRAILING(Sites!$H:$H))),_xlpm.states,ISNUMBER(SEARCH($N$19,_xlfn._TRO_TRAILING(Sites!$I:$I))),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31" s="67" cm="1">
        <f t="array" ref="P31">_xlfn.LET(_xlpm.hours,_xlfn._TRO_TRAILING(Sites!$CT:$CV),_xlpm.type,ISNUMBER(SEARCH($N$17,_xlfn._TRO_TRAILING(Sites!$H:$H))),_xlpm.states,ISNUMBER(SEARCH($N$19,_xlfn._TRO_TRAILING(Sites!$I:$I))),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31" s="67" cm="1">
        <f t="array" ref="R31">_xlfn.LET(_xlpm.hours,_xlfn._TRO_TRAILING(Sites!$CT:$CV),_xlpm.type,ISNUMBER(SEARCH($R$17,_xlfn._TRO_TRAILING(Sites!$H:$H))),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31" s="67" cm="1">
        <f t="array" ref="S31">_xlfn.LET(_xlpm.hours,_xlfn._TRO_TRAILING(Sites!$CT:$CV),_xlpm.type,ISNUMBER(SEARCH($R$17,_xlfn._TRO_TRAILING(Sites!$H:$H))),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31" s="67" cm="1">
        <f t="array" ref="T31">_xlfn.LET(_xlpm.hours,_xlfn._TRO_TRAILING(Sites!$CT:$CV),_xlpm.type,ISNUMBER(SEARCH($R$17,_xlfn._TRO_TRAILING(Sites!$H:$H))),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31" s="67" cm="1">
        <f t="array" ref="V31">_xlfn.LET(_xlpm.hours,_xlfn._TRO_TRAILING(Sites!$CT:$CV),_xlpm.type,ISNUMBER(SEARCH($V$17,_xlfn._TRO_TRAILING(Sites!$H:$H))),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1" s="67" cm="1">
        <f t="array" ref="W31">_xlfn.LET(_xlpm.hours,_xlfn._TRO_TRAILING(Sites!$CT:$CV),_xlpm.type,ISNUMBER(SEARCH($V$17,_xlfn._TRO_TRAILING(Sites!$H:$H))),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1" s="67" cm="1">
        <f t="array" ref="X31">_xlfn.LET(_xlpm.hours,_xlfn._TRO_TRAILING(Sites!$CT:$CV),_xlpm.type,ISNUMBER(SEARCH($V$17,_xlfn._TRO_TRAILING(Sites!$H:$H))),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</row>
    <row r="32" spans="2:24" x14ac:dyDescent="0.25">
      <c r="B32" s="1" t="s">
        <v>331</v>
      </c>
      <c r="C32" s="15"/>
      <c r="D32" s="107"/>
      <c r="F32" s="13">
        <f>SUM(F21:F31)</f>
        <v>66001498.809840009</v>
      </c>
      <c r="G32" s="13">
        <f>SUM(G21:G31)</f>
        <v>162238815.45490375</v>
      </c>
      <c r="H32" s="13">
        <f>SUM(H21:H31)</f>
        <v>239856981.69727653</v>
      </c>
      <c r="J32" s="13">
        <f>SUM(J21:J31)</f>
        <v>31080836.244773332</v>
      </c>
      <c r="K32" s="13">
        <f>SUM(K21:K31)</f>
        <v>87159473.183681056</v>
      </c>
      <c r="L32" s="13">
        <f>SUM(L21:L31)</f>
        <v>134324041.83324721</v>
      </c>
      <c r="N32" s="13">
        <f>SUM(N21:N31)</f>
        <v>34920662.565066665</v>
      </c>
      <c r="O32" s="13">
        <f>SUM(O21:O31)</f>
        <v>75079342.271222651</v>
      </c>
      <c r="P32" s="13">
        <f>SUM(P21:P31)</f>
        <v>105532939.86402932</v>
      </c>
      <c r="R32" s="13">
        <f>SUM(R21:R31)</f>
        <v>3432122.9741333337</v>
      </c>
      <c r="S32" s="13">
        <f>SUM(S21:S31)</f>
        <v>11250406.647274667</v>
      </c>
      <c r="T32" s="13">
        <f>SUM(T21:T31)</f>
        <v>19486857.460502662</v>
      </c>
      <c r="V32" s="13">
        <f>SUM(V21:V31)</f>
        <v>30579086.826783389</v>
      </c>
      <c r="W32" s="13">
        <f>SUM(W21:W31)</f>
        <v>83725867.643734097</v>
      </c>
      <c r="X32" s="13">
        <f>SUM(X21:X31)</f>
        <v>125958288.00988097</v>
      </c>
    </row>
    <row r="33" spans="2:24" x14ac:dyDescent="0.25">
      <c r="F33" s="173"/>
      <c r="G33" s="173"/>
      <c r="H33" s="173"/>
      <c r="I33" s="4"/>
      <c r="J33" s="173"/>
      <c r="K33" s="173"/>
      <c r="L33" s="173"/>
      <c r="M33" s="4"/>
      <c r="N33" s="173"/>
      <c r="O33" s="173"/>
      <c r="P33" s="173"/>
    </row>
    <row r="34" spans="2:24" outlineLevel="1" x14ac:dyDescent="0.25">
      <c r="B34" s="1" t="s">
        <v>132</v>
      </c>
      <c r="J34" s="12"/>
      <c r="N34" s="12"/>
    </row>
    <row r="35" spans="2:24" outlineLevel="1" x14ac:dyDescent="0.25">
      <c r="B35" s="39" t="s">
        <v>23</v>
      </c>
      <c r="F35" s="67">
        <f t="shared" ref="F35:F44" si="27">J35+N35</f>
        <v>15452304.199827505</v>
      </c>
      <c r="G35" s="67">
        <f t="shared" ref="G35:G44" si="28">K35+O35</f>
        <v>42165985.986392841</v>
      </c>
      <c r="H35" s="67">
        <f t="shared" ref="H35:H44" si="29">L35+P35</f>
        <v>70169067.22900185</v>
      </c>
      <c r="J35" s="67" cm="1">
        <f t="array" ref="J35">_xlfn.LET(_xlpm.hours,_xlfn._TRO_TRAILING(Sites!$CX:$CZ),_xlpm.type,ISNUMBER(SEARCH($J$17,_xlfn._TRO_TRAILING(Sites!$H:$H))),_xlpm.states,ISNUMBER(SEARCH($J$19,_xlfn._TRO_TRAILING(Sites!$I:$I))),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15336304.199827505</v>
      </c>
      <c r="K35" s="67" cm="1">
        <f t="array" ref="K35">_xlfn.LET(_xlpm.hours,_xlfn._TRO_TRAILING(Sites!$CX:$CZ),_xlpm.type,ISNUMBER(SEARCH($J$17,_xlfn._TRO_TRAILING(Sites!$H:$H))),_xlpm.states,ISNUMBER(SEARCH($J$19,_xlfn._TRO_TRAILING(Sites!$I:$I))),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41910785.986392841</v>
      </c>
      <c r="L35" s="67" cm="1">
        <f t="array" ref="L35">_xlfn.LET(_xlpm.hours,_xlfn._TRO_TRAILING(Sites!$CX:$CZ),_xlpm.type,ISNUMBER(SEARCH($J$17,_xlfn._TRO_TRAILING(Sites!$H:$H))),_xlpm.states,ISNUMBER(SEARCH($J$19,_xlfn._TRO_TRAILING(Sites!$I:$I))),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69747987.22900185</v>
      </c>
      <c r="N35" s="67" cm="1">
        <f t="array" ref="N35">_xlfn.LET(_xlpm.hours,_xlfn._TRO_TRAILING(Sites!$CX:$CZ),_xlpm.type,ISNUMBER(SEARCH($N$17,_xlfn._TRO_TRAILING(Sites!$H:$H))),_xlpm.states,ISNUMBER(SEARCH($N$19,_xlfn._TRO_TRAILING(Sites!$I:$I))),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116000.00000000001</v>
      </c>
      <c r="O35" s="67" cm="1">
        <f t="array" ref="O35">_xlfn.LET(_xlpm.hours,_xlfn._TRO_TRAILING(Sites!$CX:$CZ),_xlpm.type,ISNUMBER(SEARCH($N$17,_xlfn._TRO_TRAILING(Sites!$H:$H))),_xlpm.states,ISNUMBER(SEARCH($N$19,_xlfn._TRO_TRAILING(Sites!$I:$I))),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255199.99999999997</v>
      </c>
      <c r="P35" s="67" cm="1">
        <f t="array" ref="P35">_xlfn.LET(_xlpm.hours,_xlfn._TRO_TRAILING(Sites!$CX:$CZ),_xlpm.type,ISNUMBER(SEARCH($N$17,_xlfn._TRO_TRAILING(Sites!$H:$H))),_xlpm.states,ISNUMBER(SEARCH($N$19,_xlfn._TRO_TRAILING(Sites!$I:$I))),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421080.00000000012</v>
      </c>
      <c r="R35" s="67" cm="1">
        <f t="array" ref="R35">_xlfn.LET(_xlpm.hours,_xlfn._TRO_TRAILING(Sites!$CX:$CZ),_xlpm.type,ISNUMBER(SEARCH($R$17,_xlfn._TRO_TRAILING(Sites!$H:$H))),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1493979.8923593205</v>
      </c>
      <c r="S35" s="67" cm="1">
        <f t="array" ref="S35">_xlfn.LET(_xlpm.hours,_xlfn._TRO_TRAILING(Sites!$CX:$CZ),_xlpm.type,ISNUMBER(SEARCH($R$17,_xlfn._TRO_TRAILING(Sites!$H:$H))),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4767651.6474572113</v>
      </c>
      <c r="T35" s="67" cm="1">
        <f t="array" ref="T35">_xlfn.LET(_xlpm.hours,_xlfn._TRO_TRAILING(Sites!$CX:$CZ),_xlpm.type,ISNUMBER(SEARCH($R$17,_xlfn._TRO_TRAILING(Sites!$H:$H))),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8487956.3510455508</v>
      </c>
      <c r="V35" s="67" cm="1">
        <f t="array" ref="V35">_xlfn.LET(_xlpm.hours,_xlfn._TRO_TRAILING(Sites!$CX:$CZ),_xlpm.type,ISNUMBER(SEARCH($V$17,_xlfn._TRO_TRAILING(Sites!$H:$H))),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13842324.307468187</v>
      </c>
      <c r="W35" s="67" cm="1">
        <f t="array" ref="W35">_xlfn.LET(_xlpm.hours,_xlfn._TRO_TRAILING(Sites!$CX:$CZ),_xlpm.type,ISNUMBER(SEARCH($V$17,_xlfn._TRO_TRAILING(Sites!$H:$H))),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37143134.338935629</v>
      </c>
      <c r="X35" s="67" cm="1">
        <f t="array" ref="X35">_xlfn.LET(_xlpm.hours,_xlfn._TRO_TRAILING(Sites!$CX:$CZ),_xlpm.type,ISNUMBER(SEARCH($V$17,_xlfn._TRO_TRAILING(Sites!$H:$H))),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61260030.877956338</v>
      </c>
    </row>
    <row r="36" spans="2:24" outlineLevel="1" x14ac:dyDescent="0.25">
      <c r="B36" s="39" t="s">
        <v>24</v>
      </c>
      <c r="F36" s="67">
        <f t="shared" si="27"/>
        <v>19728614.400000002</v>
      </c>
      <c r="G36" s="67">
        <f t="shared" si="28"/>
        <v>41181043.199999988</v>
      </c>
      <c r="H36" s="67">
        <f t="shared" si="29"/>
        <v>57884851.200000003</v>
      </c>
      <c r="J36" s="67" cm="1">
        <f t="array" ref="J36">_xlfn.LET(_xlpm.hours,_xlfn._TRO_TRAILING(Sites!$EH:$EJ),_xlpm.type,ISNUMBER(SEARCH($J$17,_xlfn._TRO_TRAILING(Sites!$H:$H))),_xlpm.states,ISNUMBER(SEARCH($J$19,_xlfn._TRO_TRAILING(Sites!$I:$I))),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0</v>
      </c>
      <c r="K36" s="67" cm="1">
        <f t="array" ref="K36">_xlfn.LET(_xlpm.hours,_xlfn._TRO_TRAILING(Sites!$EH:$EJ),_xlpm.type,ISNUMBER(SEARCH($J$17,_xlfn._TRO_TRAILING(Sites!$H:$H))),_xlpm.states,ISNUMBER(SEARCH($J$19,_xlfn._TRO_TRAILING(Sites!$I:$I))),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0</v>
      </c>
      <c r="L36" s="67" cm="1">
        <f t="array" ref="L36">_xlfn.LET(_xlpm.hours,_xlfn._TRO_TRAILING(Sites!$EH:$EJ),_xlpm.type,ISNUMBER(SEARCH($J$17,_xlfn._TRO_TRAILING(Sites!$H:$H))),_xlpm.states,ISNUMBER(SEARCH($J$19,_xlfn._TRO_TRAILING(Sites!$I:$I))),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0</v>
      </c>
      <c r="N36" s="67" cm="1">
        <f t="array" ref="N36">_xlfn.LET(_xlpm.hours,_xlfn._TRO_TRAILING(Sites!$EH:$EJ),_xlpm.type,ISNUMBER(SEARCH($N$19,_xlfn._TRO_TRAILING(Sites!$H:$H))),_xlpm.states,ISNUMBER(SEARCH($N$19,_xlfn._TRO_TRAILING(Sites!$I:$I))),
_xlpm.years,ISNUMBER(SEARCH(N$20,Sites!$EH$3:$EJ$3)),_xlpm.mna,ISNUMBER(SEARCH("M&amp;A",_xlfn._TRO_TRAILING(Sites!$I:$I))),
SUM(_xlfn._xlws.FILTER(_xlfn._xlws.FILTER(_xlpm.hours,_xlpm.mna,0),_xlpm.years),0))</f>
        <v>19728614.400000002</v>
      </c>
      <c r="O36" s="67" cm="1">
        <f t="array" ref="O36">_xlfn.LET(_xlpm.hours,_xlfn._TRO_TRAILING(Sites!$EH:$EJ),_xlpm.type,ISNUMBER(SEARCH($N$17,_xlfn._TRO_TRAILING(Sites!$H:$H))),_xlpm.states,ISNUMBER(SEARCH($N$19,_xlfn._TRO_TRAILING(Sites!$I:$I))),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41181043.199999988</v>
      </c>
      <c r="P36" s="67" cm="1">
        <f t="array" ref="P36">_xlfn.LET(_xlpm.hours,_xlfn._TRO_TRAILING(Sites!$EH:$EJ),_xlpm.type,ISNUMBER(SEARCH($N$17,_xlfn._TRO_TRAILING(Sites!$H:$H))),_xlpm.states,ISNUMBER(SEARCH($N$19,_xlfn._TRO_TRAILING(Sites!$I:$I))),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57884851.200000003</v>
      </c>
      <c r="R36" s="67" cm="1">
        <f t="array" ref="R36">_xlfn.LET(_xlpm.hours,_xlfn._TRO_TRAILING(Sites!$EH:$EJ),_xlpm.type,ISNUMBER(SEARCH($R$17,_xlfn._TRO_TRAILING(Sites!$H:$H))),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36" s="67" cm="1">
        <f t="array" ref="S36">_xlfn.LET(_xlpm.hours,_xlfn._TRO_TRAILING(Sites!$EH:$EJ),_xlpm.type,ISNUMBER(SEARCH($R$17,_xlfn._TRO_TRAILING(Sites!$H:$H))),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36" s="67" cm="1">
        <f t="array" ref="T36">_xlfn.LET(_xlpm.hours,_xlfn._TRO_TRAILING(Sites!$EH:$EJ),_xlpm.type,ISNUMBER(SEARCH($R$17,_xlfn._TRO_TRAILING(Sites!$H:$H))),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36" s="67" cm="1">
        <f t="array" ref="V36">_xlfn.LET(_xlpm.hours,_xlfn._TRO_TRAILING(Sites!$EH:$EJ),_xlpm.type,ISNUMBER(SEARCH($V$17,_xlfn._TRO_TRAILING(Sites!$H:$H))),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6" s="67" cm="1">
        <f t="array" ref="W36">_xlfn.LET(_xlpm.hours,_xlfn._TRO_TRAILING(Sites!$EH:$EJ),_xlpm.type,ISNUMBER(SEARCH($V$17,_xlfn._TRO_TRAILING(Sites!$H:$H))),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6" s="67" cm="1">
        <f t="array" ref="X36">_xlfn.LET(_xlpm.hours,_xlfn._TRO_TRAILING(Sites!$EH:$EJ),_xlpm.type,ISNUMBER(SEARCH($V$17,_xlfn._TRO_TRAILING(Sites!$H:$H))),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</row>
    <row r="37" spans="2:24" outlineLevel="1" x14ac:dyDescent="0.25">
      <c r="B37" s="39" t="s">
        <v>28</v>
      </c>
      <c r="F37" s="67">
        <f t="shared" si="27"/>
        <v>1228937.8799999999</v>
      </c>
      <c r="G37" s="67">
        <f t="shared" si="28"/>
        <v>2115556.0164000001</v>
      </c>
      <c r="H37" s="67">
        <f t="shared" si="29"/>
        <v>3070178.6968919998</v>
      </c>
      <c r="J37" s="67" cm="1">
        <f t="array" ref="J37">_xlfn.LET(_xlpm.hours,_xlfn._TRO_TRAILING(Sites!$DB:$DD),_xlpm.type,ISNUMBER(SEARCH($J$17,_xlfn._TRO_TRAILING(Sites!$H:$H))),_xlpm.states,ISNUMBER(SEARCH($J$19,_xlfn._TRO_TRAILING(Sites!$I:$I))),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1228937.8799999999</v>
      </c>
      <c r="K37" s="67" cm="1">
        <f t="array" ref="K37">_xlfn.LET(_xlpm.hours,_xlfn._TRO_TRAILING(Sites!$DB:$DD),_xlpm.type,ISNUMBER(SEARCH($J$17,_xlfn._TRO_TRAILING(Sites!$H:$H))),_xlpm.states,ISNUMBER(SEARCH($J$19,_xlfn._TRO_TRAILING(Sites!$I:$I))),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2115556.0164000001</v>
      </c>
      <c r="L37" s="67" cm="1">
        <f t="array" ref="L37">_xlfn.LET(_xlpm.hours,_xlfn._TRO_TRAILING(Sites!$DB:$DD),_xlpm.type,ISNUMBER(SEARCH($J$17,_xlfn._TRO_TRAILING(Sites!$H:$H))),_xlpm.states,ISNUMBER(SEARCH($J$19,_xlfn._TRO_TRAILING(Sites!$I:$I))),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3070178.6968919998</v>
      </c>
      <c r="N37" s="67" cm="1">
        <f t="array" ref="N37">_xlfn.LET(_xlpm.hours,_xlfn._TRO_TRAILING(Sites!$DB:$DD),_xlpm.type,ISNUMBER(SEARCH($N$17,_xlfn._TRO_TRAILING(Sites!$H:$H))),_xlpm.states,ISNUMBER(SEARCH($N$19,_xlfn._TRO_TRAILING(Sites!$I:$I))),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37" s="67" cm="1">
        <f t="array" ref="O37">_xlfn.LET(_xlpm.hours,_xlfn._TRO_TRAILING(Sites!$DB:$DD),_xlpm.type,ISNUMBER(SEARCH($N$17,_xlfn._TRO_TRAILING(Sites!$H:$H))),_xlpm.states,ISNUMBER(SEARCH($N$19,_xlfn._TRO_TRAILING(Sites!$I:$I))),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37" s="67" cm="1">
        <f t="array" ref="P37">_xlfn.LET(_xlpm.hours,_xlfn._TRO_TRAILING(Sites!$DB:$DD),_xlpm.type,ISNUMBER(SEARCH($N$17,_xlfn._TRO_TRAILING(Sites!$H:$H))),_xlpm.states,ISNUMBER(SEARCH($N$19,_xlfn._TRO_TRAILING(Sites!$I:$I))),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37" s="67" cm="1">
        <f t="array" ref="R37">_xlfn.LET(_xlpm.hours,_xlfn._TRO_TRAILING(Sites!$DB:$DD),_xlpm.type,ISNUMBER(SEARCH($R$17,_xlfn._TRO_TRAILING(Sites!$H:$H))),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37" s="67" cm="1">
        <f t="array" ref="S37">_xlfn.LET(_xlpm.hours,_xlfn._TRO_TRAILING(Sites!$DB:$DD),_xlpm.type,ISNUMBER(SEARCH($R$17,_xlfn._TRO_TRAILING(Sites!$H:$H))),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37" s="67" cm="1">
        <f t="array" ref="T37">_xlfn.LET(_xlpm.hours,_xlfn._TRO_TRAILING(Sites!$DB:$DD),_xlpm.type,ISNUMBER(SEARCH($R$17,_xlfn._TRO_TRAILING(Sites!$H:$H))),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37" s="67" cm="1">
        <f t="array" ref="V37">_xlfn.LET(_xlpm.hours,_xlfn._TRO_TRAILING(Sites!$DB:$DD),_xlpm.type,ISNUMBER(SEARCH($V$17,_xlfn._TRO_TRAILING(Sites!$H:$H))),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1228937.8799999999</v>
      </c>
      <c r="W37" s="67" cm="1">
        <f t="array" ref="W37">_xlfn.LET(_xlpm.hours,_xlfn._TRO_TRAILING(Sites!$DB:$DD),_xlpm.type,ISNUMBER(SEARCH($V$17,_xlfn._TRO_TRAILING(Sites!$H:$H))),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2115556.0164000001</v>
      </c>
      <c r="X37" s="67" cm="1">
        <f t="array" ref="X37">_xlfn.LET(_xlpm.hours,_xlfn._TRO_TRAILING(Sites!$DB:$DD),_xlpm.type,ISNUMBER(SEARCH($V$17,_xlfn._TRO_TRAILING(Sites!$H:$H))),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3070178.6968919998</v>
      </c>
    </row>
    <row r="38" spans="2:24" outlineLevel="1" x14ac:dyDescent="0.25">
      <c r="B38" s="39" t="s">
        <v>31</v>
      </c>
      <c r="F38" s="67">
        <f t="shared" si="27"/>
        <v>621440.04</v>
      </c>
      <c r="G38" s="67">
        <f t="shared" si="28"/>
        <v>1137697.6416</v>
      </c>
      <c r="H38" s="67">
        <f t="shared" si="29"/>
        <v>1682039.4672640001</v>
      </c>
      <c r="J38" s="67" cm="1">
        <f t="array" ref="J38">_xlfn.LET(_xlpm.hours,_xlfn._TRO_TRAILING(Sites!$DF:$DH),_xlpm.type,ISNUMBER(SEARCH($J$17,_xlfn._TRO_TRAILING(Sites!$H:$H))),_xlpm.states,ISNUMBER(SEARCH($J$19,_xlfn._TRO_TRAILING(Sites!$I:$I))),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621440.04</v>
      </c>
      <c r="K38" s="67" cm="1">
        <f t="array" ref="K38">_xlfn.LET(_xlpm.hours,_xlfn._TRO_TRAILING(Sites!$DF:$DH),_xlpm.type,ISNUMBER(SEARCH($J$17,_xlfn._TRO_TRAILING(Sites!$H:$H))),_xlpm.states,ISNUMBER(SEARCH($J$19,_xlfn._TRO_TRAILING(Sites!$I:$I))),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1137697.6416</v>
      </c>
      <c r="L38" s="67" cm="1">
        <f t="array" ref="L38">_xlfn.LET(_xlpm.hours,_xlfn._TRO_TRAILING(Sites!$DF:$DH),_xlpm.type,ISNUMBER(SEARCH($J$17,_xlfn._TRO_TRAILING(Sites!$H:$H))),_xlpm.states,ISNUMBER(SEARCH($J$19,_xlfn._TRO_TRAILING(Sites!$I:$I))),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1682039.4672640001</v>
      </c>
      <c r="N38" s="67" cm="1">
        <f t="array" ref="N38">_xlfn.LET(_xlpm.hours,_xlfn._TRO_TRAILING(Sites!$DF:$DH),_xlpm.type,ISNUMBER(SEARCH($N$17,_xlfn._TRO_TRAILING(Sites!$H:$H))),_xlpm.states,ISNUMBER(SEARCH($N$19,_xlfn._TRO_TRAILING(Sites!$I:$I))),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38" s="67" cm="1">
        <f t="array" ref="O38">_xlfn.LET(_xlpm.hours,_xlfn._TRO_TRAILING(Sites!$DF:$DH),_xlpm.type,ISNUMBER(SEARCH($N$17,_xlfn._TRO_TRAILING(Sites!$H:$H))),_xlpm.states,ISNUMBER(SEARCH($N$19,_xlfn._TRO_TRAILING(Sites!$I:$I))),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38" s="67" cm="1">
        <f t="array" ref="P38">_xlfn.LET(_xlpm.hours,_xlfn._TRO_TRAILING(Sites!$DF:$DH),_xlpm.type,ISNUMBER(SEARCH($N$17,_xlfn._TRO_TRAILING(Sites!$H:$H))),_xlpm.states,ISNUMBER(SEARCH($N$19,_xlfn._TRO_TRAILING(Sites!$I:$I))),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38" s="67" cm="1">
        <f t="array" ref="R38">_xlfn.LET(_xlpm.hours,_xlfn._TRO_TRAILING(Sites!$DF:$DH),_xlpm.type,ISNUMBER(SEARCH($R$17,_xlfn._TRO_TRAILING(Sites!$H:$H))),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38" s="67" cm="1">
        <f t="array" ref="S38">_xlfn.LET(_xlpm.hours,_xlfn._TRO_TRAILING(Sites!$DF:$DH),_xlpm.type,ISNUMBER(SEARCH($R$17,_xlfn._TRO_TRAILING(Sites!$H:$H))),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38" s="67" cm="1">
        <f t="array" ref="T38">_xlfn.LET(_xlpm.hours,_xlfn._TRO_TRAILING(Sites!$DF:$DH),_xlpm.type,ISNUMBER(SEARCH($R$17,_xlfn._TRO_TRAILING(Sites!$H:$H))),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38" s="67" cm="1">
        <f t="array" ref="V38">_xlfn.LET(_xlpm.hours,_xlfn._TRO_TRAILING(Sites!$DF:$DH),_xlpm.type,ISNUMBER(SEARCH($V$17,_xlfn._TRO_TRAILING(Sites!$H:$H))),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621440.04</v>
      </c>
      <c r="W38" s="67" cm="1">
        <f t="array" ref="W38">_xlfn.LET(_xlpm.hours,_xlfn._TRO_TRAILING(Sites!$DF:$DH),_xlpm.type,ISNUMBER(SEARCH($V$17,_xlfn._TRO_TRAILING(Sites!$H:$H))),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1137697.6416</v>
      </c>
      <c r="X38" s="67" cm="1">
        <f t="array" ref="X38">_xlfn.LET(_xlpm.hours,_xlfn._TRO_TRAILING(Sites!$DF:$DH),_xlpm.type,ISNUMBER(SEARCH($V$17,_xlfn._TRO_TRAILING(Sites!$H:$H))),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1682039.4672640001</v>
      </c>
    </row>
    <row r="39" spans="2:24" outlineLevel="1" x14ac:dyDescent="0.25">
      <c r="B39" s="39" t="s">
        <v>34</v>
      </c>
      <c r="F39" s="67">
        <f t="shared" si="27"/>
        <v>110846.52119999999</v>
      </c>
      <c r="G39" s="67">
        <f t="shared" si="28"/>
        <v>237173.14420799998</v>
      </c>
      <c r="H39" s="67">
        <f t="shared" si="29"/>
        <v>362083.70273920009</v>
      </c>
      <c r="J39" s="67" cm="1">
        <f t="array" ref="J39">_xlfn.LET(_xlpm.hours,_xlfn._TRO_TRAILING(Sites!$DJ:$DL),_xlpm.type,ISNUMBER(SEARCH($J$17,_xlfn._TRO_TRAILING(Sites!$H:$H))),_xlpm.states,ISNUMBER(SEARCH($J$19,_xlfn._TRO_TRAILING(Sites!$I:$I))),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110846.52119999999</v>
      </c>
      <c r="K39" s="67" cm="1">
        <f t="array" ref="K39">_xlfn.LET(_xlpm.hours,_xlfn._TRO_TRAILING(Sites!$DJ:$DL),_xlpm.type,ISNUMBER(SEARCH($J$17,_xlfn._TRO_TRAILING(Sites!$H:$H))),_xlpm.states,ISNUMBER(SEARCH($J$19,_xlfn._TRO_TRAILING(Sites!$I:$I))),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237173.14420799998</v>
      </c>
      <c r="L39" s="67" cm="1">
        <f t="array" ref="L39">_xlfn.LET(_xlpm.hours,_xlfn._TRO_TRAILING(Sites!$DJ:$DL),_xlpm.type,ISNUMBER(SEARCH($J$17,_xlfn._TRO_TRAILING(Sites!$H:$H))),_xlpm.states,ISNUMBER(SEARCH($J$19,_xlfn._TRO_TRAILING(Sites!$I:$I))),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362083.70273920009</v>
      </c>
      <c r="N39" s="67" cm="1">
        <f t="array" ref="N39">_xlfn.LET(_xlpm.hours,_xlfn._TRO_TRAILING(Sites!$DJ:$DL),_xlpm.type,ISNUMBER(SEARCH($N$17,_xlfn._TRO_TRAILING(Sites!$H:$H))),_xlpm.states,ISNUMBER(SEARCH($N$19,_xlfn._TRO_TRAILING(Sites!$I:$I))),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39" s="67" cm="1">
        <f t="array" ref="O39">_xlfn.LET(_xlpm.hours,_xlfn._TRO_TRAILING(Sites!$DJ:$DL),_xlpm.type,ISNUMBER(SEARCH($N$17,_xlfn._TRO_TRAILING(Sites!$H:$H))),_xlpm.states,ISNUMBER(SEARCH($N$19,_xlfn._TRO_TRAILING(Sites!$I:$I))),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39" s="67" cm="1">
        <f t="array" ref="P39">_xlfn.LET(_xlpm.hours,_xlfn._TRO_TRAILING(Sites!$DJ:$DL),_xlpm.type,ISNUMBER(SEARCH($N$17,_xlfn._TRO_TRAILING(Sites!$H:$H))),_xlpm.states,ISNUMBER(SEARCH($N$19,_xlfn._TRO_TRAILING(Sites!$I:$I))),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39" s="67" cm="1">
        <f t="array" ref="R39">_xlfn.LET(_xlpm.hours,_xlfn._TRO_TRAILING(Sites!$DJ:$DL),_xlpm.type,ISNUMBER(SEARCH($R$17,_xlfn._TRO_TRAILING(Sites!$H:$H))),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29933.749599999999</v>
      </c>
      <c r="S39" s="67" cm="1">
        <f t="array" ref="S39">_xlfn.LET(_xlpm.hours,_xlfn._TRO_TRAILING(Sites!$DJ:$DL),_xlpm.type,ISNUMBER(SEARCH($R$17,_xlfn._TRO_TRAILING(Sites!$H:$H))),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80932.448896000002</v>
      </c>
      <c r="T39" s="67" cm="1">
        <f t="array" ref="T39">_xlfn.LET(_xlpm.hours,_xlfn._TRO_TRAILING(Sites!$DJ:$DL),_xlpm.type,ISNUMBER(SEARCH($R$17,_xlfn._TRO_TRAILING(Sites!$H:$H))),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122869.02559360002</v>
      </c>
      <c r="V39" s="67" cm="1">
        <f t="array" ref="V39">_xlfn.LET(_xlpm.hours,_xlfn._TRO_TRAILING(Sites!$DJ:$DL),_xlpm.type,ISNUMBER(SEARCH($V$17,_xlfn._TRO_TRAILING(Sites!$H:$H))),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80912.771600000007</v>
      </c>
      <c r="W39" s="67" cm="1">
        <f t="array" ref="W39">_xlfn.LET(_xlpm.hours,_xlfn._TRO_TRAILING(Sites!$DJ:$DL),_xlpm.type,ISNUMBER(SEARCH($V$17,_xlfn._TRO_TRAILING(Sites!$H:$H))),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156240.69531199997</v>
      </c>
      <c r="X39" s="67" cm="1">
        <f t="array" ref="X39">_xlfn.LET(_xlpm.hours,_xlfn._TRO_TRAILING(Sites!$DJ:$DL),_xlpm.type,ISNUMBER(SEARCH($V$17,_xlfn._TRO_TRAILING(Sites!$H:$H))),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239214.67714560003</v>
      </c>
    </row>
    <row r="40" spans="2:24" outlineLevel="1" x14ac:dyDescent="0.25">
      <c r="B40" s="39" t="s">
        <v>37</v>
      </c>
      <c r="F40" s="67">
        <f t="shared" si="27"/>
        <v>577500</v>
      </c>
      <c r="G40" s="67">
        <f t="shared" si="28"/>
        <v>995520</v>
      </c>
      <c r="H40" s="67">
        <f t="shared" si="29"/>
        <v>1396216.7999999998</v>
      </c>
      <c r="J40" s="67" cm="1">
        <f t="array" ref="J40">_xlfn.LET(_xlpm.hours,_xlfn._TRO_TRAILING(Sites!$DN:$DP),_xlpm.type,ISNUMBER(SEARCH($J$17,_xlfn._TRO_TRAILING(Sites!$H:$H))),_xlpm.states,ISNUMBER(SEARCH($J$19,_xlfn._TRO_TRAILING(Sites!$I:$I))),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577500</v>
      </c>
      <c r="K40" s="67" cm="1">
        <f t="array" ref="K40">_xlfn.LET(_xlpm.hours,_xlfn._TRO_TRAILING(Sites!$DN:$DP),_xlpm.type,ISNUMBER(SEARCH($J$17,_xlfn._TRO_TRAILING(Sites!$H:$H))),_xlpm.states,ISNUMBER(SEARCH($J$19,_xlfn._TRO_TRAILING(Sites!$I:$I))),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995520</v>
      </c>
      <c r="L40" s="67" cm="1">
        <f t="array" ref="L40">_xlfn.LET(_xlpm.hours,_xlfn._TRO_TRAILING(Sites!$DN:$DP),_xlpm.type,ISNUMBER(SEARCH($J$17,_xlfn._TRO_TRAILING(Sites!$H:$H))),_xlpm.states,ISNUMBER(SEARCH($J$19,_xlfn._TRO_TRAILING(Sites!$I:$I))),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1396216.7999999998</v>
      </c>
      <c r="N40" s="67" cm="1">
        <f t="array" ref="N40">_xlfn.LET(_xlpm.hours,_xlfn._TRO_TRAILING(Sites!$DN:$DP),_xlpm.type,ISNUMBER(SEARCH($N$17,_xlfn._TRO_TRAILING(Sites!$H:$H))),_xlpm.states,ISNUMBER(SEARCH($N$19,_xlfn._TRO_TRAILING(Sites!$I:$I))),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0" s="67" cm="1">
        <f t="array" ref="O40">_xlfn.LET(_xlpm.hours,_xlfn._TRO_TRAILING(Sites!$DN:$DP),_xlpm.type,ISNUMBER(SEARCH($N$17,_xlfn._TRO_TRAILING(Sites!$H:$H))),_xlpm.states,ISNUMBER(SEARCH($N$19,_xlfn._TRO_TRAILING(Sites!$I:$I))),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0" s="67" cm="1">
        <f t="array" ref="P40">_xlfn.LET(_xlpm.hours,_xlfn._TRO_TRAILING(Sites!$DN:$DP),_xlpm.type,ISNUMBER(SEARCH($N$17,_xlfn._TRO_TRAILING(Sites!$H:$H))),_xlpm.states,ISNUMBER(SEARCH($N$19,_xlfn._TRO_TRAILING(Sites!$I:$I))),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40" s="67" cm="1">
        <f t="array" ref="R40">_xlfn.LET(_xlpm.hours,_xlfn._TRO_TRAILING(Sites!$DN:$DP),_xlpm.type,ISNUMBER(SEARCH($R$17,_xlfn._TRO_TRAILING(Sites!$H:$H))),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40" s="67" cm="1">
        <f t="array" ref="S40">_xlfn.LET(_xlpm.hours,_xlfn._TRO_TRAILING(Sites!$DN:$DP),_xlpm.type,ISNUMBER(SEARCH($R$17,_xlfn._TRO_TRAILING(Sites!$H:$H))),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40" s="67" cm="1">
        <f t="array" ref="T40">_xlfn.LET(_xlpm.hours,_xlfn._TRO_TRAILING(Sites!$DN:$DP),_xlpm.type,ISNUMBER(SEARCH($R$17,_xlfn._TRO_TRAILING(Sites!$H:$H))),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40" s="67" cm="1">
        <f t="array" ref="V40">_xlfn.LET(_xlpm.hours,_xlfn._TRO_TRAILING(Sites!$DN:$DP),_xlpm.type,ISNUMBER(SEARCH($V$17,_xlfn._TRO_TRAILING(Sites!$H:$H))),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577500</v>
      </c>
      <c r="W40" s="67" cm="1">
        <f t="array" ref="W40">_xlfn.LET(_xlpm.hours,_xlfn._TRO_TRAILING(Sites!$DN:$DP),_xlpm.type,ISNUMBER(SEARCH($V$17,_xlfn._TRO_TRAILING(Sites!$H:$H))),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995520</v>
      </c>
      <c r="X40" s="67" cm="1">
        <f t="array" ref="X40">_xlfn.LET(_xlpm.hours,_xlfn._TRO_TRAILING(Sites!$DN:$DP),_xlpm.type,ISNUMBER(SEARCH($V$17,_xlfn._TRO_TRAILING(Sites!$H:$H))),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1396216.7999999998</v>
      </c>
    </row>
    <row r="41" spans="2:24" outlineLevel="1" x14ac:dyDescent="0.25">
      <c r="B41" s="39" t="s">
        <v>40</v>
      </c>
      <c r="F41" s="67">
        <f t="shared" si="27"/>
        <v>1093800.5</v>
      </c>
      <c r="G41" s="67">
        <f t="shared" si="28"/>
        <v>2847953.22</v>
      </c>
      <c r="H41" s="67">
        <f t="shared" si="29"/>
        <v>4441086.8136</v>
      </c>
      <c r="J41" s="67" cm="1">
        <f t="array" ref="J41">_xlfn.LET(_xlpm.hours,_xlfn._TRO_TRAILING(Sites!$DR:$DT),_xlpm.type,ISNUMBER(SEARCH($J$17,_xlfn._TRO_TRAILING(Sites!$H:$H))),_xlpm.states,ISNUMBER(SEARCH($J$19,_xlfn._TRO_TRAILING(Sites!$I:$I))),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1093800.5</v>
      </c>
      <c r="K41" s="67" cm="1">
        <f t="array" ref="K41">_xlfn.LET(_xlpm.hours,_xlfn._TRO_TRAILING(Sites!$DR:$DT),_xlpm.type,ISNUMBER(SEARCH($J$17,_xlfn._TRO_TRAILING(Sites!$H:$H))),_xlpm.states,ISNUMBER(SEARCH($J$19,_xlfn._TRO_TRAILING(Sites!$I:$I))),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2847953.22</v>
      </c>
      <c r="L41" s="67" cm="1">
        <f t="array" ref="L41">_xlfn.LET(_xlpm.hours,_xlfn._TRO_TRAILING(Sites!$DR:$DT),_xlpm.type,ISNUMBER(SEARCH($J$17,_xlfn._TRO_TRAILING(Sites!$H:$H))),_xlpm.states,ISNUMBER(SEARCH($J$19,_xlfn._TRO_TRAILING(Sites!$I:$I))),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4441086.8136</v>
      </c>
      <c r="N41" s="67" cm="1">
        <f t="array" ref="N41">_xlfn.LET(_xlpm.hours,_xlfn._TRO_TRAILING(Sites!$DR:$DT),_xlpm.type,ISNUMBER(SEARCH($N$17,_xlfn._TRO_TRAILING(Sites!$H:$H))),_xlpm.states,ISNUMBER(SEARCH($N$19,_xlfn._TRO_TRAILING(Sites!$I:$I))),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1" s="67" cm="1">
        <f t="array" ref="O41">_xlfn.LET(_xlpm.hours,_xlfn._TRO_TRAILING(Sites!$DR:$DT),_xlpm.type,ISNUMBER(SEARCH($N$17,_xlfn._TRO_TRAILING(Sites!$H:$H))),_xlpm.states,ISNUMBER(SEARCH($N$19,_xlfn._TRO_TRAILING(Sites!$I:$I))),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1" s="67" cm="1">
        <f t="array" ref="P41">_xlfn.LET(_xlpm.hours,_xlfn._TRO_TRAILING(Sites!$DR:$DT),_xlpm.type,ISNUMBER(SEARCH($N$17,_xlfn._TRO_TRAILING(Sites!$H:$H))),_xlpm.states,ISNUMBER(SEARCH($N$19,_xlfn._TRO_TRAILING(Sites!$I:$I))),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41" s="67" cm="1">
        <f t="array" ref="R41">_xlfn.LET(_xlpm.hours,_xlfn._TRO_TRAILING(Sites!$DR:$DT),_xlpm.type,ISNUMBER(SEARCH($R$17,_xlfn._TRO_TRAILING(Sites!$H:$H))),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203950</v>
      </c>
      <c r="S41" s="67" cm="1">
        <f t="array" ref="S41">_xlfn.LET(_xlpm.hours,_xlfn._TRO_TRAILING(Sites!$DR:$DT),_xlpm.type,ISNUMBER(SEARCH($R$17,_xlfn._TRO_TRAILING(Sites!$H:$H))),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597709.79999999993</v>
      </c>
      <c r="T41" s="67" cm="1">
        <f t="array" ref="T41">_xlfn.LET(_xlpm.hours,_xlfn._TRO_TRAILING(Sites!$DR:$DT),_xlpm.type,ISNUMBER(SEARCH($R$17,_xlfn._TRO_TRAILING(Sites!$H:$H))),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991667.66399999987</v>
      </c>
      <c r="V41" s="67" cm="1">
        <f t="array" ref="V41">_xlfn.LET(_xlpm.hours,_xlfn._TRO_TRAILING(Sites!$DR:$DT),_xlpm.type,ISNUMBER(SEARCH($V$17,_xlfn._TRO_TRAILING(Sites!$H:$H))),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889850.5</v>
      </c>
      <c r="W41" s="67" cm="1">
        <f t="array" ref="W41">_xlfn.LET(_xlpm.hours,_xlfn._TRO_TRAILING(Sites!$DR:$DT),_xlpm.type,ISNUMBER(SEARCH($V$17,_xlfn._TRO_TRAILING(Sites!$H:$H))),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2250243.4200000004</v>
      </c>
      <c r="X41" s="67" cm="1">
        <f t="array" ref="X41">_xlfn.LET(_xlpm.hours,_xlfn._TRO_TRAILING(Sites!$DR:$DT),_xlpm.type,ISNUMBER(SEARCH($V$17,_xlfn._TRO_TRAILING(Sites!$H:$H))),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3449419.1496000011</v>
      </c>
    </row>
    <row r="42" spans="2:24" outlineLevel="1" x14ac:dyDescent="0.25">
      <c r="B42" s="39" t="s">
        <v>42</v>
      </c>
      <c r="F42" s="67">
        <f t="shared" si="27"/>
        <v>462000</v>
      </c>
      <c r="G42" s="67">
        <f t="shared" si="28"/>
        <v>831600</v>
      </c>
      <c r="H42" s="67">
        <f t="shared" si="29"/>
        <v>1243620</v>
      </c>
      <c r="J42" s="67" cm="1">
        <f t="array" ref="J42">_xlfn.LET(_xlpm.hours,_xlfn._TRO_TRAILING(Sites!$DV:$DX),_xlpm.type,ISNUMBER(SEARCH($J$17,_xlfn._TRO_TRAILING(Sites!$H:$H))),_xlpm.states,ISNUMBER(SEARCH($J$19,_xlfn._TRO_TRAILING(Sites!$I:$I))),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462000</v>
      </c>
      <c r="K42" s="67" cm="1">
        <f t="array" ref="K42">_xlfn.LET(_xlpm.hours,_xlfn._TRO_TRAILING(Sites!$DV:$DX),_xlpm.type,ISNUMBER(SEARCH($J$17,_xlfn._TRO_TRAILING(Sites!$H:$H))),_xlpm.states,ISNUMBER(SEARCH($J$19,_xlfn._TRO_TRAILING(Sites!$I:$I))),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831600</v>
      </c>
      <c r="L42" s="67" cm="1">
        <f t="array" ref="L42">_xlfn.LET(_xlpm.hours,_xlfn._TRO_TRAILING(Sites!$DV:$DX),_xlpm.type,ISNUMBER(SEARCH($J$17,_xlfn._TRO_TRAILING(Sites!$H:$H))),_xlpm.states,ISNUMBER(SEARCH($J$19,_xlfn._TRO_TRAILING(Sites!$I:$I))),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1243620</v>
      </c>
      <c r="N42" s="67" cm="1">
        <f t="array" ref="N42">_xlfn.LET(_xlpm.hours,_xlfn._TRO_TRAILING(Sites!$DV:$DX),_xlpm.type,ISNUMBER(SEARCH($N$17,_xlfn._TRO_TRAILING(Sites!$H:$H))),_xlpm.states,ISNUMBER(SEARCH($N$19,_xlfn._TRO_TRAILING(Sites!$I:$I))),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2" s="67" cm="1">
        <f t="array" ref="O42">_xlfn.LET(_xlpm.hours,_xlfn._TRO_TRAILING(Sites!$DV:$DX),_xlpm.type,ISNUMBER(SEARCH($N$17,_xlfn._TRO_TRAILING(Sites!$H:$H))),_xlpm.states,ISNUMBER(SEARCH($N$19,_xlfn._TRO_TRAILING(Sites!$I:$I))),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2" s="67" cm="1">
        <f t="array" ref="P42">_xlfn.LET(_xlpm.hours,_xlfn._TRO_TRAILING(Sites!$DV:$DX),_xlpm.type,ISNUMBER(SEARCH($N$17,_xlfn._TRO_TRAILING(Sites!$H:$H))),_xlpm.states,ISNUMBER(SEARCH($N$19,_xlfn._TRO_TRAILING(Sites!$I:$I))),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42" s="67" cm="1">
        <f t="array" ref="R42">_xlfn.LET(_xlpm.hours,_xlfn._TRO_TRAILING(Sites!$DV:$DX),_xlpm.type,ISNUMBER(SEARCH($R$17,_xlfn._TRO_TRAILING(Sites!$H:$H))),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42" s="67" cm="1">
        <f t="array" ref="S42">_xlfn.LET(_xlpm.hours,_xlfn._TRO_TRAILING(Sites!$DV:$DX),_xlpm.type,ISNUMBER(SEARCH($R$17,_xlfn._TRO_TRAILING(Sites!$H:$H))),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42" s="67" cm="1">
        <f t="array" ref="T42">_xlfn.LET(_xlpm.hours,_xlfn._TRO_TRAILING(Sites!$DV:$DX),_xlpm.type,ISNUMBER(SEARCH($R$17,_xlfn._TRO_TRAILING(Sites!$H:$H))),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42" s="67" cm="1">
        <f t="array" ref="V42">_xlfn.LET(_xlpm.hours,_xlfn._TRO_TRAILING(Sites!$DV:$DX),_xlpm.type,ISNUMBER(SEARCH($V$17,_xlfn._TRO_TRAILING(Sites!$H:$H))),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462000</v>
      </c>
      <c r="W42" s="67" cm="1">
        <f t="array" ref="W42">_xlfn.LET(_xlpm.hours,_xlfn._TRO_TRAILING(Sites!$DV:$DX),_xlpm.type,ISNUMBER(SEARCH($V$17,_xlfn._TRO_TRAILING(Sites!$H:$H))),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831600</v>
      </c>
      <c r="X42" s="67" cm="1">
        <f t="array" ref="X42">_xlfn.LET(_xlpm.hours,_xlfn._TRO_TRAILING(Sites!$DV:$DX),_xlpm.type,ISNUMBER(SEARCH($V$17,_xlfn._TRO_TRAILING(Sites!$H:$H))),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1243620</v>
      </c>
    </row>
    <row r="43" spans="2:24" outlineLevel="1" x14ac:dyDescent="0.25">
      <c r="B43" s="39" t="s">
        <v>43</v>
      </c>
      <c r="F43" s="67">
        <f t="shared" si="27"/>
        <v>885172.34999999986</v>
      </c>
      <c r="G43" s="67">
        <f t="shared" si="28"/>
        <v>756172.35</v>
      </c>
      <c r="H43" s="67">
        <f t="shared" si="29"/>
        <v>756172.35</v>
      </c>
      <c r="J43" s="67" cm="1">
        <f t="array" ref="J43">_xlfn.LET(_xlpm.hours,_xlfn._TRO_TRAILING(Sites!$DZ:$EB),_xlpm.type,ISNUMBER(SEARCH($J$17,_xlfn._TRO_TRAILING(Sites!$H:$H))),_xlpm.states,ISNUMBER(SEARCH($J$19,_xlfn._TRO_TRAILING(Sites!$I:$I))),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885172.34999999986</v>
      </c>
      <c r="K43" s="67" cm="1">
        <f t="array" ref="K43">_xlfn.LET(_xlpm.hours,_xlfn._TRO_TRAILING(Sites!$DZ:$EB),_xlpm.type,ISNUMBER(SEARCH($J$17,_xlfn._TRO_TRAILING(Sites!$H:$H))),_xlpm.states,ISNUMBER(SEARCH($J$19,_xlfn._TRO_TRAILING(Sites!$I:$I))),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756172.35</v>
      </c>
      <c r="L43" s="67" cm="1">
        <f t="array" ref="L43">_xlfn.LET(_xlpm.hours,_xlfn._TRO_TRAILING(Sites!$DZ:$EB),_xlpm.type,ISNUMBER(SEARCH($J$17,_xlfn._TRO_TRAILING(Sites!$H:$H))),_xlpm.states,ISNUMBER(SEARCH($J$19,_xlfn._TRO_TRAILING(Sites!$I:$I))),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756172.35</v>
      </c>
      <c r="N43" s="67" cm="1">
        <f t="array" ref="N43">_xlfn.LET(_xlpm.hours,_xlfn._TRO_TRAILING(Sites!$DZ:$EB),_xlpm.type,ISNUMBER(SEARCH($N$17,_xlfn._TRO_TRAILING(Sites!$H:$H))),_xlpm.states,ISNUMBER(SEARCH($N$19,_xlfn._TRO_TRAILING(Sites!$I:$I))),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3" s="67" cm="1">
        <f t="array" ref="O43">_xlfn.LET(_xlpm.hours,_xlfn._TRO_TRAILING(Sites!$DZ:$EB),_xlpm.type,ISNUMBER(SEARCH($N$17,_xlfn._TRO_TRAILING(Sites!$H:$H))),_xlpm.states,ISNUMBER(SEARCH($N$19,_xlfn._TRO_TRAILING(Sites!$I:$I))),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3" s="67" cm="1">
        <f t="array" ref="P43">_xlfn.LET(_xlpm.hours,_xlfn._TRO_TRAILING(Sites!$DZ:$EB),_xlpm.type,ISNUMBER(SEARCH($N$17,_xlfn._TRO_TRAILING(Sites!$H:$H))),_xlpm.states,ISNUMBER(SEARCH($N$19,_xlfn._TRO_TRAILING(Sites!$I:$I))),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43" s="67" cm="1">
        <f t="array" ref="R43">_xlfn.LET(_xlpm.hours,_xlfn._TRO_TRAILING(Sites!$DZ:$EB),_xlpm.type,ISNUMBER(SEARCH($R$17,_xlfn._TRO_TRAILING(Sites!$H:$H))),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43" s="67" cm="1">
        <f t="array" ref="S43">_xlfn.LET(_xlpm.hours,_xlfn._TRO_TRAILING(Sites!$DZ:$EB),_xlpm.type,ISNUMBER(SEARCH($R$17,_xlfn._TRO_TRAILING(Sites!$H:$H))),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43" s="67" cm="1">
        <f t="array" ref="T43">_xlfn.LET(_xlpm.hours,_xlfn._TRO_TRAILING(Sites!$DZ:$EB),_xlpm.type,ISNUMBER(SEARCH($R$17,_xlfn._TRO_TRAILING(Sites!$H:$H))),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43" s="67" cm="1">
        <f t="array" ref="V43">_xlfn.LET(_xlpm.hours,_xlfn._TRO_TRAILING(Sites!$DZ:$EB),_xlpm.type,ISNUMBER(SEARCH($V$17,_xlfn._TRO_TRAILING(Sites!$H:$H))),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885172.34999999986</v>
      </c>
      <c r="W43" s="67" cm="1">
        <f t="array" ref="W43">_xlfn.LET(_xlpm.hours,_xlfn._TRO_TRAILING(Sites!$DZ:$EB),_xlpm.type,ISNUMBER(SEARCH($V$17,_xlfn._TRO_TRAILING(Sites!$H:$H))),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756172.35</v>
      </c>
      <c r="X43" s="67" cm="1">
        <f t="array" ref="X43">_xlfn.LET(_xlpm.hours,_xlfn._TRO_TRAILING(Sites!$DZ:$EB),_xlpm.type,ISNUMBER(SEARCH($V$17,_xlfn._TRO_TRAILING(Sites!$H:$H))),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756172.35</v>
      </c>
    </row>
    <row r="44" spans="2:24" outlineLevel="1" x14ac:dyDescent="0.25">
      <c r="B44" s="39" t="s">
        <v>44</v>
      </c>
      <c r="F44" s="67">
        <f t="shared" si="27"/>
        <v>4288919.3309256192</v>
      </c>
      <c r="G44" s="67">
        <f t="shared" si="28"/>
        <v>7770086.4636398945</v>
      </c>
      <c r="H44" s="67">
        <f t="shared" si="29"/>
        <v>10508298.346437296</v>
      </c>
      <c r="J44" s="67" cm="1">
        <f t="array" ref="J44">_xlfn.LET(_xlpm.hours,_xlfn._TRO_TRAILING(Sites!$ED:$EF),_xlpm.type,ISNUMBER(SEARCH($J$17,_xlfn._TRO_TRAILING(Sites!$H:$H))),_xlpm.states,ISNUMBER(SEARCH($J$19,_xlfn._TRO_TRAILING(Sites!$I:$I))),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4288919.3309256192</v>
      </c>
      <c r="K44" s="67" cm="1">
        <f t="array" ref="K44">_xlfn.LET(_xlpm.hours,_xlfn._TRO_TRAILING(Sites!$ED:$EF),_xlpm.type,ISNUMBER(SEARCH($J$17,_xlfn._TRO_TRAILING(Sites!$H:$H))),_xlpm.states,ISNUMBER(SEARCH($J$19,_xlfn._TRO_TRAILING(Sites!$I:$I))),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7770086.4636398945</v>
      </c>
      <c r="L44" s="67" cm="1">
        <f t="array" ref="L44">_xlfn.LET(_xlpm.hours,_xlfn._TRO_TRAILING(Sites!$ED:$EF),_xlpm.type,ISNUMBER(SEARCH($J$17,_xlfn._TRO_TRAILING(Sites!$H:$H))),_xlpm.states,ISNUMBER(SEARCH($J$19,_xlfn._TRO_TRAILING(Sites!$I:$I))),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10508298.346437296</v>
      </c>
      <c r="N44" s="67" cm="1">
        <f t="array" ref="N44">_xlfn.LET(_xlpm.hours,_xlfn._TRO_TRAILING(Sites!$ED:$EF),_xlpm.type,ISNUMBER(SEARCH($N$17,_xlfn._TRO_TRAILING(Sites!$H:$H))),_xlpm.states,ISNUMBER(SEARCH($N$19,_xlfn._TRO_TRAILING(Sites!$I:$I))),
_xlpm.years,ISNUMBER(SEARCH(N$20,Sites!$R$3:$T$3)),_xlpm.mna,ISNUMBER(SEARCH("M&amp;A",_xlfn._TRO_TRAILING(Sites!$I:$I))),
SUM(_xlfn._xlws.FILTER(_xlfn._xlws.FILTER(_xlpm.hours,_xlpm.mna,0),_xlpm.years),0))</f>
        <v>0</v>
      </c>
      <c r="O44" s="67" cm="1">
        <f t="array" ref="O44">_xlfn.LET(_xlpm.hours,_xlfn._TRO_TRAILING(Sites!$ED:$EF),_xlpm.type,ISNUMBER(SEARCH($N$17,_xlfn._TRO_TRAILING(Sites!$H:$H))),_xlpm.states,ISNUMBER(SEARCH($N$19,_xlfn._TRO_TRAILING(Sites!$I:$I))),
_xlpm.years,ISNUMBER(SEARCH(O$20,Sites!$R$3:$T$3)),_xlpm.mna,ISNUMBER(SEARCH("M&amp;A",_xlfn._TRO_TRAILING(Sites!$I:$I))),
SUM(_xlfn._xlws.FILTER(_xlfn._xlws.FILTER(_xlpm.hours,_xlpm.mna,0),_xlpm.years),0))</f>
        <v>0</v>
      </c>
      <c r="P44" s="67" cm="1">
        <f t="array" ref="P44">_xlfn.LET(_xlpm.hours,_xlfn._TRO_TRAILING(Sites!$ED:$EF),_xlpm.type,ISNUMBER(SEARCH($N$17,_xlfn._TRO_TRAILING(Sites!$H:$H))),_xlpm.states,ISNUMBER(SEARCH($N$19,_xlfn._TRO_TRAILING(Sites!$I:$I))),
_xlpm.years,ISNUMBER(SEARCH(P$20,Sites!$R$3:$T$3)),_xlpm.mna,ISNUMBER(SEARCH("M&amp;A",_xlfn._TRO_TRAILING(Sites!$I:$I))),
SUM(_xlfn._xlws.FILTER(_xlfn._xlws.FILTER(_xlpm.hours,_xlpm.mna,0),_xlpm.years),0))</f>
        <v>0</v>
      </c>
      <c r="R44" s="67" cm="1">
        <f t="array" ref="R44">_xlfn.LET(_xlpm.hours,_xlfn._TRO_TRAILING(Sites!$ED:$EF),_xlpm.type,ISNUMBER(SEARCH($R$17,_xlfn._TRO_TRAILING(Sites!$H:$H))),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508161.89186757634</v>
      </c>
      <c r="S44" s="67" cm="1">
        <f t="array" ref="S44">_xlfn.LET(_xlpm.hours,_xlfn._TRO_TRAILING(Sites!$ED:$EF),_xlpm.type,ISNUMBER(SEARCH($R$17,_xlfn._TRO_TRAILING(Sites!$H:$H))),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1042580.3249753185</v>
      </c>
      <c r="T44" s="67" cm="1">
        <f t="array" ref="T44">_xlfn.LET(_xlpm.hours,_xlfn._TRO_TRAILING(Sites!$ED:$EF),_xlpm.type,ISNUMBER(SEARCH($R$17,_xlfn._TRO_TRAILING(Sites!$H:$H))),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1595175.943828484</v>
      </c>
      <c r="V44" s="67" cm="1">
        <f t="array" ref="V44">_xlfn.LET(_xlpm.hours,_xlfn._TRO_TRAILING(Sites!$ED:$EF),_xlpm.type,ISNUMBER(SEARCH($V$17,_xlfn._TRO_TRAILING(Sites!$H:$H))),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3780757.4390580426</v>
      </c>
      <c r="W44" s="67" cm="1">
        <f t="array" ref="W44">_xlfn.LET(_xlpm.hours,_xlfn._TRO_TRAILING(Sites!$ED:$EF),_xlpm.type,ISNUMBER(SEARCH($V$17,_xlfn._TRO_TRAILING(Sites!$H:$H))),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6727506.1386645753</v>
      </c>
      <c r="X44" s="67" cm="1">
        <f t="array" ref="X44">_xlfn.LET(_xlpm.hours,_xlfn._TRO_TRAILING(Sites!$ED:$EF),_xlpm.type,ISNUMBER(SEARCH($V$17,_xlfn._TRO_TRAILING(Sites!$H:$H))),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8913122.4026088137</v>
      </c>
    </row>
    <row r="45" spans="2:24" x14ac:dyDescent="0.25">
      <c r="B45" s="1" t="s">
        <v>332</v>
      </c>
      <c r="F45" s="13">
        <f>SUM(F35:F44)</f>
        <v>44449535.221953131</v>
      </c>
      <c r="G45" s="13">
        <f>SUM(G35:G44)</f>
        <v>100038788.02224071</v>
      </c>
      <c r="H45" s="13">
        <f>SUM(H35:H44)</f>
        <v>151513614.60593435</v>
      </c>
      <c r="J45" s="13">
        <f>SUM(J35:J44)</f>
        <v>24604920.821953125</v>
      </c>
      <c r="K45" s="13">
        <f>SUM(K35:K44)</f>
        <v>58602544.822240733</v>
      </c>
      <c r="L45" s="13">
        <f>SUM(L35:L44)</f>
        <v>93207683.405934319</v>
      </c>
      <c r="N45" s="13">
        <f>SUM(N35:N44)</f>
        <v>19844614.400000002</v>
      </c>
      <c r="O45" s="13">
        <f>SUM(O35:O44)</f>
        <v>41436243.199999988</v>
      </c>
      <c r="P45" s="13">
        <f>SUM(P35:P44)</f>
        <v>58305931.200000003</v>
      </c>
      <c r="R45" s="13">
        <f>SUM(R35:R44)</f>
        <v>2236025.5338268969</v>
      </c>
      <c r="S45" s="13">
        <f>SUM(S35:S44)</f>
        <v>6488874.2213285295</v>
      </c>
      <c r="T45" s="13">
        <f>SUM(T35:T44)</f>
        <v>11197668.984467635</v>
      </c>
      <c r="V45" s="13">
        <f>SUM(V35:V44)</f>
        <v>22368895.28812623</v>
      </c>
      <c r="W45" s="13">
        <f>SUM(W35:W44)</f>
        <v>52113670.600912206</v>
      </c>
      <c r="X45" s="13">
        <f>SUM(X35:X44)</f>
        <v>82010014.421466738</v>
      </c>
    </row>
    <row r="47" spans="2:24" x14ac:dyDescent="0.25">
      <c r="B47" s="1" t="s">
        <v>50</v>
      </c>
      <c r="F47" s="74">
        <f>F32-F45</f>
        <v>21551963.587886877</v>
      </c>
      <c r="G47" s="74">
        <f>G32-G45</f>
        <v>62200027.432663038</v>
      </c>
      <c r="H47" s="74">
        <f>H32-H45</f>
        <v>88343367.091342181</v>
      </c>
      <c r="J47" s="74">
        <f>J32-J45</f>
        <v>6475915.4228202067</v>
      </c>
      <c r="K47" s="74">
        <f>K32-K45</f>
        <v>28556928.361440323</v>
      </c>
      <c r="L47" s="74">
        <f>L32-L45</f>
        <v>41116358.427312896</v>
      </c>
      <c r="N47" s="74">
        <f>N32-N45</f>
        <v>15076048.165066663</v>
      </c>
      <c r="O47" s="74">
        <f>O32-O45</f>
        <v>33643099.071222663</v>
      </c>
      <c r="P47" s="74">
        <f>P32-P45</f>
        <v>47227008.664029315</v>
      </c>
      <c r="R47" s="74">
        <f>R32-R45</f>
        <v>1196097.4403064367</v>
      </c>
      <c r="S47" s="74">
        <f>S32-S45</f>
        <v>4761532.4259461379</v>
      </c>
      <c r="T47" s="74">
        <f>T32-T45</f>
        <v>8289188.4760350268</v>
      </c>
      <c r="V47" s="74">
        <f>V32-V45</f>
        <v>8210191.5386571586</v>
      </c>
      <c r="W47" s="74">
        <f>W32-W45</f>
        <v>31612197.042821892</v>
      </c>
      <c r="X47" s="74">
        <f>X32-X45</f>
        <v>43948273.588414237</v>
      </c>
    </row>
    <row r="48" spans="2:24" x14ac:dyDescent="0.25">
      <c r="B48" s="112" t="s">
        <v>333</v>
      </c>
      <c r="F48" s="111">
        <f>F47/F32</f>
        <v>0.32653748742859984</v>
      </c>
      <c r="G48" s="111">
        <f>G47/G32</f>
        <v>0.38338561125621812</v>
      </c>
      <c r="H48" s="111">
        <f>H47/H32</f>
        <v>0.36831684642325874</v>
      </c>
      <c r="J48" s="111">
        <f>J47/J32</f>
        <v>0.20835718099152561</v>
      </c>
      <c r="K48" s="111">
        <f>K47/K32</f>
        <v>0.32763998356505741</v>
      </c>
      <c r="L48" s="111">
        <f>L47/L32</f>
        <v>0.30609828193195404</v>
      </c>
      <c r="N48" s="111">
        <f>N47/N32</f>
        <v>0.43172285568682717</v>
      </c>
      <c r="O48" s="111">
        <f>O47/O32</f>
        <v>0.44810061001450474</v>
      </c>
      <c r="P48" s="111">
        <f>P47/P32</f>
        <v>0.44750964698678447</v>
      </c>
      <c r="R48" s="111">
        <f>R47/R32</f>
        <v>0.34850075283461268</v>
      </c>
      <c r="S48" s="111">
        <f>S47/S32</f>
        <v>0.42323202842624236</v>
      </c>
      <c r="T48" s="111">
        <f>T47/T32</f>
        <v>0.4253732800599655</v>
      </c>
      <c r="V48" s="111">
        <f>IFERROR(V47/V32,"")</f>
        <v>0.2684904093168039</v>
      </c>
      <c r="W48" s="111">
        <f t="shared" ref="W48:X48" si="30">IFERROR(W47/W32,"")</f>
        <v>0.37756786441839513</v>
      </c>
      <c r="X48" s="111">
        <f t="shared" si="30"/>
        <v>0.34891132836742472</v>
      </c>
    </row>
    <row r="49" spans="2:24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</row>
    <row r="50" spans="2:24" x14ac:dyDescent="0.25">
      <c r="B50" s="112"/>
      <c r="F50" s="111"/>
      <c r="G50" s="111"/>
      <c r="H50" s="111"/>
      <c r="J50" s="111"/>
      <c r="K50" s="111"/>
      <c r="L50" s="111"/>
      <c r="N50" s="111"/>
      <c r="O50" s="111"/>
      <c r="P50" s="111"/>
    </row>
    <row r="51" spans="2:24" x14ac:dyDescent="0.25">
      <c r="B51" t="s">
        <v>60</v>
      </c>
      <c r="C51" s="12"/>
      <c r="D51" s="12"/>
      <c r="F51" s="67">
        <f t="shared" ref="F51" si="31">J51+N51</f>
        <v>10326666.666666668</v>
      </c>
      <c r="G51" s="67">
        <f t="shared" ref="G51" si="32">K51+O51</f>
        <v>6949500</v>
      </c>
      <c r="H51" s="67">
        <f t="shared" ref="H51" si="33">L51+P51</f>
        <v>7925333.333333333</v>
      </c>
      <c r="J51" s="67" cm="1">
        <f t="array" ref="J51">_xlfn.LET(_xlpm.hours,_xlfn._TRO_TRAILING(Sites!$AT:$AV),_xlpm.type,ISNUMBER(SEARCH($J$17,_xlfn._TRO_TRAILING(Sites!$H:$H))),_xlpm.states,ISNUMBER(SEARCH($J$19,_xlfn._TRO_TRAILING(Sites!$I:$I))),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9426666.6666666679</v>
      </c>
      <c r="K51" s="67" cm="1">
        <f t="array" ref="K51">_xlfn.LET(_xlpm.hours,_xlfn._TRO_TRAILING(Sites!$AT:$AV),_xlpm.type,ISNUMBER(SEARCH($J$17,_xlfn._TRO_TRAILING(Sites!$H:$H))),_xlpm.states,ISNUMBER(SEARCH($J$19,_xlfn._TRO_TRAILING(Sites!$I:$I))),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6349500</v>
      </c>
      <c r="L51" s="67" cm="1">
        <f t="array" ref="L51">_xlfn.LET(_xlpm.hours,_xlfn._TRO_TRAILING(Sites!$AT:$AV),_xlpm.type,ISNUMBER(SEARCH($J$17,_xlfn._TRO_TRAILING(Sites!$H:$H))),_xlpm.states,ISNUMBER(SEARCH($J$19,_xlfn._TRO_TRAILING(Sites!$I:$I))),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7525333.333333333</v>
      </c>
      <c r="N51" s="53" cm="1">
        <f t="array" ref="N51">_xlfn.LET(_xlpm.hours,_xlfn._TRO_TRAILING(Sites!$AT:$AV),
_xlpm.states,ISNUMBER(SEARCH($N$19,_xlfn._TRO_TRAILING(Sites!$I:$I))),
_xlpm.years,ISNUMBER(SEARCH(N$20,Sites!$R$3:$T$3)),
SUM(_xlfn._xlws.FILTER(_xlfn._xlws.FILTER(_xlpm.hours,_xlpm.states,0),_xlpm.years),0))</f>
        <v>900000</v>
      </c>
      <c r="O51" s="53" cm="1">
        <f t="array" ref="O51">_xlfn.LET(_xlpm.hours,_xlfn._TRO_TRAILING(Sites!$AT:$AV),
_xlpm.states,ISNUMBER(SEARCH($N$19,_xlfn._TRO_TRAILING(Sites!$I:$I))),
_xlpm.years,ISNUMBER(SEARCH(O$20,Sites!$R$3:$T$3)),
SUM(_xlfn._xlws.FILTER(_xlfn._xlws.FILTER(_xlpm.hours,_xlpm.states,0),_xlpm.years),0))</f>
        <v>600000</v>
      </c>
      <c r="P51" s="53" cm="1">
        <f t="array" ref="P51">_xlfn.LET(_xlpm.hours,_xlfn._TRO_TRAILING(Sites!$AT:$AV),
_xlpm.states,ISNUMBER(SEARCH($N$19,_xlfn._TRO_TRAILING(Sites!$I:$I))),
_xlpm.years,ISNUMBER(SEARCH(P$20,Sites!$R$3:$T$3)),
SUM(_xlfn._xlws.FILTER(_xlfn._xlws.FILTER(_xlpm.hours,_xlpm.states,0),_xlpm.years),0))</f>
        <v>400000</v>
      </c>
      <c r="R51" s="67" cm="1">
        <f t="array" ref="R51">_xlfn.LET(_xlpm.hours,_xlfn._TRO_TRAILING(Sites!$AT:$AV),_xlpm.type,ISNUMBER(SEARCH($R$17,_xlfn._TRO_TRAILING(Sites!$H:$H))),
_xlpm.states,ISNUMBER(SEARCH($R$19,_xlfn._TRO_TRAILING(Sites!$I:$I))),
_xlpm.years,ISNUMBER(SEARCH(R$20,Sites!$R$3:$T$3)),
SUM(_xlfn._xlws.FILTER(_xlfn._xlws.FILTER(_xlpm.hours,_xlpm.states*_xlpm.type,0),_xlpm.years),0))</f>
        <v>0</v>
      </c>
      <c r="S51" s="67" cm="1">
        <f t="array" ref="S51">_xlfn.LET(_xlpm.hours,_xlfn._TRO_TRAILING(Sites!$AT:$AV),_xlpm.type,ISNUMBER(SEARCH($R$17,_xlfn._TRO_TRAILING(Sites!$H:$H))),
_xlpm.states,ISNUMBER(SEARCH($R$19,_xlfn._TRO_TRAILING(Sites!$I:$I))),
_xlpm.years,ISNUMBER(SEARCH(S$20,Sites!$R$3:$T$3)),
SUM(_xlfn._xlws.FILTER(_xlfn._xlws.FILTER(_xlpm.hours,_xlpm.states*_xlpm.type,0),_xlpm.years),0))</f>
        <v>0</v>
      </c>
      <c r="T51" s="67" cm="1">
        <f t="array" ref="T51">_xlfn.LET(_xlpm.hours,_xlfn._TRO_TRAILING(Sites!$AT:$AV),_xlpm.type,ISNUMBER(SEARCH($R$17,_xlfn._TRO_TRAILING(Sites!$H:$H))),
_xlpm.states,ISNUMBER(SEARCH($R$19,_xlfn._TRO_TRAILING(Sites!$I:$I))),
_xlpm.years,ISNUMBER(SEARCH(T$20,Sites!$R$3:$T$3)),
SUM(_xlfn._xlws.FILTER(_xlfn._xlws.FILTER(_xlpm.hours,_xlpm.states*_xlpm.type,0),_xlpm.years),0))</f>
        <v>0</v>
      </c>
      <c r="V51" s="67" cm="1">
        <f t="array" ref="V51">_xlfn.LET(_xlpm.hours,_xlfn._TRO_TRAILING(Sites!$AT:$AV),_xlpm.type,ISNUMBER(SEARCH($V$17,_xlfn._TRO_TRAILING(Sites!$H:$H))),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9426666.6666666679</v>
      </c>
      <c r="W51" s="67" cm="1">
        <f t="array" ref="W51">_xlfn.LET(_xlpm.hours,_xlfn._TRO_TRAILING(Sites!$AT:$AV),_xlpm.type,ISNUMBER(SEARCH($V$17,_xlfn._TRO_TRAILING(Sites!$H:$H))),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6349500</v>
      </c>
      <c r="X51" s="67" cm="1">
        <f t="array" ref="X51">_xlfn.LET(_xlpm.hours,_xlfn._TRO_TRAILING(Sites!$AT:$AV),_xlpm.type,ISNUMBER(SEARCH($V$17,_xlfn._TRO_TRAILING(Sites!$H:$H))),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7525333.333333333</v>
      </c>
    </row>
    <row r="52" spans="2:24" x14ac:dyDescent="0.25">
      <c r="B52" t="s">
        <v>345</v>
      </c>
      <c r="C52" s="12"/>
      <c r="D52" s="12"/>
      <c r="F52" s="67">
        <f t="shared" ref="F52" si="34">J52+N52</f>
        <v>-29966126.254418656</v>
      </c>
      <c r="G52" s="67">
        <f t="shared" ref="G52" si="35">K52+O52</f>
        <v>-65204835.417912915</v>
      </c>
      <c r="H52" s="67">
        <f t="shared" ref="H52" si="36">L52+P52</f>
        <v>-94742773.570209131</v>
      </c>
      <c r="J52" s="67" cm="1">
        <f t="array" ref="J52">_xlfn.LET(_xlpm.hours,_xlfn._TRO_TRAILING(Sites!$EL:$EN),_xlpm.type,ISNUMBER(SEARCH($J$17,_xlfn._TRO_TRAILING(Sites!$H:$H))),_xlpm.states,ISNUMBER(SEARCH($J$19,_xlfn._TRO_TRAILING(Sites!$I:$I))),
_xlpm.years,ISNUMBER(SEARCH(J$20,Sites!$R$3:$T$3)),
SUM(_xlfn._xlws.FILTER(_xlfn._xlws.FILTER(_xlpm.hours,_xlpm.states,0),_xlpm.years),0))</f>
        <v>-4474042.5819199989</v>
      </c>
      <c r="K52" s="67" cm="1">
        <f t="array" ref="K52">_xlfn.LET(_xlpm.hours,_xlfn._TRO_TRAILING(Sites!$EL:$EN),_xlpm.type,ISNUMBER(SEARCH($J$17,_xlfn._TRO_TRAILING(Sites!$H:$H))),_xlpm.states,ISNUMBER(SEARCH($J$19,_xlfn._TRO_TRAILING(Sites!$I:$I))),
_xlpm.years,ISNUMBER(SEARCH(K$20,Sites!$R$3:$T$3)),
SUM(_xlfn._xlws.FILTER(_xlfn._xlws.FILTER(_xlpm.hours,_xlpm.states,0),_xlpm.years),0))</f>
        <v>-10396915.559920374</v>
      </c>
      <c r="L52" s="67" cm="1">
        <f t="array" ref="L52">_xlfn.LET(_xlpm.hours,_xlfn._TRO_TRAILING(Sites!$EL:$EN),_xlpm.type,ISNUMBER(SEARCH($J$17,_xlfn._TRO_TRAILING(Sites!$H:$H))),_xlpm.states,ISNUMBER(SEARCH($J$19,_xlfn._TRO_TRAILING(Sites!$I:$I))),
_xlpm.years,ISNUMBER(SEARCH(L$20,Sites!$R$3:$T$3)),
SUM(_xlfn._xlws.FILTER(_xlfn._xlws.FILTER(_xlpm.hours,_xlpm.states,0),_xlpm.years),0))</f>
        <v>-17703727.469467733</v>
      </c>
      <c r="N52" s="67" cm="1">
        <f t="array" ref="N52">_xlfn.LET(_xlpm.hours,_xlfn._TRO_TRAILING(Sites!$EL:$EN),_xlpm.type,ISNUMBER(SEARCH($N$19,_xlfn._TRO_TRAILING(Sites!$H:$H))),
_xlpm.states,ISNUMBER(SEARCH($N$19,_xlfn._TRO_TRAILING(Sites!$I:$I))),
_xlpm.years,ISNUMBER(SEARCH(N$20,Sites!$R$3:$T$3)),
SUM(_xlfn._xlws.FILTER(_xlfn._xlws.FILTER(_xlpm.hours,_xlpm.states,0),_xlpm.years),0))</f>
        <v>-25492083.672498658</v>
      </c>
      <c r="O52" s="67" cm="1">
        <f t="array" ref="O52">_xlfn.LET(_xlpm.hours,_xlfn._TRO_TRAILING(Sites!$EL:$EN),_xlpm.type,ISNUMBER(SEARCH($N$19,_xlfn._TRO_TRAILING(Sites!$H:$H))),
_xlpm.states,ISNUMBER(SEARCH($N$19,_xlfn._TRO_TRAILING(Sites!$I:$I))),
_xlpm.years,ISNUMBER(SEARCH(O$20,Sites!$R$3:$T$3)),
SUM(_xlfn._xlws.FILTER(_xlfn._xlws.FILTER(_xlpm.hours,_xlpm.states,0),_xlpm.years),0))</f>
        <v>-54807919.857992545</v>
      </c>
      <c r="P52" s="67" cm="1">
        <f t="array" ref="P52">_xlfn.LET(_xlpm.hours,_xlfn._TRO_TRAILING(Sites!$EL:$EN),_xlpm.type,ISNUMBER(SEARCH($N$19,_xlfn._TRO_TRAILING(Sites!$H:$H))),
_xlpm.states,ISNUMBER(SEARCH($N$19,_xlfn._TRO_TRAILING(Sites!$I:$I))),
_xlpm.years,ISNUMBER(SEARCH(P$20,Sites!$R$3:$T$3)),
SUM(_xlfn._xlws.FILTER(_xlfn._xlws.FILTER(_xlpm.hours,_xlpm.states,0),_xlpm.years),0))</f>
        <v>-77039046.100741401</v>
      </c>
      <c r="R52" s="67" cm="1">
        <f t="array" ref="R52">_xlfn.LET(_xlpm.hours,_xlfn._TRO_TRAILING(Sites!$EL:$EN),_xlpm.type,ISNUMBER(SEARCH($R$17,_xlfn._TRO_TRAILING(Sites!$H:$H))),
_xlpm.states,ISNUMBER(SEARCH($R$19,_xlfn._TRO_TRAILING(Sites!$I:$I))),
_xlpm.years,ISNUMBER(SEARCH(R$20,Sites!$R$3:$T$3)),
SUM(_xlfn._xlws.FILTER(_xlfn._xlws.FILTER(_xlpm.hours,_xlpm.states,0),_xlpm.years),0))</f>
        <v>-4474042.5819199989</v>
      </c>
      <c r="S52" s="67" cm="1">
        <f t="array" ref="S52">_xlfn.LET(_xlpm.hours,_xlfn._TRO_TRAILING(Sites!$EL:$EN),_xlpm.type,ISNUMBER(SEARCH($R$17,_xlfn._TRO_TRAILING(Sites!$H:$H))),
_xlpm.states,ISNUMBER(SEARCH($R$19,_xlfn._TRO_TRAILING(Sites!$I:$I))),
_xlpm.years,ISNUMBER(SEARCH(S$20,Sites!$R$3:$T$3)),
SUM(_xlfn._xlws.FILTER(_xlfn._xlws.FILTER(_xlpm.hours,_xlpm.states,0),_xlpm.years),0))</f>
        <v>-10396915.559920374</v>
      </c>
      <c r="T52" s="67" cm="1">
        <f t="array" ref="T52">_xlfn.LET(_xlpm.hours,_xlfn._TRO_TRAILING(Sites!$EL:$EN),_xlpm.type,ISNUMBER(SEARCH($R$17,_xlfn._TRO_TRAILING(Sites!$H:$H))),
_xlpm.states,ISNUMBER(SEARCH($R$19,_xlfn._TRO_TRAILING(Sites!$I:$I))),
_xlpm.years,ISNUMBER(SEARCH(T$20,Sites!$R$3:$T$3)),
SUM(_xlfn._xlws.FILTER(_xlfn._xlws.FILTER(_xlpm.hours,_xlpm.states,0),_xlpm.years),0))</f>
        <v>-17703727.469467733</v>
      </c>
      <c r="V52" s="67" cm="1">
        <f t="array" ref="V52">_xlfn.LET(_xlpm.hours,_xlfn._TRO_TRAILING(Sites!$EL:$EN),_xlpm.type,ISNUMBER(SEARCH('JV1'!$V$17,_xlfn._TRO_TRAILING(Sites!$H:$H))),
_xlpm.states,ISNUMBER(SEARCH($V$19,_xlfn._TRO_TRAILING(Sites!$I:$I))),
_xlpm.years,ISNUMBER(SEARCH(V$20,Sites!$EL$3:$EN$3)),
SUM(_xlfn._xlws.FILTER(_xlfn._xlws.FILTER(_xlpm.hours,_xlpm.states,0),_xlpm.years),0))</f>
        <v>-4474042.5819199989</v>
      </c>
      <c r="W52" s="67" cm="1">
        <f t="array" ref="W52">_xlfn.LET(_xlpm.hours,_xlfn._TRO_TRAILING(Sites!$EL:$EN),_xlpm.type,ISNUMBER(SEARCH('JV1'!$V$17,_xlfn._TRO_TRAILING(Sites!$H:$H))),
_xlpm.states,ISNUMBER(SEARCH($V$19,_xlfn._TRO_TRAILING(Sites!$I:$I))),
_xlpm.years,ISNUMBER(SEARCH(W$20,Sites!$EL$3:$EN$3)),
SUM(_xlfn._xlws.FILTER(_xlfn._xlws.FILTER(_xlpm.hours,_xlpm.states,0),_xlpm.years),0))</f>
        <v>-10396915.559920374</v>
      </c>
      <c r="X52" s="67" cm="1">
        <f t="array" ref="X52">_xlfn.LET(_xlpm.hours,_xlfn._TRO_TRAILING(Sites!$EL:$EN),_xlpm.type,ISNUMBER(SEARCH('JV1'!$V$17,_xlfn._TRO_TRAILING(Sites!$H:$H))),
_xlpm.states,ISNUMBER(SEARCH($V$19,_xlfn._TRO_TRAILING(Sites!$I:$I))),
_xlpm.years,ISNUMBER(SEARCH(X$20,Sites!$EL$3:$EN$3)),
SUM(_xlfn._xlws.FILTER(_xlfn._xlws.FILTER(_xlpm.hours,_xlpm.states,0),_xlpm.years),0))</f>
        <v>-17703727.469467733</v>
      </c>
    </row>
    <row r="53" spans="2:24" x14ac:dyDescent="0.25">
      <c r="K53" s="67"/>
      <c r="L53" s="67"/>
      <c r="O53" s="67"/>
      <c r="P53" s="67"/>
    </row>
    <row r="54" spans="2:24" x14ac:dyDescent="0.25">
      <c r="B54" s="1" t="s">
        <v>336</v>
      </c>
      <c r="F54" s="13">
        <f t="shared" ref="F54:G54" si="37">F47-F51+F52</f>
        <v>-18740829.333198447</v>
      </c>
      <c r="G54" s="13">
        <f t="shared" si="37"/>
        <v>-9954307.985249877</v>
      </c>
      <c r="H54" s="13">
        <f>H47-H51+H52</f>
        <v>-14324739.812200278</v>
      </c>
      <c r="J54" s="13">
        <f t="shared" ref="J54:K54" si="38">J47-J51+J52</f>
        <v>-7424793.82576646</v>
      </c>
      <c r="K54" s="13">
        <f t="shared" si="38"/>
        <v>11810512.801519949</v>
      </c>
      <c r="L54" s="13">
        <f>L47-L51+L52</f>
        <v>15887297.624511827</v>
      </c>
      <c r="N54" s="13">
        <f t="shared" ref="N54:O54" si="39">N47-N51+N52</f>
        <v>-11316035.507431995</v>
      </c>
      <c r="O54" s="13">
        <f t="shared" si="39"/>
        <v>-21764820.786769882</v>
      </c>
      <c r="P54" s="13">
        <f>P47-P51+P52</f>
        <v>-30212037.436712086</v>
      </c>
      <c r="R54" s="13">
        <f t="shared" ref="R54:S54" si="40">R47-R51+R52</f>
        <v>-3277945.1416135621</v>
      </c>
      <c r="S54" s="13">
        <f t="shared" si="40"/>
        <v>-5635383.1339742364</v>
      </c>
      <c r="T54" s="13">
        <f>T47-T51+T52</f>
        <v>-9414538.9934327062</v>
      </c>
      <c r="V54" s="13">
        <f t="shared" ref="V54:W54" si="41">V47-V51+V52</f>
        <v>-5690517.7099295082</v>
      </c>
      <c r="W54" s="13">
        <f t="shared" si="41"/>
        <v>14865781.482901517</v>
      </c>
      <c r="X54" s="13">
        <f>X47-X51+X52</f>
        <v>18719212.785613168</v>
      </c>
    </row>
    <row r="55" spans="2:24" x14ac:dyDescent="0.25">
      <c r="B55" t="s">
        <v>337</v>
      </c>
      <c r="F55" s="149">
        <f>SUM(F54:$F$54)</f>
        <v>-18740829.333198447</v>
      </c>
      <c r="G55" s="149">
        <f>SUM($F54:G$54)</f>
        <v>-28695137.318448324</v>
      </c>
      <c r="H55" s="149">
        <f>SUM($F54:H$54)</f>
        <v>-43019877.130648598</v>
      </c>
      <c r="J55" s="149">
        <f>SUM(J54:$N$54)</f>
        <v>8956981.0928333215</v>
      </c>
      <c r="K55" s="149">
        <f>SUM(K54:$N$54)</f>
        <v>16381774.918599781</v>
      </c>
      <c r="L55" s="149">
        <f>SUM(L54:$N$54)</f>
        <v>4571262.1170798317</v>
      </c>
      <c r="N55" s="149">
        <f>SUM($N54:N$54)</f>
        <v>-11316035.507431995</v>
      </c>
      <c r="O55" s="149">
        <f>SUM($N54:O$54)</f>
        <v>-33080856.294201877</v>
      </c>
      <c r="P55" s="149">
        <f>SUM($N54:P$54)</f>
        <v>-63292893.730913967</v>
      </c>
      <c r="R55" s="149">
        <f>SUM($R54:R$54)</f>
        <v>-3277945.1416135621</v>
      </c>
      <c r="S55" s="149">
        <f>SUM($R54:S$54)</f>
        <v>-8913328.275587799</v>
      </c>
      <c r="T55" s="149">
        <f>SUM($R54:T$54)</f>
        <v>-18327867.269020505</v>
      </c>
      <c r="V55" s="149">
        <f>SUM(V54:$V$54)</f>
        <v>-5690517.7099295082</v>
      </c>
      <c r="W55" s="149">
        <f>SUM($V54:W$54)</f>
        <v>9175263.7729720101</v>
      </c>
      <c r="X55" s="149">
        <f>SUM($V54:X$54)</f>
        <v>27894476.558585178</v>
      </c>
    </row>
    <row r="56" spans="2:24" x14ac:dyDescent="0.25">
      <c r="E56" s="12"/>
      <c r="F56" s="12"/>
      <c r="G56" s="12"/>
      <c r="H56" s="12"/>
      <c r="J56" s="12"/>
      <c r="K56" s="111"/>
      <c r="L56" s="111"/>
      <c r="N56" s="12"/>
      <c r="O56" s="111"/>
      <c r="P56" s="111"/>
      <c r="R56" s="12"/>
      <c r="S56" s="12"/>
      <c r="T56" s="12"/>
      <c r="V56" s="12"/>
      <c r="W56" s="12"/>
      <c r="X56" s="12"/>
    </row>
    <row r="57" spans="2:24" x14ac:dyDescent="0.25">
      <c r="F57" s="97"/>
      <c r="J57" s="97"/>
      <c r="N57" s="97"/>
    </row>
    <row r="58" spans="2:24" x14ac:dyDescent="0.25">
      <c r="J58" s="97"/>
      <c r="N58" s="97"/>
    </row>
    <row r="59" spans="2:24" x14ac:dyDescent="0.25">
      <c r="J59" s="97"/>
      <c r="N59" s="97"/>
    </row>
    <row r="61" spans="2:24" x14ac:dyDescent="0.25">
      <c r="F61" s="97"/>
    </row>
  </sheetData>
  <printOptions horizontalCentered="1" verticalCentered="1"/>
  <pageMargins left="0" right="0" top="0" bottom="0" header="0" footer="0"/>
  <pageSetup paperSize="5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A39E-10D9-4861-B208-416EB0DA1E4A}">
  <sheetPr>
    <tabColor theme="9" tint="0.79998168889431442"/>
    <pageSetUpPr fitToPage="1"/>
  </sheetPr>
  <dimension ref="A1:AT65"/>
  <sheetViews>
    <sheetView workbookViewId="0">
      <pane xSplit="5" ySplit="20" topLeftCell="F45" activePane="bottomRight" state="frozen"/>
      <selection pane="topRight"/>
      <selection pane="bottomLeft"/>
      <selection pane="bottomRight" activeCell="E57" sqref="E57"/>
    </sheetView>
  </sheetViews>
  <sheetFormatPr defaultRowHeight="15" outlineLevelRow="1" outlineLevelCol="1" x14ac:dyDescent="0.25"/>
  <cols>
    <col min="1" max="1" width="9.140625" customWidth="1"/>
    <col min="2" max="2" width="26.5703125" bestFit="1" customWidth="1"/>
    <col min="3" max="5" width="9.140625" customWidth="1"/>
    <col min="6" max="6" width="17.42578125" bestFit="1" customWidth="1"/>
    <col min="7" max="7" width="13.7109375" customWidth="1" outlineLevel="1"/>
    <col min="8" max="8" width="14.42578125" customWidth="1" outlineLevel="1"/>
    <col min="9" max="9" width="9.140625" customWidth="1"/>
    <col min="10" max="10" width="12.5703125" bestFit="1" customWidth="1"/>
    <col min="11" max="12" width="13.85546875" customWidth="1" outlineLevel="1"/>
    <col min="13" max="13" width="9.140625" customWidth="1"/>
    <col min="14" max="14" width="14.28515625" bestFit="1" customWidth="1" collapsed="1"/>
    <col min="15" max="16" width="13.85546875" customWidth="1" outlineLevel="1"/>
    <col min="17" max="17" width="9.140625" customWidth="1"/>
    <col min="18" max="18" width="11.5703125" bestFit="1" customWidth="1"/>
    <col min="19" max="20" width="13.85546875" customWidth="1" outlineLevel="1"/>
    <col min="21" max="21" width="9.140625" customWidth="1"/>
    <col min="22" max="24" width="12.5703125" customWidth="1" outlineLevel="1"/>
    <col min="25" max="25" width="3.7109375" customWidth="1" outlineLevel="1"/>
    <col min="26" max="28" width="12.5703125" customWidth="1" outlineLevel="1"/>
    <col min="29" max="29" width="3.7109375" customWidth="1" outlineLevel="1"/>
    <col min="30" max="31" width="12.28515625" customWidth="1" outlineLevel="1"/>
    <col min="32" max="32" width="12.5703125" customWidth="1" outlineLevel="1"/>
    <col min="33" max="33" width="9.140625" customWidth="1"/>
    <col min="34" max="36" width="13.42578125" customWidth="1" outlineLevel="1"/>
    <col min="37" max="37" width="3.7109375" customWidth="1" outlineLevel="1"/>
    <col min="38" max="40" width="13.42578125" customWidth="1" outlineLevel="1"/>
    <col min="41" max="41" width="3.7109375" customWidth="1" outlineLevel="1"/>
    <col min="42" max="44" width="13.42578125" customWidth="1" outlineLevel="1"/>
    <col min="45" max="45" width="9.140625" customWidth="1"/>
  </cols>
  <sheetData>
    <row r="1" spans="1:44" x14ac:dyDescent="0.25">
      <c r="A1" s="97"/>
      <c r="B1" s="3"/>
      <c r="C1" s="3"/>
      <c r="D1" s="55" t="s">
        <v>460</v>
      </c>
      <c r="E1" s="121"/>
      <c r="F1" s="121">
        <f>SUM('JV2'!J1,'JV2'!N1,'JV2'!R1)</f>
        <v>455</v>
      </c>
      <c r="G1" s="121">
        <f>SUM('JV2'!K1,'JV2'!O1,'JV2'!S1)</f>
        <v>620</v>
      </c>
      <c r="H1" s="121">
        <f>SUM('JV2'!L1,'JV2'!P1,'JV2'!T1)</f>
        <v>748</v>
      </c>
      <c r="J1" s="53" cm="1">
        <f t="array" ref="J1">_xlfn.LET(_xlpm.hours,_xlfn._TRO_TRAILING(Sites!$AD:$AF),
_xlpm.states,ISNUMBER(SEARCH($J$19,_xlfn._TRO_TRAILING(Sites!$I:$I))),
_xlpm.years,ISNUMBER(SEARCH(J$20,Sites!$AD$3:$AF$3)),
SUM(_xlfn._xlws.FILTER(_xlfn._xlws.FILTER(_xlpm.hours,_xlpm.states,0),_xlpm.years),0))</f>
        <v>206</v>
      </c>
      <c r="K1" s="53" cm="1">
        <f t="array" ref="K1">_xlfn.LET(_xlpm.hours,_xlfn._TRO_TRAILING(Sites!$AD:$AF),
_xlpm.states,ISNUMBER(SEARCH($J$19,_xlfn._TRO_TRAILING(Sites!$I:$I))),
_xlpm.years,ISNUMBER(SEARCH(K$20,Sites!$AD$3:$AF$3)),
SUM(_xlfn._xlws.FILTER(_xlfn._xlws.FILTER(_xlpm.hours,_xlpm.states,0),_xlpm.years),0))</f>
        <v>243</v>
      </c>
      <c r="L1" s="53" cm="1">
        <f t="array" ref="L1">_xlfn.LET(_xlpm.hours,_xlfn._TRO_TRAILING(Sites!$AD:$AF),
_xlpm.states,ISNUMBER(SEARCH($J$19,_xlfn._TRO_TRAILING(Sites!$I:$I))),
_xlpm.years,ISNUMBER(SEARCH(L$20,Sites!$AD$3:$AF$3)),
SUM(_xlfn._xlws.FILTER(_xlfn._xlws.FILTER(_xlpm.hours,_xlpm.states,0),_xlpm.years),0))</f>
        <v>289</v>
      </c>
      <c r="N1" s="53" cm="1">
        <f t="array" ref="N1">_xlfn.LET(_xlpm.hours,_xlfn._TRO_TRAILING(Sites!$AD:$AF),
_xlpm.states,ISNUMBER(SEARCH($N$19,_xlfn._TRO_TRAILING(Sites!$I:$I))),
_xlpm.years,ISNUMBER(SEARCH(N$20,Sites!$AD$3:$AF$3)),
SUM(_xlfn._xlws.FILTER(_xlfn._xlws.FILTER(_xlpm.hours,_xlpm.states,0),_xlpm.years),0))</f>
        <v>192</v>
      </c>
      <c r="O1" s="53" cm="1">
        <f t="array" ref="O1">_xlfn.LET(_xlpm.hours,_xlfn._TRO_TRAILING(Sites!$AD:$AF),
_xlpm.states,ISNUMBER(SEARCH($N$19,_xlfn._TRO_TRAILING(Sites!$I:$I))),
_xlpm.years,ISNUMBER(SEARCH(O$20,Sites!$AD$3:$AF$3)),
SUM(_xlfn._xlws.FILTER(_xlfn._xlws.FILTER(_xlpm.hours,_xlpm.states,0),_xlpm.years),0))</f>
        <v>296</v>
      </c>
      <c r="P1" s="53" cm="1">
        <f t="array" ref="P1">_xlfn.LET(_xlpm.hours,_xlfn._TRO_TRAILING(Sites!$AD:$AF),
_xlpm.states,ISNUMBER(SEARCH($N$19,_xlfn._TRO_TRAILING(Sites!$I:$I))),
_xlpm.years,ISNUMBER(SEARCH(P$20,Sites!$AD$3:$AF$3)),
SUM(_xlfn._xlws.FILTER(_xlfn._xlws.FILTER(_xlpm.hours,_xlpm.states,0),_xlpm.years),0))</f>
        <v>374</v>
      </c>
      <c r="R1" s="53" cm="1">
        <f t="array" ref="R1">_xlfn.LET(_xlpm.hours,_xlfn._TRO_TRAILING(Sites!$AD:$AF),
_xlpm.states,ISNUMBER(SEARCH($R$19,_xlfn._TRO_TRAILING(Sites!$I:$I))),
_xlpm.years,ISNUMBER(SEARCH(R$20,Sites!$AD$3:$AF$3)),
SUM(_xlfn._xlws.FILTER(_xlfn._xlws.FILTER(_xlpm.hours,_xlpm.states,0),_xlpm.years),0))</f>
        <v>57</v>
      </c>
      <c r="S1" s="53" cm="1">
        <f t="array" ref="S1">_xlfn.LET(_xlpm.hours,_xlfn._TRO_TRAILING(Sites!$AD:$AF),
_xlpm.states,ISNUMBER(SEARCH($R$19,_xlfn._TRO_TRAILING(Sites!$I:$I))),
_xlpm.years,ISNUMBER(SEARCH(S$20,Sites!$AD$3:$AF$3)),
SUM(_xlfn._xlws.FILTER(_xlfn._xlws.FILTER(_xlpm.hours,_xlpm.states,0),_xlpm.years),0))</f>
        <v>81</v>
      </c>
      <c r="T1" s="53" cm="1">
        <f t="array" ref="T1">_xlfn.LET(_xlpm.hours,_xlfn._TRO_TRAILING(Sites!$AD:$AF),
_xlpm.states,ISNUMBER(SEARCH($R$19,_xlfn._TRO_TRAILING(Sites!$I:$I))),
_xlpm.years,ISNUMBER(SEARCH(T$20,Sites!$AD$3:$AF$3)),
SUM(_xlfn._xlws.FILTER(_xlfn._xlws.FILTER(_xlpm.hours,_xlpm.states,0),_xlpm.years),0))</f>
        <v>85</v>
      </c>
      <c r="V1" s="128" cm="1">
        <f t="array" ref="V1">_xlfn.LET(_xlpm.hours,_xlfn._TRO_TRAILING(Sites!$AD:$AF),_xlpm.type,ISNUMBER(SEARCH($V$17,_xlfn._TRO_TRAILING(Sites!$H:$H))),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100</v>
      </c>
      <c r="W1" s="128" cm="1">
        <f t="array" ref="W1">_xlfn.LET(_xlpm.hours,_xlfn._TRO_TRAILING(Sites!$AD:$AF),_xlpm.type,ISNUMBER(SEARCH($V$17,_xlfn._TRO_TRAILING(Sites!$H:$H))),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100</v>
      </c>
      <c r="X1" s="128" cm="1">
        <f t="array" ref="X1">_xlfn.LET(_xlpm.hours,_xlfn._TRO_TRAILING(Sites!$AD:$AF),_xlpm.type,ISNUMBER(SEARCH($V$17,_xlfn._TRO_TRAILING(Sites!$H:$H))),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100</v>
      </c>
      <c r="Z1" s="128" cm="1">
        <f t="array" ref="Z1">_xlfn.LET(_xlpm.hours,_xlfn._TRO_TRAILING(Sites!$AD:$AF),_xlpm.type,ISNUMBER(SEARCH($V$17,_xlfn._TRO_TRAILING(Sites!$H:$H))),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129</v>
      </c>
      <c r="AA1" s="128" cm="1">
        <f t="array" ref="AA1">_xlfn.LET(_xlpm.hours,_xlfn._TRO_TRAILING(Sites!$AD:$AF),_xlpm.type,ISNUMBER(SEARCH($V$17,_xlfn._TRO_TRAILING(Sites!$H:$H))),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162</v>
      </c>
      <c r="AB1" s="128" cm="1">
        <f t="array" ref="AB1">_xlfn.LET(_xlpm.hours,_xlfn._TRO_TRAILING(Sites!$AD:$AF),_xlpm.type,ISNUMBER(SEARCH($V$17,_xlfn._TRO_TRAILING(Sites!$H:$H))),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195</v>
      </c>
      <c r="AD1" s="128" cm="1">
        <f t="array" ref="AD1">_xlfn.LET(_xlpm.hours,_xlfn._TRO_TRAILING(Sites!$AD:$AF),_xlpm.type,ISNUMBER(SEARCH($V$17,_xlfn._TRO_TRAILING(Sites!$H:$H))),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57</v>
      </c>
      <c r="AE1" s="128" cm="1">
        <f t="array" ref="AE1">_xlfn.LET(_xlpm.hours,_xlfn._TRO_TRAILING(Sites!$AD:$AF),_xlpm.type,ISNUMBER(SEARCH($V$17,_xlfn._TRO_TRAILING(Sites!$H:$H))),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81</v>
      </c>
      <c r="AF1" s="128" cm="1">
        <f t="array" ref="AF1">_xlfn.LET(_xlpm.hours,_xlfn._TRO_TRAILING(Sites!$AD:$AF),_xlpm.type,ISNUMBER(SEARCH($V$17,_xlfn._TRO_TRAILING(Sites!$H:$H))),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85</v>
      </c>
      <c r="AH1" s="128" cm="1">
        <f t="array" ref="AH1">_xlfn.LET(_xlpm.hours,_xlfn._TRO_TRAILING(Sites!$AD:$AF),_xlpm.type,ISNUMBER(SEARCH($AH$17,_xlfn._TRO_TRAILING(Sites!$H:$H))),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106</v>
      </c>
      <c r="AI1" s="128" cm="1">
        <f t="array" ref="AI1">_xlfn.LET(_xlpm.hours,_xlfn._TRO_TRAILING(Sites!$AD:$AF),_xlpm.type,ISNUMBER(SEARCH($AH$17,_xlfn._TRO_TRAILING(Sites!$H:$H))),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143</v>
      </c>
      <c r="AJ1" s="128" cm="1">
        <f t="array" ref="AJ1">_xlfn.LET(_xlpm.hours,_xlfn._TRO_TRAILING(Sites!$AD:$AF),_xlpm.type,ISNUMBER(SEARCH($AH$17,_xlfn._TRO_TRAILING(Sites!$H:$H))),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189</v>
      </c>
      <c r="AL1" s="128" cm="1">
        <f t="array" ref="AL1">_xlfn.LET(_xlpm.hours,_xlfn._TRO_TRAILING(Sites!$AD:$AF),_xlpm.type,ISNUMBER(SEARCH($AH$17,_xlfn._TRO_TRAILING(Sites!$H:$H))),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63</v>
      </c>
      <c r="AM1" s="128" cm="1">
        <f t="array" ref="AM1">_xlfn.LET(_xlpm.hours,_xlfn._TRO_TRAILING(Sites!$AD:$AF),_xlpm.type,ISNUMBER(SEARCH($AH$17,_xlfn._TRO_TRAILING(Sites!$H:$H))),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134</v>
      </c>
      <c r="AN1" s="128" cm="1">
        <f t="array" ref="AN1">_xlfn.LET(_xlpm.hours,_xlfn._TRO_TRAILING(Sites!$AD:$AF),_xlpm.type,ISNUMBER(SEARCH($AH$17,_xlfn._TRO_TRAILING(Sites!$H:$H))),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179</v>
      </c>
      <c r="AP1" s="128" cm="1">
        <f t="array" ref="AP1">_xlfn.LET(_xlpm.hours,_xlfn._TRO_TRAILING(Sites!$AD:$AF),_xlpm.type,ISNUMBER(SEARCH($AH$17,_xlfn._TRO_TRAILING(Sites!$H:$H))),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1" s="128" cm="1">
        <f t="array" ref="AQ1">_xlfn.LET(_xlpm.hours,_xlfn._TRO_TRAILING(Sites!$AD:$AF),_xlpm.type,ISNUMBER(SEARCH($AH$17,_xlfn._TRO_TRAILING(Sites!$H:$H))),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1" s="128" cm="1">
        <f t="array" ref="AR1">_xlfn.LET(_xlpm.hours,_xlfn._TRO_TRAILING(Sites!$AD:$AF),_xlpm.type,ISNUMBER(SEARCH($AH$17,_xlfn._TRO_TRAILING(Sites!$H:$H))),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2" spans="1:44" hidden="1" outlineLevel="1" x14ac:dyDescent="0.25">
      <c r="B2" s="1" t="s">
        <v>329</v>
      </c>
      <c r="C2" s="3"/>
      <c r="D2" s="3"/>
      <c r="E2" s="121"/>
      <c r="F2" s="121"/>
      <c r="G2" s="121"/>
      <c r="H2" s="121"/>
      <c r="J2" s="5"/>
      <c r="K2" s="5"/>
      <c r="L2" s="5"/>
      <c r="N2" s="5"/>
      <c r="O2" s="5"/>
      <c r="P2" s="5"/>
      <c r="R2" s="5"/>
      <c r="S2" s="5"/>
      <c r="T2" s="5"/>
    </row>
    <row r="3" spans="1:44" hidden="1" outlineLevel="1" x14ac:dyDescent="0.25">
      <c r="B3" s="39" t="s">
        <v>373</v>
      </c>
      <c r="E3" s="165"/>
      <c r="F3" s="165">
        <f>SUM('JV2'!J3,'JV2'!N3,'JV2'!R3)</f>
        <v>268.21999999999997</v>
      </c>
      <c r="G3" s="165">
        <f>SUM('JV2'!K3,'JV2'!O3,'JV2'!S3)</f>
        <v>394.25000000000011</v>
      </c>
      <c r="H3" s="165">
        <f>SUM('JV2'!L3,'JV2'!P3,'JV2'!T3)</f>
        <v>495.26</v>
      </c>
      <c r="I3" s="163"/>
      <c r="J3" s="164" cm="1">
        <f t="array" ref="J3">_xlfn.LET(_xlpm.hours,_xlfn._TRO_TRAILING(Sites!$N:$P),
_xlpm.states,ISNUMBER(SEARCH($J$19,_xlfn._TRO_TRAILING(Sites!$I:$I))),
_xlpm.years,ISNUMBER(SEARCH(J$20,Sites!$N$3:$P$3)),
SUM(_xlfn._xlws.FILTER(_xlfn._xlws.FILTER(_xlpm.hours,_xlpm.states,0),_xlpm.years),0))</f>
        <v>134.51</v>
      </c>
      <c r="K3" s="164" cm="1">
        <f t="array" ref="K3">_xlfn.LET(_xlpm.hours,_xlfn._TRO_TRAILING(Sites!$N:$P),
_xlpm.states,ISNUMBER(SEARCH($J$19,_xlfn._TRO_TRAILING(Sites!$I:$I))),
_xlpm.years,ISNUMBER(SEARCH(K$20,Sites!$N$3:$P$3)),
SUM(_xlfn._xlws.FILTER(_xlfn._xlws.FILTER(_xlpm.hours,_xlpm.states,0),_xlpm.years),0))</f>
        <v>169.34</v>
      </c>
      <c r="L3" s="164" cm="1">
        <f t="array" ref="L3">_xlfn.LET(_xlpm.hours,_xlfn._TRO_TRAILING(Sites!$N:$P),
_xlpm.states,ISNUMBER(SEARCH($J$19,_xlfn._TRO_TRAILING(Sites!$I:$I))),
_xlpm.years,ISNUMBER(SEARCH(L$20,Sites!$N$3:$P$3)),
SUM(_xlfn._xlws.FILTER(_xlfn._xlws.FILTER(_xlpm.hours,_xlpm.states,0),_xlpm.years),0))</f>
        <v>212.64000000000001</v>
      </c>
      <c r="M3" s="163"/>
      <c r="N3" s="164" cm="1">
        <f t="array" ref="N3">_xlfn.LET(_xlpm.hours,_xlfn._TRO_TRAILING(Sites!$N:$P),
_xlpm.states,ISNUMBER(SEARCH($N$19,_xlfn._TRO_TRAILING(Sites!$I:$I))),
_xlpm.years,ISNUMBER(SEARCH(N$20,Sites!$N$3:$P$3)),
SUM(_xlfn._xlws.FILTER(_xlfn._xlws.FILTER(_xlpm.hours,_xlpm.states,0),_xlpm.years),0))</f>
        <v>109.44</v>
      </c>
      <c r="O3" s="164" cm="1">
        <f t="array" ref="O3">_xlfn.LET(_xlpm.hours,_xlfn._TRO_TRAILING(Sites!$N:$P),
_xlpm.states,ISNUMBER(SEARCH($N$19,_xlfn._TRO_TRAILING(Sites!$I:$I))),
_xlpm.years,ISNUMBER(SEARCH(O$20,Sites!$N$3:$P$3)),
SUM(_xlfn._xlws.FILTER(_xlfn._xlws.FILTER(_xlpm.hours,_xlpm.states,0),_xlpm.years),0))</f>
        <v>189.82000000000005</v>
      </c>
      <c r="P3" s="164" cm="1">
        <f t="array" ref="P3">_xlfn.LET(_xlpm.hours,_xlfn._TRO_TRAILING(Sites!$N:$P),
_xlpm.states,ISNUMBER(SEARCH($N$19,_xlfn._TRO_TRAILING(Sites!$I:$I))),
_xlpm.years,ISNUMBER(SEARCH(P$20,Sites!$N$3:$P$3)),
SUM(_xlfn._xlws.FILTER(_xlfn._xlws.FILTER(_xlpm.hours,_xlpm.states,0),_xlpm.years),0))</f>
        <v>245.72000000000003</v>
      </c>
      <c r="Q3" s="163"/>
      <c r="R3" s="164" cm="1">
        <f t="array" ref="R3">_xlfn.LET(_xlpm.hours,_xlfn._TRO_TRAILING(Sites!$N:$P),
_xlpm.states,ISNUMBER(SEARCH($R$19,_xlfn._TRO_TRAILING(Sites!$I:$I))),
_xlpm.years,ISNUMBER(SEARCH(R$20,Sites!$N$3:$P$3)),
SUM(_xlfn._xlws.FILTER(_xlfn._xlws.FILTER(_xlpm.hours,_xlpm.states,0),_xlpm.years),0))</f>
        <v>24.27</v>
      </c>
      <c r="S3" s="164" cm="1">
        <f t="array" ref="S3">_xlfn.LET(_xlpm.hours,_xlfn._TRO_TRAILING(Sites!$N:$P),
_xlpm.states,ISNUMBER(SEARCH($R$19,_xlfn._TRO_TRAILING(Sites!$I:$I))),
_xlpm.years,ISNUMBER(SEARCH(S$20,Sites!$N$3:$P$3)),
SUM(_xlfn._xlws.FILTER(_xlfn._xlws.FILTER(_xlpm.hours,_xlpm.states,0),_xlpm.years),0))</f>
        <v>35.090000000000003</v>
      </c>
      <c r="T3" s="164" cm="1">
        <f t="array" ref="T3">_xlfn.LET(_xlpm.hours,_xlfn._TRO_TRAILING(Sites!$N:$P),
_xlpm.states,ISNUMBER(SEARCH($R$19,_xlfn._TRO_TRAILING(Sites!$I:$I))),
_xlpm.years,ISNUMBER(SEARCH(T$20,Sites!$N$3:$P$3)),
SUM(_xlfn._xlws.FILTER(_xlfn._xlws.FILTER(_xlpm.hours,_xlpm.states,0),_xlpm.years),0))</f>
        <v>36.9</v>
      </c>
      <c r="U3" s="163"/>
      <c r="V3" s="128" cm="1">
        <f t="array" ref="V3">_xlfn.LET(_xlpm.hours,_xlfn._TRO_TRAILING(Sites!$N:$P),_xlpm.type,ISNUMBER(SEARCH($V$17,_xlfn._TRO_TRAILING(Sites!$H:$H))),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42.209999999999994</v>
      </c>
      <c r="W3" s="128" cm="1">
        <f t="array" ref="W3">_xlfn.LET(_xlpm.hours,_xlfn._TRO_TRAILING(Sites!$N:$P),_xlpm.type,ISNUMBER(SEARCH($V$17,_xlfn._TRO_TRAILING(Sites!$H:$H))),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42.209999999999994</v>
      </c>
      <c r="X3" s="128" cm="1">
        <f t="array" ref="X3">_xlfn.LET(_xlpm.hours,_xlfn._TRO_TRAILING(Sites!$N:$P),_xlpm.type,ISNUMBER(SEARCH($V$17,_xlfn._TRO_TRAILING(Sites!$H:$H))),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42.209999999999994</v>
      </c>
      <c r="Y3" s="163"/>
      <c r="Z3" s="128" cm="1">
        <f t="array" ref="Z3">_xlfn.LET(_xlpm.hours,_xlfn._TRO_TRAILING(Sites!$N:$P),_xlpm.type,ISNUMBER(SEARCH($V$17,_xlfn._TRO_TRAILING(Sites!$H:$H))),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52.989999999999995</v>
      </c>
      <c r="AA3" s="128" cm="1">
        <f t="array" ref="AA3">_xlfn.LET(_xlpm.hours,_xlfn._TRO_TRAILING(Sites!$N:$P),_xlpm.type,ISNUMBER(SEARCH($V$17,_xlfn._TRO_TRAILING(Sites!$H:$H))),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66.540000000000006</v>
      </c>
      <c r="AB3" s="128" cm="1">
        <f t="array" ref="AB3">_xlfn.LET(_xlpm.hours,_xlfn._TRO_TRAILING(Sites!$N:$P),_xlpm.type,ISNUMBER(SEARCH($V$17,_xlfn._TRO_TRAILING(Sites!$H:$H))),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80.09</v>
      </c>
      <c r="AC3" s="163"/>
      <c r="AD3" s="128" cm="1">
        <f t="array" ref="AD3">_xlfn.LET(_xlpm.hours,_xlfn._TRO_TRAILING(Sites!$N:$P),_xlpm.type,ISNUMBER(SEARCH($V$17,_xlfn._TRO_TRAILING(Sites!$H:$H))),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24.27</v>
      </c>
      <c r="AE3" s="128" cm="1">
        <f t="array" ref="AE3">_xlfn.LET(_xlpm.hours,_xlfn._TRO_TRAILING(Sites!$N:$P),_xlpm.type,ISNUMBER(SEARCH($V$17,_xlfn._TRO_TRAILING(Sites!$H:$H))),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35.090000000000003</v>
      </c>
      <c r="AF3" s="128" cm="1">
        <f t="array" ref="AF3">_xlfn.LET(_xlpm.hours,_xlfn._TRO_TRAILING(Sites!$N:$P),_xlpm.type,ISNUMBER(SEARCH($V$17,_xlfn._TRO_TRAILING(Sites!$H:$H))),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36.9</v>
      </c>
      <c r="AG3" s="163"/>
      <c r="AH3" s="128" cm="1">
        <f t="array" ref="AH3">_xlfn.LET(_xlpm.hours,_xlfn._TRO_TRAILING(Sites!$N:$P),_xlpm.type,ISNUMBER(SEARCH($AH$17,_xlfn._TRO_TRAILING(Sites!$H:$H))),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92.3</v>
      </c>
      <c r="AI3" s="128" cm="1">
        <f t="array" ref="AI3">_xlfn.LET(_xlpm.hours,_xlfn._TRO_TRAILING(Sites!$N:$P),_xlpm.type,ISNUMBER(SEARCH($AH$17,_xlfn._TRO_TRAILING(Sites!$H:$H))),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127.13</v>
      </c>
      <c r="AJ3" s="128" cm="1">
        <f t="array" ref="AJ3">_xlfn.LET(_xlpm.hours,_xlfn._TRO_TRAILING(Sites!$N:$P),_xlpm.type,ISNUMBER(SEARCH($AH$17,_xlfn._TRO_TRAILING(Sites!$H:$H))),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170.43</v>
      </c>
      <c r="AK3" s="163"/>
      <c r="AL3" s="128" cm="1">
        <f t="array" ref="AL3">_xlfn.LET(_xlpm.hours,_xlfn._TRO_TRAILING(Sites!$N:$P),_xlpm.type,ISNUMBER(SEARCH($AH$17,_xlfn._TRO_TRAILING(Sites!$H:$H))),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56.45</v>
      </c>
      <c r="AM3" s="128" cm="1">
        <f t="array" ref="AM3">_xlfn.LET(_xlpm.hours,_xlfn._TRO_TRAILING(Sites!$N:$P),_xlpm.type,ISNUMBER(SEARCH($AH$17,_xlfn._TRO_TRAILING(Sites!$H:$H))),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123.28000000000002</v>
      </c>
      <c r="AN3" s="128" cm="1">
        <f t="array" ref="AN3">_xlfn.LET(_xlpm.hours,_xlfn._TRO_TRAILING(Sites!$N:$P),_xlpm.type,ISNUMBER(SEARCH($AH$17,_xlfn._TRO_TRAILING(Sites!$H:$H))),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165.63000000000002</v>
      </c>
      <c r="AO3" s="163"/>
      <c r="AP3" s="128" cm="1">
        <f t="array" ref="AP3">_xlfn.LET(_xlpm.hours,_xlfn._TRO_TRAILING(Sites!$N:$P),_xlpm.type,ISNUMBER(SEARCH($AH$17,_xlfn._TRO_TRAILING(Sites!$H:$H))),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3" s="128" cm="1">
        <f t="array" ref="AQ3">_xlfn.LET(_xlpm.hours,_xlfn._TRO_TRAILING(Sites!$N:$P),_xlpm.type,ISNUMBER(SEARCH($AH$17,_xlfn._TRO_TRAILING(Sites!$H:$H))),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3" s="128" cm="1">
        <f t="array" ref="AR3">_xlfn.LET(_xlpm.hours,_xlfn._TRO_TRAILING(Sites!$N:$P),_xlpm.type,ISNUMBER(SEARCH($AH$17,_xlfn._TRO_TRAILING(Sites!$H:$H))),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4" spans="1:44" hidden="1" outlineLevel="1" x14ac:dyDescent="0.25">
      <c r="B4" s="39" t="s">
        <v>374</v>
      </c>
      <c r="E4" s="165"/>
      <c r="F4" s="165">
        <f>SUM('JV2'!J4,'JV2'!N4,'JV2'!R4)</f>
        <v>51.08</v>
      </c>
      <c r="G4" s="165">
        <f>SUM('JV2'!K4,'JV2'!O4,'JV2'!S4)</f>
        <v>71.709999999999994</v>
      </c>
      <c r="H4" s="165">
        <f>SUM('JV2'!L4,'JV2'!P4,'JV2'!T4)</f>
        <v>88.08</v>
      </c>
      <c r="I4" s="163"/>
      <c r="J4" s="164" cm="1">
        <f t="array" ref="J4">_xlfn.LET(_xlpm.hours,_xlfn._TRO_TRAILING(Sites!$R:$T),
_xlpm.states,ISNUMBER(SEARCH($J$19,_xlfn._TRO_TRAILING(Sites!$I:$I))),
_xlpm.years,ISNUMBER(SEARCH(J$20,Sites!$R$3:$T$3)),
SUM(_xlfn._xlws.FILTER(_xlfn._xlws.FILTER(_xlpm.hours,_xlpm.states,0),_xlpm.years),0))</f>
        <v>25.15</v>
      </c>
      <c r="K4" s="164" cm="1">
        <f t="array" ref="K4">_xlfn.LET(_xlpm.hours,_xlfn._TRO_TRAILING(Sites!$R:$T),
_xlpm.states,ISNUMBER(SEARCH($J$19,_xlfn._TRO_TRAILING(Sites!$I:$I))),
_xlpm.years,ISNUMBER(SEARCH(K$20,Sites!$R$3:$T$3)),
SUM(_xlfn._xlws.FILTER(_xlfn._xlws.FILTER(_xlpm.hours,_xlpm.states,0),_xlpm.years),0))</f>
        <v>30.439999999999998</v>
      </c>
      <c r="L4" s="164" cm="1">
        <f t="array" ref="L4">_xlfn.LET(_xlpm.hours,_xlfn._TRO_TRAILING(Sites!$R:$T),
_xlpm.states,ISNUMBER(SEARCH($J$19,_xlfn._TRO_TRAILING(Sites!$I:$I))),
_xlpm.years,ISNUMBER(SEARCH(L$20,Sites!$R$3:$T$3)),
SUM(_xlfn._xlws.FILTER(_xlfn._xlws.FILTER(_xlpm.hours,_xlpm.states,0),_xlpm.years),0))</f>
        <v>37.019999999999996</v>
      </c>
      <c r="M4" s="163"/>
      <c r="N4" s="164" cm="1">
        <f t="array" ref="N4">_xlfn.LET(_xlpm.hours,_xlfn._TRO_TRAILING(Sites!$R:$T),
_xlpm.states,ISNUMBER(SEARCH($N$19,_xlfn._TRO_TRAILING(Sites!$I:$I))),
_xlpm.years,ISNUMBER(SEARCH(N$20,Sites!$R$3:$T$3)),
SUM(_xlfn._xlws.FILTER(_xlfn._xlws.FILTER(_xlpm.hours,_xlpm.states,0),_xlpm.years),0))</f>
        <v>20.74</v>
      </c>
      <c r="O4" s="164" cm="1">
        <f t="array" ref="O4">_xlfn.LET(_xlpm.hours,_xlfn._TRO_TRAILING(Sites!$R:$T),
_xlpm.states,ISNUMBER(SEARCH($N$19,_xlfn._TRO_TRAILING(Sites!$I:$I))),
_xlpm.years,ISNUMBER(SEARCH(O$20,Sites!$R$3:$T$3)),
SUM(_xlfn._xlws.FILTER(_xlfn._xlws.FILTER(_xlpm.hours,_xlpm.states,0),_xlpm.years),0))</f>
        <v>33.89</v>
      </c>
      <c r="P4" s="164" cm="1">
        <f t="array" ref="P4">_xlfn.LET(_xlpm.hours,_xlfn._TRO_TRAILING(Sites!$R:$T),
_xlpm.states,ISNUMBER(SEARCH($N$19,_xlfn._TRO_TRAILING(Sites!$I:$I))),
_xlpm.years,ISNUMBER(SEARCH(P$20,Sites!$R$3:$T$3)),
SUM(_xlfn._xlws.FILTER(_xlfn._xlws.FILTER(_xlpm.hours,_xlpm.states,0),_xlpm.years),0))</f>
        <v>43.31</v>
      </c>
      <c r="Q4" s="163"/>
      <c r="R4" s="164" cm="1">
        <f t="array" ref="R4">_xlfn.LET(_xlpm.hours,_xlfn._TRO_TRAILING(Sites!$R:$T),
_xlpm.states,ISNUMBER(SEARCH($R$19,_xlfn._TRO_TRAILING(Sites!$I:$I))),
_xlpm.years,ISNUMBER(SEARCH(R$20,Sites!$R$3:$T$3)),
SUM(_xlfn._xlws.FILTER(_xlfn._xlws.FILTER(_xlpm.hours,_xlpm.states,0),_xlpm.years),0))</f>
        <v>5.1899999999999995</v>
      </c>
      <c r="S4" s="164" cm="1">
        <f t="array" ref="S4">_xlfn.LET(_xlpm.hours,_xlfn._TRO_TRAILING(Sites!$R:$T),
_xlpm.states,ISNUMBER(SEARCH($R$19,_xlfn._TRO_TRAILING(Sites!$I:$I))),
_xlpm.years,ISNUMBER(SEARCH(S$20,Sites!$R$3:$T$3)),
SUM(_xlfn._xlws.FILTER(_xlfn._xlws.FILTER(_xlpm.hours,_xlpm.states,0),_xlpm.years),0))</f>
        <v>7.38</v>
      </c>
      <c r="T4" s="164" cm="1">
        <f t="array" ref="T4">_xlfn.LET(_xlpm.hours,_xlfn._TRO_TRAILING(Sites!$R:$T),
_xlpm.states,ISNUMBER(SEARCH($R$19,_xlfn._TRO_TRAILING(Sites!$I:$I))),
_xlpm.years,ISNUMBER(SEARCH(T$20,Sites!$R$3:$T$3)),
SUM(_xlfn._xlws.FILTER(_xlfn._xlws.FILTER(_xlpm.hours,_xlpm.states,0),_xlpm.years),0))</f>
        <v>7.75</v>
      </c>
      <c r="U4" s="163"/>
      <c r="V4" s="128" cm="1">
        <f t="array" ref="V4">_xlfn.LET(_xlpm.hours,_xlfn._TRO_TRAILING(Sites!$R:$T),_xlpm.type,ISNUMBER(SEARCH($V$17,_xlfn._TRO_TRAILING(Sites!$H:$H))),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10</v>
      </c>
      <c r="W4" s="128" cm="1">
        <f t="array" ref="W4">_xlfn.LET(_xlpm.hours,_xlfn._TRO_TRAILING(Sites!$R:$T),_xlpm.type,ISNUMBER(SEARCH($V$17,_xlfn._TRO_TRAILING(Sites!$H:$H))),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10</v>
      </c>
      <c r="X4" s="128" cm="1">
        <f t="array" ref="X4">_xlfn.LET(_xlpm.hours,_xlfn._TRO_TRAILING(Sites!$R:$T),_xlpm.type,ISNUMBER(SEARCH($V$17,_xlfn._TRO_TRAILING(Sites!$H:$H))),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10</v>
      </c>
      <c r="Y4" s="163"/>
      <c r="Z4" s="128" cm="1">
        <f t="array" ref="Z4">_xlfn.LET(_xlpm.hours,_xlfn._TRO_TRAILING(Sites!$R:$T),_xlpm.type,ISNUMBER(SEARCH($V$17,_xlfn._TRO_TRAILING(Sites!$H:$H))),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11.73</v>
      </c>
      <c r="AA4" s="128" cm="1">
        <f t="array" ref="AA4">_xlfn.LET(_xlpm.hours,_xlfn._TRO_TRAILING(Sites!$R:$T),_xlpm.type,ISNUMBER(SEARCH($V$17,_xlfn._TRO_TRAILING(Sites!$H:$H))),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14.73</v>
      </c>
      <c r="AB4" s="128" cm="1">
        <f t="array" ref="AB4">_xlfn.LET(_xlpm.hours,_xlfn._TRO_TRAILING(Sites!$R:$T),_xlpm.type,ISNUMBER(SEARCH($V$17,_xlfn._TRO_TRAILING(Sites!$H:$H))),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17.73</v>
      </c>
      <c r="AC4" s="163"/>
      <c r="AD4" s="128" cm="1">
        <f t="array" ref="AD4">_xlfn.LET(_xlpm.hours,_xlfn._TRO_TRAILING(Sites!$R:$T),_xlpm.type,ISNUMBER(SEARCH($V$17,_xlfn._TRO_TRAILING(Sites!$H:$H))),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5.1899999999999995</v>
      </c>
      <c r="AE4" s="128" cm="1">
        <f t="array" ref="AE4">_xlfn.LET(_xlpm.hours,_xlfn._TRO_TRAILING(Sites!$R:$T),_xlpm.type,ISNUMBER(SEARCH($V$17,_xlfn._TRO_TRAILING(Sites!$H:$H))),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7.38</v>
      </c>
      <c r="AF4" s="128" cm="1">
        <f t="array" ref="AF4">_xlfn.LET(_xlpm.hours,_xlfn._TRO_TRAILING(Sites!$R:$T),_xlpm.type,ISNUMBER(SEARCH($V$17,_xlfn._TRO_TRAILING(Sites!$H:$H))),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7.75</v>
      </c>
      <c r="AG4" s="163"/>
      <c r="AH4" s="128" cm="1">
        <f t="array" ref="AH4">_xlfn.LET(_xlpm.hours,_xlfn._TRO_TRAILING(Sites!$R:$T),_xlpm.type,ISNUMBER(SEARCH($AH$17,_xlfn._TRO_TRAILING(Sites!$H:$H))),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15.149999999999999</v>
      </c>
      <c r="AI4" s="128" cm="1">
        <f t="array" ref="AI4">_xlfn.LET(_xlpm.hours,_xlfn._TRO_TRAILING(Sites!$R:$T),_xlpm.type,ISNUMBER(SEARCH($AH$17,_xlfn._TRO_TRAILING(Sites!$H:$H))),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20.439999999999998</v>
      </c>
      <c r="AJ4" s="128" cm="1">
        <f t="array" ref="AJ4">_xlfn.LET(_xlpm.hours,_xlfn._TRO_TRAILING(Sites!$R:$T),_xlpm.type,ISNUMBER(SEARCH($AH$17,_xlfn._TRO_TRAILING(Sites!$H:$H))),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27.019999999999996</v>
      </c>
      <c r="AK4" s="163"/>
      <c r="AL4" s="128" cm="1">
        <f t="array" ref="AL4">_xlfn.LET(_xlpm.hours,_xlfn._TRO_TRAILING(Sites!$R:$T),_xlpm.type,ISNUMBER(SEARCH($AH$17,_xlfn._TRO_TRAILING(Sites!$H:$H))),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9.01</v>
      </c>
      <c r="AM4" s="128" cm="1">
        <f t="array" ref="AM4">_xlfn.LET(_xlpm.hours,_xlfn._TRO_TRAILING(Sites!$R:$T),_xlpm.type,ISNUMBER(SEARCH($AH$17,_xlfn._TRO_TRAILING(Sites!$H:$H))),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19.159999999999997</v>
      </c>
      <c r="AN4" s="128" cm="1">
        <f t="array" ref="AN4">_xlfn.LET(_xlpm.hours,_xlfn._TRO_TRAILING(Sites!$R:$T),_xlpm.type,ISNUMBER(SEARCH($AH$17,_xlfn._TRO_TRAILING(Sites!$H:$H))),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25.58</v>
      </c>
      <c r="AO4" s="163"/>
      <c r="AP4" s="128" cm="1">
        <f t="array" ref="AP4">_xlfn.LET(_xlpm.hours,_xlfn._TRO_TRAILING(Sites!$R:$T),_xlpm.type,ISNUMBER(SEARCH($AH$17,_xlfn._TRO_TRAILING(Sites!$H:$H))),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4" s="128" cm="1">
        <f t="array" ref="AQ4">_xlfn.LET(_xlpm.hours,_xlfn._TRO_TRAILING(Sites!$R:$T),_xlpm.type,ISNUMBER(SEARCH($AH$17,_xlfn._TRO_TRAILING(Sites!$H:$H))),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4" s="128" cm="1">
        <f t="array" ref="AR4">_xlfn.LET(_xlpm.hours,_xlfn._TRO_TRAILING(Sites!$R:$T),_xlpm.type,ISNUMBER(SEARCH($AH$17,_xlfn._TRO_TRAILING(Sites!$H:$H))),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5" spans="1:44" hidden="1" outlineLevel="1" x14ac:dyDescent="0.25">
      <c r="B5" s="39" t="s">
        <v>418</v>
      </c>
      <c r="E5" s="165"/>
      <c r="F5" s="165">
        <f>SUM('JV2'!J5,'JV2'!N5,'JV2'!R5)</f>
        <v>66</v>
      </c>
      <c r="G5" s="165">
        <f>SUM('JV2'!K5,'JV2'!O5,'JV2'!S5)</f>
        <v>90</v>
      </c>
      <c r="H5" s="165">
        <f>SUM('JV2'!L5,'JV2'!P5,'JV2'!T5)</f>
        <v>106</v>
      </c>
      <c r="I5" s="163"/>
      <c r="J5" s="164" cm="1">
        <f t="array" ref="J5">_xlfn.LET(_xlpm.hours,_xlfn._TRO_TRAILING(Sites!$Z:$AB),
_xlpm.states,ISNUMBER(SEARCH($J$19,_xlfn._TRO_TRAILING(Sites!$I:$I))),
_xlpm.years,ISNUMBER(SEARCH(J$20,Sites!$AD$3:$AF$3)),
SUM(_xlfn._xlws.FILTER(_xlfn._xlws.FILTER(_xlpm.hours,_xlpm.states,0),_xlpm.years),0))</f>
        <v>35</v>
      </c>
      <c r="K5" s="164" cm="1">
        <f t="array" ref="K5">_xlfn.LET(_xlpm.hours,_xlfn._TRO_TRAILING(Sites!$Z:$AB),
_xlpm.states,ISNUMBER(SEARCH($J$19,_xlfn._TRO_TRAILING(Sites!$I:$I))),
_xlpm.years,ISNUMBER(SEARCH(K$20,Sites!$AD$3:$AF$3)),
SUM(_xlfn._xlws.FILTER(_xlfn._xlws.FILTER(_xlpm.hours,_xlpm.states,0),_xlpm.years),0))</f>
        <v>42</v>
      </c>
      <c r="L5" s="164" cm="1">
        <f t="array" ref="L5">_xlfn.LET(_xlpm.hours,_xlfn._TRO_TRAILING(Sites!$Z:$AB),
_xlpm.states,ISNUMBER(SEARCH($J$19,_xlfn._TRO_TRAILING(Sites!$I:$I))),
_xlpm.years,ISNUMBER(SEARCH(L$20,Sites!$AD$3:$AF$3)),
SUM(_xlfn._xlws.FILTER(_xlfn._xlws.FILTER(_xlpm.hours,_xlpm.states,0),_xlpm.years),0))</f>
        <v>51</v>
      </c>
      <c r="M5" s="163"/>
      <c r="N5" s="164" cm="1">
        <f t="array" ref="N5">_xlfn.LET(_xlpm.hours,_xlfn._TRO_TRAILING(Sites!$Z:$AB),
_xlpm.states,ISNUMBER(SEARCH($N$19,_xlfn._TRO_TRAILING(Sites!$I:$I))),
_xlpm.years,ISNUMBER(SEARCH(N$20,Sites!$AD$3:$AF$3)),
SUM(_xlfn._xlws.FILTER(_xlfn._xlws.FILTER(_xlpm.hours,_xlpm.states,0),_xlpm.years),0))</f>
        <v>24</v>
      </c>
      <c r="O5" s="164" cm="1">
        <f t="array" ref="O5">_xlfn.LET(_xlpm.hours,_xlfn._TRO_TRAILING(Sites!$Z:$AB),
_xlpm.states,ISNUMBER(SEARCH($N$19,_xlfn._TRO_TRAILING(Sites!$I:$I))),
_xlpm.years,ISNUMBER(SEARCH(O$20,Sites!$AD$3:$AF$3)),
SUM(_xlfn._xlws.FILTER(_xlfn._xlws.FILTER(_xlpm.hours,_xlpm.states,0),_xlpm.years),0))</f>
        <v>38</v>
      </c>
      <c r="P5" s="164" cm="1">
        <f t="array" ref="P5">_xlfn.LET(_xlpm.hours,_xlfn._TRO_TRAILING(Sites!$Z:$AB),
_xlpm.states,ISNUMBER(SEARCH($N$19,_xlfn._TRO_TRAILING(Sites!$I:$I))),
_xlpm.years,ISNUMBER(SEARCH(P$20,Sites!$AD$3:$AF$3)),
SUM(_xlfn._xlws.FILTER(_xlfn._xlws.FILTER(_xlpm.hours,_xlpm.states,0),_xlpm.years),0))</f>
        <v>46</v>
      </c>
      <c r="Q5" s="163"/>
      <c r="R5" s="164" cm="1">
        <f t="array" ref="R5">_xlfn.LET(_xlpm.hours,_xlfn._TRO_TRAILING(Sites!$Z:$AB),
_xlpm.states,ISNUMBER(SEARCH($R$19,_xlfn._TRO_TRAILING(Sites!$I:$I))),
_xlpm.years,ISNUMBER(SEARCH(R$20,Sites!$AD$3:$AF$3)),
SUM(_xlfn._xlws.FILTER(_xlfn._xlws.FILTER(_xlpm.hours,_xlpm.states,0),_xlpm.years),0))</f>
        <v>7</v>
      </c>
      <c r="S5" s="164" cm="1">
        <f t="array" ref="S5">_xlfn.LET(_xlpm.hours,_xlfn._TRO_TRAILING(Sites!$Z:$AB),
_xlpm.states,ISNUMBER(SEARCH($R$19,_xlfn._TRO_TRAILING(Sites!$I:$I))),
_xlpm.years,ISNUMBER(SEARCH(S$20,Sites!$AD$3:$AF$3)),
SUM(_xlfn._xlws.FILTER(_xlfn._xlws.FILTER(_xlpm.hours,_xlpm.states,0),_xlpm.years),0))</f>
        <v>10</v>
      </c>
      <c r="T5" s="164" cm="1">
        <f t="array" ref="T5">_xlfn.LET(_xlpm.hours,_xlfn._TRO_TRAILING(Sites!$Z:$AB),
_xlpm.states,ISNUMBER(SEARCH($R$19,_xlfn._TRO_TRAILING(Sites!$I:$I))),
_xlpm.years,ISNUMBER(SEARCH(T$20,Sites!$AD$3:$AF$3)),
SUM(_xlfn._xlws.FILTER(_xlfn._xlws.FILTER(_xlpm.hours,_xlpm.states,0),_xlpm.years),0))</f>
        <v>9</v>
      </c>
      <c r="U5" s="163"/>
      <c r="V5" s="128" cm="1">
        <f t="array" ref="V5">_xlfn.LET(_xlpm.hours,_xlfn._TRO_TRAILING(Sites!$Z:$AB),_xlpm.type,ISNUMBER(SEARCH($V$17,_xlfn._TRO_TRAILING(Sites!$H:$H))),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10</v>
      </c>
      <c r="W5" s="128" cm="1">
        <f t="array" ref="W5">_xlfn.LET(_xlpm.hours,_xlfn._TRO_TRAILING(Sites!$Z:$AB),_xlpm.type,ISNUMBER(SEARCH($V$17,_xlfn._TRO_TRAILING(Sites!$H:$H))),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9</v>
      </c>
      <c r="X5" s="128" cm="1">
        <f t="array" ref="X5">_xlfn.LET(_xlpm.hours,_xlfn._TRO_TRAILING(Sites!$Z:$AB),_xlpm.type,ISNUMBER(SEARCH($V$17,_xlfn._TRO_TRAILING(Sites!$H:$H))),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9</v>
      </c>
      <c r="Y5" s="163"/>
      <c r="Z5" s="128" cm="1">
        <f t="array" ref="Z5">_xlfn.LET(_xlpm.hours,_xlfn._TRO_TRAILING(Sites!$Z:$AB),_xlpm.type,ISNUMBER(SEARCH($V$17,_xlfn._TRO_TRAILING(Sites!$H:$H))),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6</v>
      </c>
      <c r="AA5" s="128" cm="1">
        <f t="array" ref="AA5">_xlfn.LET(_xlpm.hours,_xlfn._TRO_TRAILING(Sites!$Z:$AB),_xlpm.type,ISNUMBER(SEARCH($V$17,_xlfn._TRO_TRAILING(Sites!$H:$H))),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7</v>
      </c>
      <c r="AB5" s="128" cm="1">
        <f t="array" ref="AB5">_xlfn.LET(_xlpm.hours,_xlfn._TRO_TRAILING(Sites!$Z:$AB),_xlpm.type,ISNUMBER(SEARCH($V$17,_xlfn._TRO_TRAILING(Sites!$H:$H))),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7</v>
      </c>
      <c r="AC5" s="163"/>
      <c r="AD5" s="128" cm="1">
        <f t="array" ref="AD5">_xlfn.LET(_xlpm.hours,_xlfn._TRO_TRAILING(Sites!$Z:$AB),_xlpm.type,ISNUMBER(SEARCH($V$17,_xlfn._TRO_TRAILING(Sites!$H:$H))),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7</v>
      </c>
      <c r="AE5" s="128" cm="1">
        <f t="array" ref="AE5">_xlfn.LET(_xlpm.hours,_xlfn._TRO_TRAILING(Sites!$Z:$AB),_xlpm.type,ISNUMBER(SEARCH($V$17,_xlfn._TRO_TRAILING(Sites!$H:$H))),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10</v>
      </c>
      <c r="AF5" s="128" cm="1">
        <f t="array" ref="AF5">_xlfn.LET(_xlpm.hours,_xlfn._TRO_TRAILING(Sites!$Z:$AB),_xlpm.type,ISNUMBER(SEARCH($V$17,_xlfn._TRO_TRAILING(Sites!$H:$H))),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9</v>
      </c>
      <c r="AG5" s="163"/>
      <c r="AH5" s="128" cm="1">
        <f t="array" ref="AH5">_xlfn.LET(_xlpm.hours,_xlfn._TRO_TRAILING(Sites!$Z:$AB),_xlpm.type,ISNUMBER(SEARCH($AH$17,_xlfn._TRO_TRAILING(Sites!$H:$H))),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25</v>
      </c>
      <c r="AI5" s="128" cm="1">
        <f t="array" ref="AI5">_xlfn.LET(_xlpm.hours,_xlfn._TRO_TRAILING(Sites!$Z:$AB),_xlpm.type,ISNUMBER(SEARCH($AH$17,_xlfn._TRO_TRAILING(Sites!$H:$H))),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33</v>
      </c>
      <c r="AJ5" s="128" cm="1">
        <f t="array" ref="AJ5">_xlfn.LET(_xlpm.hours,_xlfn._TRO_TRAILING(Sites!$Z:$AB),_xlpm.type,ISNUMBER(SEARCH($AH$17,_xlfn._TRO_TRAILING(Sites!$H:$H))),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42</v>
      </c>
      <c r="AK5" s="163"/>
      <c r="AL5" s="128" cm="1">
        <f t="array" ref="AL5">_xlfn.LET(_xlpm.hours,_xlfn._TRO_TRAILING(Sites!$Z:$AB),_xlpm.type,ISNUMBER(SEARCH($AH$17,_xlfn._TRO_TRAILING(Sites!$H:$H))),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18</v>
      </c>
      <c r="AM5" s="128" cm="1">
        <f t="array" ref="AM5">_xlfn.LET(_xlpm.hours,_xlfn._TRO_TRAILING(Sites!$Z:$AB),_xlpm.type,ISNUMBER(SEARCH($AH$17,_xlfn._TRO_TRAILING(Sites!$H:$H))),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31</v>
      </c>
      <c r="AN5" s="128" cm="1">
        <f t="array" ref="AN5">_xlfn.LET(_xlpm.hours,_xlfn._TRO_TRAILING(Sites!$Z:$AB),_xlpm.type,ISNUMBER(SEARCH($AH$17,_xlfn._TRO_TRAILING(Sites!$H:$H))),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39</v>
      </c>
      <c r="AO5" s="163"/>
      <c r="AP5" s="128" cm="1">
        <f t="array" ref="AP5">_xlfn.LET(_xlpm.hours,_xlfn._TRO_TRAILING(Sites!$Z:$AB),_xlpm.type,ISNUMBER(SEARCH($AH$17,_xlfn._TRO_TRAILING(Sites!$H:$H))),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5" s="128" cm="1">
        <f t="array" ref="AQ5">_xlfn.LET(_xlpm.hours,_xlfn._TRO_TRAILING(Sites!$Z:$AB),_xlpm.type,ISNUMBER(SEARCH($AH$17,_xlfn._TRO_TRAILING(Sites!$H:$H))),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5" s="128" cm="1">
        <f t="array" ref="AR5">_xlfn.LET(_xlpm.hours,_xlfn._TRO_TRAILING(Sites!$Z:$AB),_xlpm.type,ISNUMBER(SEARCH($AH$17,_xlfn._TRO_TRAILING(Sites!$H:$H))),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6" spans="1:44" hidden="1" outlineLevel="1" x14ac:dyDescent="0.25">
      <c r="B6" s="39" t="s">
        <v>314</v>
      </c>
      <c r="E6" s="128"/>
      <c r="F6" s="128"/>
      <c r="G6" s="128"/>
      <c r="H6" s="128"/>
      <c r="I6" s="163"/>
      <c r="J6" s="164"/>
      <c r="K6" s="164"/>
      <c r="L6" s="164"/>
      <c r="M6" s="163"/>
      <c r="N6" s="164"/>
      <c r="O6" s="164"/>
      <c r="P6" s="164"/>
      <c r="Q6" s="163"/>
      <c r="R6" s="164"/>
      <c r="S6" s="164"/>
      <c r="T6" s="164"/>
      <c r="U6" s="163"/>
      <c r="V6" s="128"/>
      <c r="W6" s="128"/>
      <c r="X6" s="128"/>
      <c r="Y6" s="163"/>
      <c r="Z6" s="128"/>
      <c r="AA6" s="128"/>
      <c r="AB6" s="128"/>
      <c r="AC6" s="163"/>
      <c r="AD6" s="128"/>
      <c r="AE6" s="128"/>
      <c r="AF6" s="128"/>
      <c r="AG6" s="163"/>
      <c r="AH6" s="128"/>
      <c r="AI6" s="128"/>
      <c r="AJ6" s="128"/>
      <c r="AK6" s="163"/>
      <c r="AL6" s="128"/>
      <c r="AM6" s="128"/>
      <c r="AN6" s="128"/>
      <c r="AO6" s="163"/>
      <c r="AP6" s="128"/>
      <c r="AQ6" s="128"/>
      <c r="AR6" s="128"/>
    </row>
    <row r="7" spans="1:44" collapsed="1" x14ac:dyDescent="0.25">
      <c r="B7" s="1" t="s">
        <v>330</v>
      </c>
      <c r="E7" s="163"/>
      <c r="F7" s="162">
        <f>SUM(F3:F6)</f>
        <v>385.29999999999995</v>
      </c>
      <c r="G7" s="162">
        <f>SUM(G3:G6)</f>
        <v>555.96</v>
      </c>
      <c r="H7" s="162">
        <f>SUM(H3:H6)</f>
        <v>689.34</v>
      </c>
      <c r="I7" s="163"/>
      <c r="J7" s="162">
        <f>SUM(J3:J6)</f>
        <v>194.66</v>
      </c>
      <c r="K7" s="162">
        <f>SUM(K3:K6)</f>
        <v>241.78</v>
      </c>
      <c r="L7" s="162">
        <f>SUM(L3:L6)</f>
        <v>300.66000000000003</v>
      </c>
      <c r="M7" s="163"/>
      <c r="N7" s="162">
        <f>SUM(N3:N6)</f>
        <v>154.18</v>
      </c>
      <c r="O7" s="162">
        <f>SUM(O3:O6)</f>
        <v>261.71000000000004</v>
      </c>
      <c r="P7" s="162">
        <f>SUM(P3:P6)</f>
        <v>335.03000000000003</v>
      </c>
      <c r="Q7" s="163"/>
      <c r="R7" s="162">
        <f>SUM(R3:R6)</f>
        <v>36.46</v>
      </c>
      <c r="S7" s="162">
        <f>SUM(S3:S6)</f>
        <v>52.470000000000006</v>
      </c>
      <c r="T7" s="162">
        <f>SUM(T3:T6)</f>
        <v>53.65</v>
      </c>
      <c r="U7" s="163"/>
      <c r="V7" s="133">
        <f>SUM(V3:V6)</f>
        <v>62.209999999999994</v>
      </c>
      <c r="W7" s="133">
        <f>SUM(W3:W6)</f>
        <v>61.209999999999994</v>
      </c>
      <c r="X7" s="133">
        <f>SUM(X3:X6)</f>
        <v>61.209999999999994</v>
      </c>
      <c r="Y7" s="163"/>
      <c r="Z7" s="133">
        <f>SUM(Z3:Z6)</f>
        <v>70.72</v>
      </c>
      <c r="AA7" s="133">
        <f>SUM(AA3:AA6)</f>
        <v>88.27000000000001</v>
      </c>
      <c r="AB7" s="133">
        <f>SUM(AB3:AB6)</f>
        <v>104.82000000000001</v>
      </c>
      <c r="AC7" s="163"/>
      <c r="AD7" s="133">
        <f>SUM(AD3:AD6)</f>
        <v>36.46</v>
      </c>
      <c r="AE7" s="133">
        <f>SUM(AE3:AE6)</f>
        <v>52.470000000000006</v>
      </c>
      <c r="AF7" s="133">
        <f>SUM(AF3:AF6)</f>
        <v>53.65</v>
      </c>
      <c r="AG7" s="163"/>
      <c r="AH7" s="133">
        <f>SUM(AH3:AH6)</f>
        <v>132.44999999999999</v>
      </c>
      <c r="AI7" s="133">
        <f>SUM(AI3:AI6)</f>
        <v>180.57</v>
      </c>
      <c r="AJ7" s="133">
        <f>SUM(AJ3:AJ6)</f>
        <v>239.45</v>
      </c>
      <c r="AK7" s="163"/>
      <c r="AL7" s="133">
        <f>SUM(AL3:AL6)</f>
        <v>83.460000000000008</v>
      </c>
      <c r="AM7" s="133">
        <f>SUM(AM3:AM6)</f>
        <v>173.44</v>
      </c>
      <c r="AN7" s="133">
        <f>SUM(AN3:AN6)</f>
        <v>230.21000000000004</v>
      </c>
      <c r="AO7" s="163"/>
      <c r="AP7" s="133">
        <f>SUM(AP3:AP6)</f>
        <v>0</v>
      </c>
      <c r="AQ7" s="133">
        <f>SUM(AQ3:AQ6)</f>
        <v>0</v>
      </c>
      <c r="AR7" s="133">
        <f>SUM(AR3:AR6)</f>
        <v>0</v>
      </c>
    </row>
    <row r="8" spans="1:44" x14ac:dyDescent="0.25">
      <c r="B8" s="1"/>
      <c r="E8" s="163"/>
      <c r="F8" s="162"/>
      <c r="G8" s="162"/>
      <c r="H8" s="162"/>
      <c r="I8" s="163"/>
      <c r="J8" s="162"/>
      <c r="K8" s="162"/>
      <c r="L8" s="162"/>
      <c r="M8" s="163"/>
      <c r="N8" s="162"/>
      <c r="O8" s="162"/>
      <c r="P8" s="162"/>
      <c r="Q8" s="163"/>
      <c r="R8" s="162"/>
      <c r="S8" s="162"/>
      <c r="T8" s="162"/>
      <c r="U8" s="163"/>
      <c r="V8" s="133"/>
      <c r="W8" s="133"/>
      <c r="X8" s="133"/>
      <c r="Y8" s="163"/>
      <c r="Z8" s="133"/>
      <c r="AA8" s="133"/>
      <c r="AB8" s="133"/>
      <c r="AC8" s="163"/>
      <c r="AD8" s="133"/>
      <c r="AE8" s="133"/>
      <c r="AF8" s="133"/>
      <c r="AG8" s="163"/>
      <c r="AH8" s="133"/>
      <c r="AI8" s="133"/>
      <c r="AJ8" s="133"/>
      <c r="AK8" s="163"/>
      <c r="AL8" s="133"/>
      <c r="AM8" s="133"/>
      <c r="AN8" s="133"/>
      <c r="AO8" s="163"/>
      <c r="AP8" s="133"/>
      <c r="AQ8" s="133"/>
      <c r="AR8" s="133"/>
    </row>
    <row r="9" spans="1:44" hidden="1" outlineLevel="1" x14ac:dyDescent="0.25">
      <c r="B9" s="96"/>
      <c r="E9" s="66"/>
    </row>
    <row r="10" spans="1:44" collapsed="1" x14ac:dyDescent="0.25">
      <c r="B10" s="39" t="s">
        <v>315</v>
      </c>
      <c r="E10" s="66"/>
      <c r="F10" s="66">
        <f>SUM('JV2'!J10,'JV2'!N10,'JV2'!R10)</f>
        <v>3</v>
      </c>
      <c r="G10" s="66">
        <f>SUM('JV2'!K10,'JV2'!O10,'JV2'!S10)</f>
        <v>2</v>
      </c>
      <c r="H10" s="66">
        <f>SUM('JV2'!L10,'JV2'!P10,'JV2'!T10)</f>
        <v>2</v>
      </c>
      <c r="I10" s="118"/>
      <c r="J10" s="118">
        <f>COUNTIFS(Sites!$B$4:$B$37,$J$19,Sites!$D$4:$D$37,J$20)</f>
        <v>1</v>
      </c>
      <c r="K10" s="118">
        <f>COUNTIFS(Sites!$B$4:$B$37,$J$19,Sites!$D$4:$D$37,K$20)</f>
        <v>1</v>
      </c>
      <c r="L10" s="118">
        <f>COUNTIFS(Sites!$B$4:$B$37,$J$19,Sites!$D$4:$D$37,L$20)</f>
        <v>1</v>
      </c>
      <c r="M10" s="118"/>
      <c r="N10" s="118">
        <f>COUNTIFS(Sites!$B$4:$B$37,$N$19,Sites!$D$4:$D$37,N$20)</f>
        <v>2</v>
      </c>
      <c r="O10" s="118">
        <f>COUNTIFS(Sites!$B$4:$B$37,$N$19,Sites!$D$4:$D$37,O$20)</f>
        <v>1</v>
      </c>
      <c r="P10" s="118">
        <f>COUNTIFS(Sites!$B$4:$B$37,$N$19,Sites!$D$4:$D$37,P$20)</f>
        <v>1</v>
      </c>
      <c r="Q10" s="118"/>
      <c r="R10" s="118">
        <f>COUNTIFS(Sites!$B$4:$B$37,$R$19,Sites!$D$4:$D$37,R$20)</f>
        <v>0</v>
      </c>
      <c r="S10" s="118">
        <f>COUNTIFS(Sites!$B$4:$B$37,$R$19,Sites!$D$4:$D$37,S$20)</f>
        <v>0</v>
      </c>
      <c r="T10" s="118">
        <f>COUNTIFS(Sites!$B$4:$B$37,$R$19,Sites!$D$4:$D$37,T$20)</f>
        <v>0</v>
      </c>
      <c r="U10" s="118"/>
      <c r="Y10" s="118"/>
      <c r="AC10" s="118"/>
      <c r="AG10" s="118"/>
      <c r="AK10" s="118"/>
      <c r="AO10" s="118"/>
    </row>
    <row r="11" spans="1:44" x14ac:dyDescent="0.25">
      <c r="B11" s="96"/>
    </row>
    <row r="12" spans="1:44" hidden="1" outlineLevel="1" x14ac:dyDescent="0.25">
      <c r="B12" s="96" t="s">
        <v>461</v>
      </c>
      <c r="E12" s="121"/>
      <c r="F12" s="121">
        <f>SUM('JV2'!J12,'JV2'!N12,'JV2'!R12)</f>
        <v>409.77011494252878</v>
      </c>
      <c r="G12" s="121">
        <f>SUM('JV2'!K12,'JV2'!O12,'JV2'!S12)</f>
        <v>574.7463054187192</v>
      </c>
      <c r="H12" s="121">
        <f>SUM('JV2'!L12,'JV2'!P12,'JV2'!T12)</f>
        <v>658.81773399014787</v>
      </c>
      <c r="J12" s="53" cm="1">
        <f t="array" ref="J12">_xlfn.LET(_xlpm.hours,_xlfn._TRO_TRAILING(Sites!$AH:$AJ),
_xlpm.states,ISNUMBER(SEARCH($J$19,_xlfn._TRO_TRAILING(Sites!$I:$I))),
_xlpm.years,ISNUMBER(SEARCH(J$20,Sites!$R$3:$T$3)),
SUM(_xlfn._xlws.FILTER(_xlfn._xlws.FILTER(_xlpm.hours,_xlpm.states,0),_xlpm.years),0))</f>
        <v>208.45238095238093</v>
      </c>
      <c r="K12" s="53" cm="1">
        <f t="array" ref="K12">_xlfn.LET(_xlpm.hours,_xlfn._TRO_TRAILING(Sites!$AH:$AJ),
_xlpm.states,ISNUMBER(SEARCH($J$19,_xlfn._TRO_TRAILING(Sites!$I:$I))),
_xlpm.years,ISNUMBER(SEARCH(K$20,Sites!$R$3:$T$3)),
SUM(_xlfn._xlws.FILTER(_xlfn._xlws.FILTER(_xlpm.hours,_xlpm.states,0),_xlpm.years),0))</f>
        <v>260.09523809523807</v>
      </c>
      <c r="L12" s="53" cm="1">
        <f t="array" ref="L12">_xlfn.LET(_xlpm.hours,_xlfn._TRO_TRAILING(Sites!$AH:$AJ),
_xlpm.states,ISNUMBER(SEARCH($J$19,_xlfn._TRO_TRAILING(Sites!$I:$I))),
_xlpm.years,ISNUMBER(SEARCH(L$20,Sites!$R$3:$T$3)),
SUM(_xlfn._xlws.FILTER(_xlfn._xlws.FILTER(_xlpm.hours,_xlpm.states,0),_xlpm.years),0))</f>
        <v>304.5</v>
      </c>
      <c r="N12" s="53" cm="1">
        <f t="array" ref="N12">_xlfn.LET(_xlpm.hours,_xlfn._TRO_TRAILING(Sites!$AH:$AJ),
_xlpm.states,ISNUMBER(SEARCH($N$19,_xlfn._TRO_TRAILING(Sites!$I:$I))),
_xlpm.years,ISNUMBER(SEARCH(N$20,Sites!$R$3:$T$3)),
SUM(_xlfn._xlws.FILTER(_xlfn._xlws.FILTER(_xlpm.hours,_xlpm.states,0),_xlpm.years),0))</f>
        <v>146.67487684729065</v>
      </c>
      <c r="O12" s="53" cm="1">
        <f t="array" ref="O12">_xlfn.LET(_xlpm.hours,_xlfn._TRO_TRAILING(Sites!$AH:$AJ),
_xlpm.states,ISNUMBER(SEARCH($N$19,_xlfn._TRO_TRAILING(Sites!$I:$I))),
_xlpm.years,ISNUMBER(SEARCH(O$20,Sites!$R$3:$T$3)),
SUM(_xlfn._xlws.FILTER(_xlfn._xlws.FILTER(_xlpm.hours,_xlpm.states,0),_xlpm.years),0))</f>
        <v>235.00821018062396</v>
      </c>
      <c r="P12" s="53" cm="1">
        <f t="array" ref="P12">_xlfn.LET(_xlpm.hours,_xlfn._TRO_TRAILING(Sites!$AH:$AJ),
_xlpm.states,ISNUMBER(SEARCH($N$19,_xlfn._TRO_TRAILING(Sites!$I:$I))),
_xlpm.years,ISNUMBER(SEARCH(P$20,Sites!$R$3:$T$3)),
SUM(_xlfn._xlws.FILTER(_xlfn._xlws.FILTER(_xlpm.hours,_xlpm.states,0),_xlpm.years),0))</f>
        <v>280.60344827586209</v>
      </c>
      <c r="R12" s="53" cm="1">
        <f t="array" ref="R12">_xlfn.LET(_xlpm.hours,_xlfn._TRO_TRAILING(Sites!$AH:$AJ),
_xlpm.states,ISNUMBER(SEARCH($R$19,_xlfn._TRO_TRAILING(Sites!$I:$I))),
_xlpm.years,ISNUMBER(SEARCH(R$20,Sites!$R$3:$T$3)),
SUM(_xlfn._xlws.FILTER(_xlfn._xlws.FILTER(_xlpm.hours,_xlpm.states,0),_xlpm.years),0))</f>
        <v>54.642857142857146</v>
      </c>
      <c r="S12" s="53" cm="1">
        <f t="array" ref="S12">_xlfn.LET(_xlpm.hours,_xlfn._TRO_TRAILING(Sites!$AH:$AJ),
_xlpm.states,ISNUMBER(SEARCH($R$19,_xlfn._TRO_TRAILING(Sites!$I:$I))),
_xlpm.years,ISNUMBER(SEARCH(S$20,Sites!$R$3:$T$3)),
SUM(_xlfn._xlws.FILTER(_xlfn._xlws.FILTER(_xlpm.hours,_xlpm.states,0),_xlpm.years),0))</f>
        <v>79.642857142857139</v>
      </c>
      <c r="T12" s="53" cm="1">
        <f t="array" ref="T12">_xlfn.LET(_xlpm.hours,_xlfn._TRO_TRAILING(Sites!$AH:$AJ),
_xlpm.states,ISNUMBER(SEARCH($R$19,_xlfn._TRO_TRAILING(Sites!$I:$I))),
_xlpm.years,ISNUMBER(SEARCH(T$20,Sites!$R$3:$T$3)),
SUM(_xlfn._xlws.FILTER(_xlfn._xlws.FILTER(_xlpm.hours,_xlpm.states,0),_xlpm.years),0))</f>
        <v>73.714285714285722</v>
      </c>
      <c r="V12" s="128" cm="1">
        <f t="array" ref="V12">_xlfn.LET(_xlpm.hours,_xlfn._TRO_TRAILING(Sites!$AH:$AJ),_xlpm.type,ISNUMBER(SEARCH($V$17,_xlfn._TRO_TRAILING(Sites!$H:$H))),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82.333333333333343</v>
      </c>
      <c r="W12" s="128" cm="1">
        <f t="array" ref="W12">_xlfn.LET(_xlpm.hours,_xlfn._TRO_TRAILING(Sites!$AH:$AJ),_xlpm.type,ISNUMBER(SEARCH($V$17,_xlfn._TRO_TRAILING(Sites!$H:$H))),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83</v>
      </c>
      <c r="X12" s="128" cm="1">
        <f t="array" ref="X12">_xlfn.LET(_xlpm.hours,_xlfn._TRO_TRAILING(Sites!$AH:$AJ),_xlpm.type,ISNUMBER(SEARCH($V$17,_xlfn._TRO_TRAILING(Sites!$H:$H))),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96</v>
      </c>
      <c r="Z12" s="128" cm="1">
        <f t="array" ref="Z12">_xlfn.LET(_xlpm.hours,_xlfn._TRO_TRAILING(Sites!$AH:$AJ),_xlpm.type,ISNUMBER(SEARCH($V$17,_xlfn._TRO_TRAILING(Sites!$H:$H))),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81.103448275862078</v>
      </c>
      <c r="AA12" s="128" cm="1">
        <f t="array" ref="AA12">_xlfn.LET(_xlpm.hours,_xlfn._TRO_TRAILING(Sites!$AH:$AJ),_xlpm.type,ISNUMBER(SEARCH($V$17,_xlfn._TRO_TRAILING(Sites!$H:$H))),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81.103448275862078</v>
      </c>
      <c r="AB12" s="128" cm="1">
        <f t="array" ref="AB12">_xlfn.LET(_xlpm.hours,_xlfn._TRO_TRAILING(Sites!$AH:$AJ),_xlpm.type,ISNUMBER(SEARCH($V$17,_xlfn._TRO_TRAILING(Sites!$H:$H))),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81.103448275862078</v>
      </c>
      <c r="AD12" s="128" cm="1">
        <f t="array" ref="AD12">_xlfn.LET(_xlpm.hours,_xlfn._TRO_TRAILING(Sites!$AH:$AJ),_xlpm.type,ISNUMBER(SEARCH($V$17,_xlfn._TRO_TRAILING(Sites!$H:$H))),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54.642857142857146</v>
      </c>
      <c r="AE12" s="128" cm="1">
        <f t="array" ref="AE12">_xlfn.LET(_xlpm.hours,_xlfn._TRO_TRAILING(Sites!$AH:$AJ),_xlpm.type,ISNUMBER(SEARCH($V$17,_xlfn._TRO_TRAILING(Sites!$H:$H))),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79.642857142857139</v>
      </c>
      <c r="AF12" s="128" cm="1">
        <f t="array" ref="AF12">_xlfn.LET(_xlpm.hours,_xlfn._TRO_TRAILING(Sites!$AH:$AJ),_xlpm.type,ISNUMBER(SEARCH($V$17,_xlfn._TRO_TRAILING(Sites!$H:$H))),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73.714285714285722</v>
      </c>
      <c r="AH12" s="128" cm="1">
        <f t="array" ref="AH12">_xlfn.LET(_xlpm.hours,_xlfn._TRO_TRAILING(Sites!$AH:$AJ),_xlpm.type,ISNUMBER(SEARCH($AH$17,_xlfn._TRO_TRAILING(Sites!$H:$H))),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126.11904761904762</v>
      </c>
      <c r="AI12" s="128" cm="1">
        <f t="array" ref="AI12">_xlfn.LET(_xlpm.hours,_xlfn._TRO_TRAILING(Sites!$AH:$AJ),_xlpm.type,ISNUMBER(SEARCH($AH$17,_xlfn._TRO_TRAILING(Sites!$H:$H))),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177.0952380952381</v>
      </c>
      <c r="AJ12" s="128" cm="1">
        <f t="array" ref="AJ12">_xlfn.LET(_xlpm.hours,_xlfn._TRO_TRAILING(Sites!$AH:$AJ),_xlpm.type,ISNUMBER(SEARCH($AH$17,_xlfn._TRO_TRAILING(Sites!$H:$H))),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208.5</v>
      </c>
      <c r="AL12" s="128" cm="1">
        <f t="array" ref="AL12">_xlfn.LET(_xlpm.hours,_xlfn._TRO_TRAILING(Sites!$AH:$AJ),_xlpm.type,ISNUMBER(SEARCH($AH$17,_xlfn._TRO_TRAILING(Sites!$H:$H))),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65.571428571428569</v>
      </c>
      <c r="AM12" s="128" cm="1">
        <f t="array" ref="AM12">_xlfn.LET(_xlpm.hours,_xlfn._TRO_TRAILING(Sites!$AH:$AJ),_xlpm.type,ISNUMBER(SEARCH($AH$17,_xlfn._TRO_TRAILING(Sites!$H:$H))),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153.90476190476193</v>
      </c>
      <c r="AN12" s="128" cm="1">
        <f t="array" ref="AN12">_xlfn.LET(_xlpm.hours,_xlfn._TRO_TRAILING(Sites!$AH:$AJ),_xlpm.type,ISNUMBER(SEARCH($AH$17,_xlfn._TRO_TRAILING(Sites!$H:$H))),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199.5</v>
      </c>
      <c r="AP12" s="128" cm="1">
        <f t="array" ref="AP12">_xlfn.LET(_xlpm.hours,_xlfn._TRO_TRAILING(Sites!$AH:$AJ),_xlpm.type,ISNUMBER(SEARCH($AH$17,_xlfn._TRO_TRAILING(Sites!$H:$H))),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12" s="128" cm="1">
        <f t="array" ref="AQ12">_xlfn.LET(_xlpm.hours,_xlfn._TRO_TRAILING(Sites!$AH:$AJ),_xlpm.type,ISNUMBER(SEARCH($AH$17,_xlfn._TRO_TRAILING(Sites!$H:$H))),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12" s="128" cm="1">
        <f t="array" ref="AR12">_xlfn.LET(_xlpm.hours,_xlfn._TRO_TRAILING(Sites!$AH:$AJ),_xlpm.type,ISNUMBER(SEARCH($AH$17,_xlfn._TRO_TRAILING(Sites!$H:$H))),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13" spans="1:44" hidden="1" outlineLevel="1" x14ac:dyDescent="0.25">
      <c r="B13" s="96" t="s">
        <v>462</v>
      </c>
      <c r="E13" s="121"/>
      <c r="F13" s="121">
        <f>SUM('JV2'!J13,'JV2'!N13,'JV2'!R13)</f>
        <v>290.83333333333331</v>
      </c>
      <c r="G13" s="121">
        <f>SUM('JV2'!K13,'JV2'!O13,'JV2'!S13)</f>
        <v>428</v>
      </c>
      <c r="H13" s="121">
        <f>SUM('JV2'!L13,'JV2'!P13,'JV2'!T13)</f>
        <v>545</v>
      </c>
      <c r="J13" s="53" cm="1">
        <f t="array" ref="J13">_xlfn.LET(_xlpm.hours,_xlfn._TRO_TRAILING(Sites!$AL:$AN),
_xlpm.states,ISNUMBER(SEARCH($J$19,_xlfn._TRO_TRAILING(Sites!$I:$I))),
_xlpm.years,ISNUMBER(SEARCH(J$20,Sites!$R$3:$T$3)),
SUM(_xlfn._xlws.FILTER(_xlfn._xlws.FILTER(_xlpm.hours,_xlpm.states,0),_xlpm.years),0))</f>
        <v>170.83333333333331</v>
      </c>
      <c r="K13" s="53" cm="1">
        <f t="array" ref="K13">_xlfn.LET(_xlpm.hours,_xlfn._TRO_TRAILING(Sites!$AL:$AN),
_xlpm.states,ISNUMBER(SEARCH($J$19,_xlfn._TRO_TRAILING(Sites!$I:$I))),
_xlpm.years,ISNUMBER(SEARCH(K$20,Sites!$R$3:$T$3)),
SUM(_xlfn._xlws.FILTER(_xlfn._xlws.FILTER(_xlpm.hours,_xlpm.states,0),_xlpm.years),0))</f>
        <v>228.66666666666666</v>
      </c>
      <c r="L13" s="53" cm="1">
        <f t="array" ref="L13">_xlfn.LET(_xlpm.hours,_xlfn._TRO_TRAILING(Sites!$AL:$AN),
_xlpm.states,ISNUMBER(SEARCH($J$19,_xlfn._TRO_TRAILING(Sites!$I:$I))),
_xlpm.years,ISNUMBER(SEARCH(L$20,Sites!$R$3:$T$3)),
SUM(_xlfn._xlws.FILTER(_xlfn._xlws.FILTER(_xlpm.hours,_xlpm.states,0),_xlpm.years),0))</f>
        <v>264.5</v>
      </c>
      <c r="N13" s="53" cm="1">
        <f t="array" ref="N13">_xlfn.LET(_xlpm.hours,_xlfn._TRO_TRAILING(Sites!$AL:$AN),
_xlpm.states,ISNUMBER(SEARCH($N$19,_xlfn._TRO_TRAILING(Sites!$I:$I))),
_xlpm.years,ISNUMBER(SEARCH(N$20,Sites!$R$3:$T$3)),
SUM(_xlfn._xlws.FILTER(_xlfn._xlws.FILTER(_xlpm.hours,_xlpm.states,0),_xlpm.years),0))</f>
        <v>85</v>
      </c>
      <c r="O13" s="53" cm="1">
        <f t="array" ref="O13">_xlfn.LET(_xlpm.hours,_xlfn._TRO_TRAILING(Sites!$AL:$AN),
_xlpm.states,ISNUMBER(SEARCH($N$19,_xlfn._TRO_TRAILING(Sites!$I:$I))),
_xlpm.years,ISNUMBER(SEARCH(O$20,Sites!$R$3:$T$3)),
SUM(_xlfn._xlws.FILTER(_xlfn._xlws.FILTER(_xlpm.hours,_xlpm.states,0),_xlpm.years),0))</f>
        <v>140.33333333333334</v>
      </c>
      <c r="P13" s="53" cm="1">
        <f t="array" ref="P13">_xlfn.LET(_xlpm.hours,_xlfn._TRO_TRAILING(Sites!$AL:$AN),
_xlpm.states,ISNUMBER(SEARCH($N$19,_xlfn._TRO_TRAILING(Sites!$I:$I))),
_xlpm.years,ISNUMBER(SEARCH(P$20,Sites!$R$3:$T$3)),
SUM(_xlfn._xlws.FILTER(_xlfn._xlws.FILTER(_xlpm.hours,_xlpm.states,0),_xlpm.years),0))</f>
        <v>208.5</v>
      </c>
      <c r="R13" s="53" cm="1">
        <f t="array" ref="R13">_xlfn.LET(_xlpm.hours,_xlfn._TRO_TRAILING(Sites!$AL:$AN),
_xlpm.states,ISNUMBER(SEARCH($R$19,_xlfn._TRO_TRAILING(Sites!$I:$I))),
_xlpm.years,ISNUMBER(SEARCH(R$20,Sites!$R$3:$T$3)),
SUM(_xlfn._xlws.FILTER(_xlfn._xlws.FILTER(_xlpm.hours,_xlpm.states,0),_xlpm.years),0))</f>
        <v>35</v>
      </c>
      <c r="S13" s="53" cm="1">
        <f t="array" ref="S13">_xlfn.LET(_xlpm.hours,_xlfn._TRO_TRAILING(Sites!$AL:$AN),
_xlpm.states,ISNUMBER(SEARCH($R$19,_xlfn._TRO_TRAILING(Sites!$I:$I))),
_xlpm.years,ISNUMBER(SEARCH(S$20,Sites!$R$3:$T$3)),
SUM(_xlfn._xlws.FILTER(_xlfn._xlws.FILTER(_xlpm.hours,_xlpm.states,0),_xlpm.years),0))</f>
        <v>59</v>
      </c>
      <c r="T13" s="53" cm="1">
        <f t="array" ref="T13">_xlfn.LET(_xlpm.hours,_xlfn._TRO_TRAILING(Sites!$AL:$AN),
_xlpm.states,ISNUMBER(SEARCH($R$19,_xlfn._TRO_TRAILING(Sites!$I:$I))),
_xlpm.years,ISNUMBER(SEARCH(T$20,Sites!$R$3:$T$3)),
SUM(_xlfn._xlws.FILTER(_xlfn._xlws.FILTER(_xlpm.hours,_xlpm.states,0),_xlpm.years),0))</f>
        <v>72</v>
      </c>
      <c r="V13" s="128" cm="1">
        <f t="array" ref="V13">_xlfn.LET(_xlpm.hours,_xlfn._TRO_TRAILING(Sites!$AL:$AN),_xlpm.type,ISNUMBER(SEARCH($V$17,_xlfn._TRO_TRAILING(Sites!$H:$H))),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59</v>
      </c>
      <c r="W13" s="128" cm="1">
        <f t="array" ref="W13">_xlfn.LET(_xlpm.hours,_xlfn._TRO_TRAILING(Sites!$AL:$AN),_xlpm.type,ISNUMBER(SEARCH($V$17,_xlfn._TRO_TRAILING(Sites!$H:$H))),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83</v>
      </c>
      <c r="X13" s="128" cm="1">
        <f t="array" ref="X13">_xlfn.LET(_xlpm.hours,_xlfn._TRO_TRAILING(Sites!$AL:$AN),_xlpm.type,ISNUMBER(SEARCH($V$17,_xlfn._TRO_TRAILING(Sites!$H:$H))),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96</v>
      </c>
      <c r="Z13" s="128" cm="1">
        <f t="array" ref="Z13">_xlfn.LET(_xlpm.hours,_xlfn._TRO_TRAILING(Sites!$AL:$AN),_xlpm.type,ISNUMBER(SEARCH($V$17,_xlfn._TRO_TRAILING(Sites!$H:$H))),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48</v>
      </c>
      <c r="AA13" s="128" cm="1">
        <f t="array" ref="AA13">_xlfn.LET(_xlpm.hours,_xlfn._TRO_TRAILING(Sites!$AL:$AN),_xlpm.type,ISNUMBER(SEARCH($V$17,_xlfn._TRO_TRAILING(Sites!$H:$H))),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48</v>
      </c>
      <c r="AB13" s="128" cm="1">
        <f t="array" ref="AB13">_xlfn.LET(_xlpm.hours,_xlfn._TRO_TRAILING(Sites!$AL:$AN),_xlpm.type,ISNUMBER(SEARCH($V$17,_xlfn._TRO_TRAILING(Sites!$H:$H))),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48</v>
      </c>
      <c r="AD13" s="128" cm="1">
        <f t="array" ref="AD13">_xlfn.LET(_xlpm.hours,_xlfn._TRO_TRAILING(Sites!$AL:$AN),_xlpm.type,ISNUMBER(SEARCH($V$17,_xlfn._TRO_TRAILING(Sites!$H:$H))),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35</v>
      </c>
      <c r="AE13" s="128" cm="1">
        <f t="array" ref="AE13">_xlfn.LET(_xlpm.hours,_xlfn._TRO_TRAILING(Sites!$AL:$AN),_xlpm.type,ISNUMBER(SEARCH($V$17,_xlfn._TRO_TRAILING(Sites!$H:$H))),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59</v>
      </c>
      <c r="AF13" s="128" cm="1">
        <f t="array" ref="AF13">_xlfn.LET(_xlpm.hours,_xlfn._TRO_TRAILING(Sites!$AL:$AN),_xlpm.type,ISNUMBER(SEARCH($V$17,_xlfn._TRO_TRAILING(Sites!$H:$H))),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72</v>
      </c>
      <c r="AH13" s="128" cm="1">
        <f t="array" ref="AH13">_xlfn.LET(_xlpm.hours,_xlfn._TRO_TRAILING(Sites!$AL:$AN),_xlpm.type,ISNUMBER(SEARCH($AH$17,_xlfn._TRO_TRAILING(Sites!$H:$H))),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111.83333333333333</v>
      </c>
      <c r="AI13" s="128" cm="1">
        <f t="array" ref="AI13">_xlfn.LET(_xlpm.hours,_xlfn._TRO_TRAILING(Sites!$AL:$AN),_xlpm.type,ISNUMBER(SEARCH($AH$17,_xlfn._TRO_TRAILING(Sites!$H:$H))),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145.66666666666666</v>
      </c>
      <c r="AJ13" s="128" cm="1">
        <f t="array" ref="AJ13">_xlfn.LET(_xlpm.hours,_xlfn._TRO_TRAILING(Sites!$AL:$AN),_xlpm.type,ISNUMBER(SEARCH($AH$17,_xlfn._TRO_TRAILING(Sites!$H:$H))),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168.5</v>
      </c>
      <c r="AL13" s="128" cm="1">
        <f t="array" ref="AL13">_xlfn.LET(_xlpm.hours,_xlfn._TRO_TRAILING(Sites!$AL:$AN),_xlpm.type,ISNUMBER(SEARCH($AH$17,_xlfn._TRO_TRAILING(Sites!$H:$H))),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37</v>
      </c>
      <c r="AM13" s="128" cm="1">
        <f t="array" ref="AM13">_xlfn.LET(_xlpm.hours,_xlfn._TRO_TRAILING(Sites!$AL:$AN),_xlpm.type,ISNUMBER(SEARCH($AH$17,_xlfn._TRO_TRAILING(Sites!$H:$H))),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92.333333333333343</v>
      </c>
      <c r="AN13" s="128" cm="1">
        <f t="array" ref="AN13">_xlfn.LET(_xlpm.hours,_xlfn._TRO_TRAILING(Sites!$AL:$AN),_xlpm.type,ISNUMBER(SEARCH($AH$17,_xlfn._TRO_TRAILING(Sites!$H:$H))),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160.5</v>
      </c>
      <c r="AP13" s="128" cm="1">
        <f t="array" ref="AP13">_xlfn.LET(_xlpm.hours,_xlfn._TRO_TRAILING(Sites!$AL:$AN),_xlpm.type,ISNUMBER(SEARCH($AH$17,_xlfn._TRO_TRAILING(Sites!$H:$H))),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13" s="128" cm="1">
        <f t="array" ref="AQ13">_xlfn.LET(_xlpm.hours,_xlfn._TRO_TRAILING(Sites!$AL:$AN),_xlpm.type,ISNUMBER(SEARCH($AH$17,_xlfn._TRO_TRAILING(Sites!$H:$H))),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13" s="128" cm="1">
        <f t="array" ref="AR13">_xlfn.LET(_xlpm.hours,_xlfn._TRO_TRAILING(Sites!$AL:$AN),_xlpm.type,ISNUMBER(SEARCH($AH$17,_xlfn._TRO_TRAILING(Sites!$H:$H))),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14" spans="1:44" hidden="1" outlineLevel="1" x14ac:dyDescent="0.25">
      <c r="B14" s="96" t="s">
        <v>463</v>
      </c>
      <c r="E14" s="121"/>
      <c r="F14" s="121" cm="1">
        <f t="array" ref="F14">_xlfn.LET(_xlpm.hours,_xlfn._TRO_TRAILING(Sites!$AP:$AR),
_xlpm.states,ISNUMBER(SEARCH($F$19,_xlfn._TRO_TRAILING(Sites!$G:$G))),
_xlpm.years,ISNUMBER(SEARCH(F$20,Sites!$R$3:$T$3)),
SUM(_xlfn._xlws.FILTER(_xlfn._xlws.FILTER(_xlpm.hours,_xlpm.states,0),_xlpm.years),0))</f>
        <v>745.83333333333326</v>
      </c>
      <c r="G14" s="121" cm="1">
        <f t="array" ref="G14">_xlfn.LET(_xlpm.hours,_xlfn._TRO_TRAILING(Sites!$AP:$AR),
_xlpm.states,ISNUMBER(SEARCH($F$19,_xlfn._TRO_TRAILING(Sites!$G:$G))),
_xlpm.years,ISNUMBER(SEARCH(G$20,Sites!$R$3:$T$3)),
SUM(_xlfn._xlws.FILTER(_xlfn._xlws.FILTER(_xlpm.hours,_xlpm.states,0),_xlpm.years),0))</f>
        <v>1048</v>
      </c>
      <c r="H14" s="121" cm="1">
        <f t="array" ref="H14">_xlfn.LET(_xlpm.hours,_xlfn._TRO_TRAILING(Sites!$AP:$AR),
_xlpm.states,ISNUMBER(SEARCH($F$19,_xlfn._TRO_TRAILING(Sites!$G:$G))),
_xlpm.years,ISNUMBER(SEARCH(H$20,Sites!$R$3:$T$3)),
SUM(_xlfn._xlws.FILTER(_xlfn._xlws.FILTER(_xlpm.hours,_xlpm.states,0),_xlpm.years),0))</f>
        <v>1293</v>
      </c>
      <c r="J14" s="53" cm="1">
        <f t="array" ref="J14">_xlfn.LET(_xlpm.hours,_xlfn._TRO_TRAILING(Sites!$AP:$AR),
_xlpm.states,ISNUMBER(SEARCH($J$19,_xlfn._TRO_TRAILING(Sites!$I:$I))),
_xlpm.years,ISNUMBER(SEARCH(J$20,Sites!$R$3:$T$3)),
SUM(_xlfn._xlws.FILTER(_xlfn._xlws.FILTER(_xlpm.hours,_xlpm.states,0),_xlpm.years),0))</f>
        <v>376.83333333333331</v>
      </c>
      <c r="K14" s="53" cm="1">
        <f t="array" ref="K14">_xlfn.LET(_xlpm.hours,_xlfn._TRO_TRAILING(Sites!$AP:$AR),
_xlpm.states,ISNUMBER(SEARCH($J$19,_xlfn._TRO_TRAILING(Sites!$I:$I))),
_xlpm.years,ISNUMBER(SEARCH(K$20,Sites!$R$3:$T$3)),
SUM(_xlfn._xlws.FILTER(_xlfn._xlws.FILTER(_xlpm.hours,_xlpm.states,0),_xlpm.years),0))</f>
        <v>471.66666666666669</v>
      </c>
      <c r="L14" s="53" cm="1">
        <f t="array" ref="L14">_xlfn.LET(_xlpm.hours,_xlfn._TRO_TRAILING(Sites!$AP:$AR),
_xlpm.states,ISNUMBER(SEARCH($J$19,_xlfn._TRO_TRAILING(Sites!$I:$I))),
_xlpm.years,ISNUMBER(SEARCH(L$20,Sites!$R$3:$T$3)),
SUM(_xlfn._xlws.FILTER(_xlfn._xlws.FILTER(_xlpm.hours,_xlpm.states,0),_xlpm.years),0))</f>
        <v>553.5</v>
      </c>
      <c r="N14" s="53" cm="1">
        <f t="array" ref="N14">_xlfn.LET(_xlpm.hours,_xlfn._TRO_TRAILING(Sites!$AP:$AR),
_xlpm.states,ISNUMBER(SEARCH($N$19,_xlfn._TRO_TRAILING(Sites!$I:$I))),
_xlpm.years,ISNUMBER(SEARCH(N$20,Sites!$R$3:$T$3)),
SUM(_xlfn._xlws.FILTER(_xlfn._xlws.FILTER(_xlpm.hours,_xlpm.states,0),_xlpm.years),0))</f>
        <v>277</v>
      </c>
      <c r="O14" s="53" cm="1">
        <f t="array" ref="O14">_xlfn.LET(_xlpm.hours,_xlfn._TRO_TRAILING(Sites!$AP:$AR),
_xlpm.states,ISNUMBER(SEARCH($N$19,_xlfn._TRO_TRAILING(Sites!$I:$I))),
_xlpm.years,ISNUMBER(SEARCH(O$20,Sites!$R$3:$T$3)),
SUM(_xlfn._xlws.FILTER(_xlfn._xlws.FILTER(_xlpm.hours,_xlpm.states,0),_xlpm.years),0))</f>
        <v>436.33333333333337</v>
      </c>
      <c r="P14" s="53" cm="1">
        <f t="array" ref="P14">_xlfn.LET(_xlpm.hours,_xlfn._TRO_TRAILING(Sites!$AP:$AR),
_xlpm.states,ISNUMBER(SEARCH($N$19,_xlfn._TRO_TRAILING(Sites!$I:$I))),
_xlpm.years,ISNUMBER(SEARCH(P$20,Sites!$R$3:$T$3)),
SUM(_xlfn._xlws.FILTER(_xlfn._xlws.FILTER(_xlpm.hours,_xlpm.states,0),_xlpm.years),0))</f>
        <v>582.5</v>
      </c>
      <c r="R14" s="53" cm="1">
        <f t="array" ref="R14">_xlfn.LET(_xlpm.hours,_xlfn._TRO_TRAILING(Sites!$AP:$AR),
_xlpm.states,ISNUMBER(SEARCH($R$19,_xlfn._TRO_TRAILING(Sites!$I:$I))),
_xlpm.years,ISNUMBER(SEARCH(R$20,Sites!$R$3:$T$3)),
SUM(_xlfn._xlws.FILTER(_xlfn._xlws.FILTER(_xlpm.hours,_xlpm.states,0),_xlpm.years),0))</f>
        <v>92</v>
      </c>
      <c r="S14" s="53" cm="1">
        <f t="array" ref="S14">_xlfn.LET(_xlpm.hours,_xlfn._TRO_TRAILING(Sites!$AP:$AR),
_xlpm.states,ISNUMBER(SEARCH($R$19,_xlfn._TRO_TRAILING(Sites!$I:$I))),
_xlpm.years,ISNUMBER(SEARCH(S$20,Sites!$R$3:$T$3)),
SUM(_xlfn._xlws.FILTER(_xlfn._xlws.FILTER(_xlpm.hours,_xlpm.states,0),_xlpm.years),0))</f>
        <v>140</v>
      </c>
      <c r="T14" s="53" cm="1">
        <f t="array" ref="T14">_xlfn.LET(_xlpm.hours,_xlfn._TRO_TRAILING(Sites!$AP:$AR),
_xlpm.states,ISNUMBER(SEARCH($R$19,_xlfn._TRO_TRAILING(Sites!$I:$I))),
_xlpm.years,ISNUMBER(SEARCH(T$20,Sites!$R$3:$T$3)),
SUM(_xlfn._xlws.FILTER(_xlfn._xlws.FILTER(_xlpm.hours,_xlpm.states,0),_xlpm.years),0))</f>
        <v>157</v>
      </c>
      <c r="V14" s="128" cm="1">
        <f t="array" ref="V14">_xlfn.LET(_xlpm.hours,_xlfn._TRO_TRAILING(Sites!$AP:$AR),_xlpm.type,ISNUMBER(SEARCH($V$17,_xlfn._TRO_TRAILING(Sites!$H:$H))),
_xlpm.states,ISNUMBER(SEARCH($V$19,_xlfn._TRO_TRAILING(Sites!$I:$I))),
_xlpm.years,ISNUMBER(SEARCH(V$20,Sites!$AH$3:$AJ$3)),
SUM(_xlfn._xlws.FILTER(_xlfn._xlws.FILTER(_xlpm.hours,_xlpm.states*_xlpm.type,0),_xlpm.years),0))</f>
        <v>159</v>
      </c>
      <c r="W14" s="128" cm="1">
        <f t="array" ref="W14">_xlfn.LET(_xlpm.hours,_xlfn._TRO_TRAILING(Sites!$AP:$AR),_xlpm.type,ISNUMBER(SEARCH($V$17,_xlfn._TRO_TRAILING(Sites!$H:$H))),
_xlpm.states,ISNUMBER(SEARCH($V$19,_xlfn._TRO_TRAILING(Sites!$I:$I))),
_xlpm.years,ISNUMBER(SEARCH(W$20,Sites!$AH$3:$AJ$3)),
SUM(_xlfn._xlws.FILTER(_xlfn._xlws.FILTER(_xlpm.hours,_xlpm.states*_xlpm.type,0),_xlpm.years),0))</f>
        <v>183</v>
      </c>
      <c r="X14" s="128" cm="1">
        <f t="array" ref="X14">_xlfn.LET(_xlpm.hours,_xlfn._TRO_TRAILING(Sites!$AP:$AR),_xlpm.type,ISNUMBER(SEARCH($V$17,_xlfn._TRO_TRAILING(Sites!$H:$H))),
_xlpm.states,ISNUMBER(SEARCH($V$19,_xlfn._TRO_TRAILING(Sites!$I:$I))),
_xlpm.years,ISNUMBER(SEARCH(X$20,Sites!$AH$3:$AJ$3)),
SUM(_xlfn._xlws.FILTER(_xlfn._xlws.FILTER(_xlpm.hours,_xlpm.states*_xlpm.type,0),_xlpm.years),0))</f>
        <v>196</v>
      </c>
      <c r="Z14" s="128" cm="1">
        <f t="array" ref="Z14">_xlfn.LET(_xlpm.hours,_xlfn._TRO_TRAILING(Sites!$AP:$AR),_xlpm.type,ISNUMBER(SEARCH($V$17,_xlfn._TRO_TRAILING(Sites!$H:$H))),
_xlpm.states,ISNUMBER(SEARCH($Z$19,_xlfn._TRO_TRAILING(Sites!$I:$I))),
_xlpm.years,ISNUMBER(SEARCH(Z$20,Sites!$AH$3:$AJ$3)),
SUM(_xlfn._xlws.FILTER(_xlfn._xlws.FILTER(_xlpm.hours,_xlpm.states*_xlpm.type,0),_xlpm.years),0))</f>
        <v>177</v>
      </c>
      <c r="AA14" s="128" cm="1">
        <f t="array" ref="AA14">_xlfn.LET(_xlpm.hours,_xlfn._TRO_TRAILING(Sites!$AP:$AR),_xlpm.type,ISNUMBER(SEARCH($V$17,_xlfn._TRO_TRAILING(Sites!$H:$H))),
_xlpm.states,ISNUMBER(SEARCH($Z$19,_xlfn._TRO_TRAILING(Sites!$I:$I))),
_xlpm.years,ISNUMBER(SEARCH(AA$20,Sites!$AH$3:$AJ$3)),
SUM(_xlfn._xlws.FILTER(_xlfn._xlws.FILTER(_xlpm.hours,_xlpm.states*_xlpm.type,0),_xlpm.years),0))</f>
        <v>210</v>
      </c>
      <c r="AB14" s="128" cm="1">
        <f t="array" ref="AB14">_xlfn.LET(_xlpm.hours,_xlfn._TRO_TRAILING(Sites!$AP:$AR),_xlpm.type,ISNUMBER(SEARCH($V$17,_xlfn._TRO_TRAILING(Sites!$H:$H))),
_xlpm.states,ISNUMBER(SEARCH($Z$19,_xlfn._TRO_TRAILING(Sites!$I:$I))),
_xlpm.years,ISNUMBER(SEARCH(AB$20,Sites!$AH$3:$AJ$3)),
SUM(_xlfn._xlws.FILTER(_xlfn._xlws.FILTER(_xlpm.hours,_xlpm.states*_xlpm.type,0),_xlpm.years),0))</f>
        <v>243</v>
      </c>
      <c r="AD14" s="128" cm="1">
        <f t="array" ref="AD14">_xlfn.LET(_xlpm.hours,_xlfn._TRO_TRAILING(Sites!$AP:$AR),_xlpm.type,ISNUMBER(SEARCH($V$17,_xlfn._TRO_TRAILING(Sites!$H:$H))),
_xlpm.states,ISNUMBER(SEARCH($AD$19,_xlfn._TRO_TRAILING(Sites!$I:$I))),
_xlpm.years,ISNUMBER(SEARCH(AD$20,Sites!$AH$3:$AJ$3)),
SUM(_xlfn._xlws.FILTER(_xlfn._xlws.FILTER(_xlpm.hours,_xlpm.states*_xlpm.type,0),_xlpm.years),0))</f>
        <v>92</v>
      </c>
      <c r="AE14" s="128" cm="1">
        <f t="array" ref="AE14">_xlfn.LET(_xlpm.hours,_xlfn._TRO_TRAILING(Sites!$AP:$AR),_xlpm.type,ISNUMBER(SEARCH($V$17,_xlfn._TRO_TRAILING(Sites!$H:$H))),
_xlpm.states,ISNUMBER(SEARCH($AD$19,_xlfn._TRO_TRAILING(Sites!$I:$I))),
_xlpm.years,ISNUMBER(SEARCH(AE$20,Sites!$AH$3:$AJ$3)),
SUM(_xlfn._xlws.FILTER(_xlfn._xlws.FILTER(_xlpm.hours,_xlpm.states*_xlpm.type,0),_xlpm.years),0))</f>
        <v>140</v>
      </c>
      <c r="AF14" s="128" cm="1">
        <f t="array" ref="AF14">_xlfn.LET(_xlpm.hours,_xlfn._TRO_TRAILING(Sites!$AP:$AR),_xlpm.type,ISNUMBER(SEARCH($V$17,_xlfn._TRO_TRAILING(Sites!$H:$H))),
_xlpm.states,ISNUMBER(SEARCH($AD$19,_xlfn._TRO_TRAILING(Sites!$I:$I))),
_xlpm.years,ISNUMBER(SEARCH(AF$20,Sites!$AH$3:$AJ$3)),
SUM(_xlfn._xlws.FILTER(_xlfn._xlws.FILTER(_xlpm.hours,_xlpm.states*_xlpm.type,0),_xlpm.years),0))</f>
        <v>157</v>
      </c>
      <c r="AH14" s="128" cm="1">
        <f t="array" ref="AH14">_xlfn.LET(_xlpm.hours,_xlfn._TRO_TRAILING(Sites!$AP:$AR),_xlpm.type,ISNUMBER(SEARCH($AH$17,_xlfn._TRO_TRAILING(Sites!$H:$H))),
_xlpm.states,ISNUMBER(SEARCH($AH$19,_xlfn._TRO_TRAILING(Sites!$I:$I))),
_xlpm.years,ISNUMBER(SEARCH(AH$20,Sites!$AH$3:$AJ$3)),
SUM(_xlfn._xlws.FILTER(_xlfn._xlws.FILTER(_xlpm.hours,_xlpm.states*_xlpm.type,0),_xlpm.years),0))</f>
        <v>217.83333333333331</v>
      </c>
      <c r="AI14" s="128" cm="1">
        <f t="array" ref="AI14">_xlfn.LET(_xlpm.hours,_xlfn._TRO_TRAILING(Sites!$AP:$AR),_xlpm.type,ISNUMBER(SEARCH($AH$17,_xlfn._TRO_TRAILING(Sites!$H:$H))),
_xlpm.states,ISNUMBER(SEARCH($AH$19,_xlfn._TRO_TRAILING(Sites!$I:$I))),
_xlpm.years,ISNUMBER(SEARCH(AI$20,Sites!$AH$3:$AJ$3)),
SUM(_xlfn._xlws.FILTER(_xlfn._xlws.FILTER(_xlpm.hours,_xlpm.states*_xlpm.type,0),_xlpm.years),0))</f>
        <v>288.66666666666669</v>
      </c>
      <c r="AJ14" s="128" cm="1">
        <f t="array" ref="AJ14">_xlfn.LET(_xlpm.hours,_xlfn._TRO_TRAILING(Sites!$AP:$AR),_xlpm.type,ISNUMBER(SEARCH($AH$17,_xlfn._TRO_TRAILING(Sites!$H:$H))),
_xlpm.states,ISNUMBER(SEARCH($AH$19,_xlfn._TRO_TRAILING(Sites!$I:$I))),
_xlpm.years,ISNUMBER(SEARCH(AJ$20,Sites!$AH$3:$AJ$3)),
SUM(_xlfn._xlws.FILTER(_xlfn._xlws.FILTER(_xlpm.hours,_xlpm.states*_xlpm.type,0),_xlpm.years),0))</f>
        <v>357.5</v>
      </c>
      <c r="AL14" s="128" cm="1">
        <f t="array" ref="AL14">_xlfn.LET(_xlpm.hours,_xlfn._TRO_TRAILING(Sites!$AP:$AR),_xlpm.type,ISNUMBER(SEARCH($AH$17,_xlfn._TRO_TRAILING(Sites!$H:$H))),
_xlpm.states,ISNUMBER(SEARCH($AL$19,_xlfn._TRO_TRAILING(Sites!$I:$I))),
_xlpm.years,ISNUMBER(SEARCH(AL$20,Sites!$AH$3:$AJ$3)),
SUM(_xlfn._xlws.FILTER(_xlfn._xlws.FILTER(_xlpm.hours,_xlpm.states*_xlpm.type,0),_xlpm.years),0))</f>
        <v>100</v>
      </c>
      <c r="AM14" s="128" cm="1">
        <f t="array" ref="AM14">_xlfn.LET(_xlpm.hours,_xlfn._TRO_TRAILING(Sites!$AP:$AR),_xlpm.type,ISNUMBER(SEARCH($AH$17,_xlfn._TRO_TRAILING(Sites!$H:$H))),
_xlpm.states,ISNUMBER(SEARCH($AL$19,_xlfn._TRO_TRAILING(Sites!$I:$I))),
_xlpm.years,ISNUMBER(SEARCH(AM$20,Sites!$AH$3:$AJ$3)),
SUM(_xlfn._xlws.FILTER(_xlfn._xlws.FILTER(_xlpm.hours,_xlpm.states*_xlpm.type,0),_xlpm.years),0))</f>
        <v>226.33333333333334</v>
      </c>
      <c r="AN14" s="128" cm="1">
        <f t="array" ref="AN14">_xlfn.LET(_xlpm.hours,_xlfn._TRO_TRAILING(Sites!$AP:$AR),_xlpm.type,ISNUMBER(SEARCH($AH$17,_xlfn._TRO_TRAILING(Sites!$H:$H))),
_xlpm.states,ISNUMBER(SEARCH($AL$19,_xlfn._TRO_TRAILING(Sites!$I:$I))),
_xlpm.years,ISNUMBER(SEARCH(AN$20,Sites!$AH$3:$AJ$3)),
SUM(_xlfn._xlws.FILTER(_xlfn._xlws.FILTER(_xlpm.hours,_xlpm.states*_xlpm.type,0),_xlpm.years),0))</f>
        <v>339.5</v>
      </c>
      <c r="AP14" s="128" cm="1">
        <f t="array" ref="AP14">_xlfn.LET(_xlpm.hours,_xlfn._TRO_TRAILING(Sites!$AP:$AR),_xlpm.type,ISNUMBER(SEARCH($AH$17,_xlfn._TRO_TRAILING(Sites!$H:$H))),
_xlpm.states,ISNUMBER(SEARCH($AP$19,_xlfn._TRO_TRAILING(Sites!$I:$I))),
_xlpm.years,ISNUMBER(SEARCH(AP$20,Sites!$AH$3:$AJ$3)),
IFERROR(SUM(_xlfn._xlws.FILTER(_xlfn._xlws.FILTER(_xlpm.hours,_xlpm.states*_xlpm.type,0),_xlpm.years),0),0))</f>
        <v>0</v>
      </c>
      <c r="AQ14" s="128" cm="1">
        <f t="array" ref="AQ14">_xlfn.LET(_xlpm.hours,_xlfn._TRO_TRAILING(Sites!$AP:$AR),_xlpm.type,ISNUMBER(SEARCH($AH$17,_xlfn._TRO_TRAILING(Sites!$H:$H))),
_xlpm.states,ISNUMBER(SEARCH($AP$19,_xlfn._TRO_TRAILING(Sites!$I:$I))),
_xlpm.years,ISNUMBER(SEARCH(AQ$20,Sites!$AH$3:$AJ$3)),
IFERROR(SUM(_xlfn._xlws.FILTER(_xlfn._xlws.FILTER(_xlpm.hours,_xlpm.states*_xlpm.type,0),_xlpm.years),0),0))</f>
        <v>0</v>
      </c>
      <c r="AR14" s="128" cm="1">
        <f t="array" ref="AR14">_xlfn.LET(_xlpm.hours,_xlfn._TRO_TRAILING(Sites!$AP:$AR),_xlpm.type,ISNUMBER(SEARCH($AH$17,_xlfn._TRO_TRAILING(Sites!$H:$H))),
_xlpm.states,ISNUMBER(SEARCH($AP$19,_xlfn._TRO_TRAILING(Sites!$I:$I))),
_xlpm.years,ISNUMBER(SEARCH(AR$20,Sites!$AH$3:$AJ$3)),
IFERROR(SUM(_xlfn._xlws.FILTER(_xlfn._xlws.FILTER(_xlpm.hours,_xlpm.states*_xlpm.type,0),_xlpm.years),0),0))</f>
        <v>0</v>
      </c>
    </row>
    <row r="15" spans="1:44" hidden="1" outlineLevel="1" x14ac:dyDescent="0.25"/>
    <row r="16" spans="1:44" collapsed="1" x14ac:dyDescent="0.25">
      <c r="B16" s="2" t="s">
        <v>464</v>
      </c>
      <c r="D16" s="2"/>
      <c r="E16" s="71"/>
      <c r="F16" s="161">
        <f t="shared" ref="F16:H16" si="0">IFERROR(SUM(F21:F25)/F18,0)</f>
        <v>98.583914374575897</v>
      </c>
      <c r="G16" s="161">
        <f t="shared" si="0"/>
        <v>101.52455646672681</v>
      </c>
      <c r="H16" s="161">
        <f t="shared" si="0"/>
        <v>101.42525470647988</v>
      </c>
      <c r="I16" s="161"/>
      <c r="J16" s="161">
        <f>IFERROR(SUM(J21:J25)/J18,0)</f>
        <v>100.46610410006868</v>
      </c>
      <c r="K16" s="161">
        <f t="shared" ref="K16:L16" si="1">IFERROR(SUM(K21:K25)/K18,0)</f>
        <v>103.40802978636377</v>
      </c>
      <c r="L16" s="161">
        <f t="shared" si="1"/>
        <v>103.24310118765673</v>
      </c>
      <c r="M16" s="161"/>
      <c r="N16" s="161">
        <f>IFERROR(SUM(N21:N25)/N18,0)</f>
        <v>94.706648862783453</v>
      </c>
      <c r="O16" s="161">
        <f t="shared" ref="O16:P16" si="2">IFERROR(SUM(O21:O25)/O18,0)</f>
        <v>98.569256724735808</v>
      </c>
      <c r="P16" s="161">
        <f t="shared" si="2"/>
        <v>98.913458376508231</v>
      </c>
      <c r="Q16" s="161"/>
      <c r="R16" s="161">
        <f>IFERROR(SUM(R21:R25)/R18,0)</f>
        <v>103.7613841167355</v>
      </c>
      <c r="S16" s="161">
        <f t="shared" ref="S16:T16" si="3">IFERROR(SUM(S21:S25)/S18,0)</f>
        <v>106.87422564023758</v>
      </c>
      <c r="T16" s="161">
        <f t="shared" si="3"/>
        <v>106.87422564023757</v>
      </c>
      <c r="U16" s="161"/>
      <c r="V16" s="161">
        <f>IFERROR(SUM(V21:V25)/V18,0)</f>
        <v>102.51013353564046</v>
      </c>
      <c r="W16" s="161">
        <f t="shared" ref="W16:X16" si="4">IFERROR(SUM(W21:W25)/W18,0)</f>
        <v>105.58543754170969</v>
      </c>
      <c r="X16" s="161">
        <f t="shared" si="4"/>
        <v>105.58543754170969</v>
      </c>
      <c r="Y16" s="161"/>
      <c r="Z16" s="161">
        <f>IFERROR(SUM(Z21:Z25)/Z18,0)</f>
        <v>92.076851645144629</v>
      </c>
      <c r="AA16" s="161">
        <f t="shared" ref="AA16:AB16" si="5">IFERROR(SUM(AA21:AA25)/AA18,0)</f>
        <v>94.839157194498966</v>
      </c>
      <c r="AB16" s="161">
        <f t="shared" si="5"/>
        <v>94.839157194498981</v>
      </c>
      <c r="AC16" s="161"/>
      <c r="AD16" s="161">
        <f>IFERROR(SUM(AD21:AD25)/AD18,0)</f>
        <v>103.7613841167355</v>
      </c>
      <c r="AE16" s="161">
        <f t="shared" ref="AE16:AF16" si="6">IFERROR(SUM(AE21:AE25)/AE18,0)</f>
        <v>106.87422564023758</v>
      </c>
      <c r="AF16" s="161">
        <f t="shared" si="6"/>
        <v>106.87422564023757</v>
      </c>
      <c r="AG16" s="161"/>
      <c r="AH16" s="161">
        <f>IFERROR(SUM(AH21:AH25)/AH18,0)</f>
        <v>99.545179570044127</v>
      </c>
      <c r="AI16" s="161">
        <f t="shared" ref="AI16:AJ16" si="7">IFERROR(SUM(AI21:AI25)/AI18,0)</f>
        <v>102.55450890080714</v>
      </c>
      <c r="AJ16" s="161">
        <f t="shared" si="7"/>
        <v>102.55183175688548</v>
      </c>
      <c r="AK16" s="161"/>
      <c r="AL16" s="161">
        <f>IFERROR(SUM(AL21:AL25)/AL18,0)</f>
        <v>98.251005825292054</v>
      </c>
      <c r="AM16" s="161">
        <f t="shared" ref="AM16:AN16" si="8">IFERROR(SUM(AM21:AM25)/AM18,0)</f>
        <v>101.19853600005082</v>
      </c>
      <c r="AN16" s="161">
        <f t="shared" si="8"/>
        <v>101.19853600005084</v>
      </c>
      <c r="AO16" s="161"/>
      <c r="AP16" s="161">
        <f>IFERROR(SUM(AP21:AP25)/AP18,0)</f>
        <v>0</v>
      </c>
      <c r="AQ16" s="161">
        <f t="shared" ref="AQ16:AR16" si="9">IFERROR(SUM(AQ21:AQ25)/AQ18,0)</f>
        <v>0</v>
      </c>
      <c r="AR16" s="161">
        <f t="shared" si="9"/>
        <v>0</v>
      </c>
    </row>
    <row r="17" spans="2:44" x14ac:dyDescent="0.25">
      <c r="F17" s="140" t="s">
        <v>420</v>
      </c>
      <c r="G17" s="141"/>
      <c r="H17" s="140"/>
      <c r="J17" s="140" t="s">
        <v>420</v>
      </c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V17" s="140" t="s">
        <v>408</v>
      </c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H17" s="140" t="s">
        <v>65</v>
      </c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</row>
    <row r="18" spans="2:44" x14ac:dyDescent="0.25">
      <c r="B18" s="2" t="s">
        <v>55</v>
      </c>
      <c r="C18" s="3"/>
      <c r="D18" s="57"/>
      <c r="E18" s="53"/>
      <c r="F18" s="53">
        <f>SUM('JV2'!J18,'JV2'!N18,'JV2'!R18)</f>
        <v>325391.14666666661</v>
      </c>
      <c r="G18" s="53">
        <f>SUM('JV2'!K18,'JV2'!O18,'JV2'!S18)</f>
        <v>484685.22666666663</v>
      </c>
      <c r="H18" s="53">
        <f>SUM('JV2'!L18,'JV2'!P18,'JV2'!T18)</f>
        <v>635203.36</v>
      </c>
      <c r="J18" s="53" cm="1">
        <f t="array" ref="J18">_xlfn.LET(_xlpm.hours,_xlfn._TRO_TRAILING(Sites!$I:$L),_xlpm.states,ISNUMBER(SEARCH($J$19,_xlfn._TRO_TRAILING(Sites!$I:$I))),
_xlpm.years,ISNUMBER(SEARCH(J$20,Sites!$I$3:$L$3)),SUM(_xlfn._xlws.FILTER(_xlfn._xlws.FILTER(_xlpm.hours,_xlpm.states,0),_xlpm.years),0))</f>
        <v>173195.14666666667</v>
      </c>
      <c r="K18" s="53" cm="1">
        <f t="array" ref="K18">_xlfn.LET(_xlpm.hours,_xlfn._TRO_TRAILING(Sites!$I:$L),
_xlpm.states,ISNUMBER(SEARCH($J$19,_xlfn._TRO_TRAILING(Sites!$I:$I))),
_xlpm.years,ISNUMBER(SEARCH(K$20,Sites!$I$3:$L$3)),
SUM(_xlfn._xlws.FILTER(_xlfn._xlws.FILTER(_xlpm.hours,_xlpm.states,0),_xlpm.years),0))</f>
        <v>219997.06666666665</v>
      </c>
      <c r="L18" s="53" cm="1">
        <f t="array" ref="L18">_xlfn.LET(_xlpm.hours,_xlfn._TRO_TRAILING(Sites!$I:$L),
_xlpm.states,ISNUMBER(SEARCH($J$19,_xlfn._TRO_TRAILING(Sites!$I:$I))),
_xlpm.years,ISNUMBER(SEARCH(L$20,Sites!$I$3:$L$3)),
SUM(_xlfn._xlws.FILTER(_xlfn._xlws.FILTER(_xlpm.hours,_xlpm.states,0),_xlpm.years),0))</f>
        <v>271873.65333333332</v>
      </c>
      <c r="N18" s="53" cm="1">
        <f t="array" ref="N18">_xlfn.LET(_xlpm.hours,_xlfn._TRO_TRAILING(Sites!$I:$L),_xlpm.states,ISNUMBER(SEARCH($N$19,_xlfn._TRO_TRAILING(Sites!$I:$I))),
_xlpm.years,ISNUMBER(SEARCH(N$20,Sites!$I$3:$L$3)),SUM(_xlfn._xlws.FILTER(_xlfn._xlws.FILTER(_xlpm.hours,_xlpm.states,0),_xlpm.years),0))</f>
        <v>123026.93333333331</v>
      </c>
      <c r="O18" s="53" cm="1">
        <f t="array" ref="O18">_xlfn.LET(_xlpm.hours,_xlfn._TRO_TRAILING(Sites!$I:$L),_xlpm.states,ISNUMBER(SEARCH($N$19,_xlfn._TRO_TRAILING(Sites!$I:$I))),
_xlpm.years,ISNUMBER(SEARCH(O$20,Sites!$I$3:$L$3)),SUM(_xlfn._xlws.FILTER(_xlfn._xlws.FILTER(_xlpm.hours,_xlpm.states,0),_xlpm.years),0))</f>
        <v>220392.47999999995</v>
      </c>
      <c r="P18" s="53" cm="1">
        <f t="array" ref="P18">_xlfn.LET(_xlpm.hours,_xlfn._TRO_TRAILING(Sites!$I:$L),_xlpm.states,ISNUMBER(SEARCH($N$19,_xlfn._TRO_TRAILING(Sites!$I:$I))),
_xlpm.years,ISNUMBER(SEARCH(P$20,Sites!$I$3:$L$3)),SUM(_xlfn._xlws.FILTER(_xlfn._xlws.FILTER(_xlpm.hours,_xlpm.states,0),_xlpm.years),0))</f>
        <v>310773.75999999995</v>
      </c>
      <c r="R18" s="53" cm="1">
        <f t="array" ref="R18">_xlfn.LET(_xlpm.hours,_xlfn._TRO_TRAILING(Sites!$I:$L),_xlpm.states,ISNUMBER(SEARCH($R$19,_xlfn._TRO_TRAILING(Sites!$I:$I))),
_xlpm.years,ISNUMBER(SEARCH(R$20,Sites!$I$3:$L$3)),SUM(_xlfn._xlws.FILTER(_xlfn._xlws.FILTER(_xlpm.hours,_xlpm.states,0),_xlpm.years),0))</f>
        <v>29169.066666666669</v>
      </c>
      <c r="S18" s="53" cm="1">
        <f t="array" ref="S18">_xlfn.LET(_xlpm.hours,_xlfn._TRO_TRAILING(Sites!$I:$L),_xlpm.states,ISNUMBER(SEARCH($R$19,_xlfn._TRO_TRAILING(Sites!$I:$I))),
_xlpm.years,ISNUMBER(SEARCH(S$20,Sites!$I$3:$L$3)),SUM(_xlfn._xlws.FILTER(_xlfn._xlws.FILTER(_xlpm.hours,_xlpm.states,0),_xlpm.years),0))</f>
        <v>44295.68</v>
      </c>
      <c r="T18" s="53" cm="1">
        <f t="array" ref="T18">_xlfn.LET(_xlpm.hours,_xlfn._TRO_TRAILING(Sites!$I:$L),_xlpm.states,ISNUMBER(SEARCH($R$19,_xlfn._TRO_TRAILING(Sites!$I:$I))),
_xlpm.years,ISNUMBER(SEARCH(T$20,Sites!$I$3:$L$3)),SUM(_xlfn._xlws.FILTER(_xlfn._xlws.FILTER(_xlpm.hours,_xlpm.states,0),_xlpm.years),0))</f>
        <v>52555.94666666667</v>
      </c>
      <c r="V18" s="53" cm="1">
        <f t="array" ref="V18">_xlfn.LET(_xlpm.hours,_xlfn._TRO_TRAILING(Sites!$I:$L),_xlpm.type,ISNUMBER(SEARCH($V$17,_xlfn._TRO_TRAILING(Sites!$H:$H))),_xlpm.states,ISNUMBER(SEARCH($V$19,_xlfn._TRO_TRAILING(Sites!$I:$I))),
_xlpm.years,ISNUMBER(SEARCH(V$20,Sites!$I$3:$L$3)),SUM(_xlfn._xlws.FILTER(_xlfn._xlws.FILTER(_xlpm.hours,_xlpm.states*_xlpm.type,0),_xlpm.years),0))</f>
        <v>53794.986666666671</v>
      </c>
      <c r="W18" s="53" cm="1">
        <f t="array" ref="W18">_xlfn.LET(_xlpm.hours,_xlfn._TRO_TRAILING(Sites!$I:$L),_xlpm.type,ISNUMBER(SEARCH($V$17,_xlfn._TRO_TRAILING(Sites!$H:$H))),_xlpm.states,ISNUMBER(SEARCH($V$19,_xlfn._TRO_TRAILING(Sites!$I:$I))),
_xlpm.years,ISNUMBER(SEARCH(W$20,Sites!$I$3:$L$3)),SUM(_xlfn._xlws.FILTER(_xlfn._xlws.FILTER(_xlpm.hours,_xlpm.states*_xlpm.type,0),_xlpm.years),0))</f>
        <v>61952</v>
      </c>
      <c r="X18" s="53" cm="1">
        <f t="array" ref="X18">_xlfn.LET(_xlpm.hours,_xlfn._TRO_TRAILING(Sites!$I:$L),_xlpm.type,ISNUMBER(SEARCH($V$17,_xlfn._TRO_TRAILING(Sites!$H:$H))),_xlpm.states,ISNUMBER(SEARCH($V$19,_xlfn._TRO_TRAILING(Sites!$I:$I))),
_xlpm.years,ISNUMBER(SEARCH(X$20,Sites!$I$3:$L$3)),SUM(_xlfn._xlws.FILTER(_xlfn._xlws.FILTER(_xlpm.hours,_xlpm.states*_xlpm.type,0),_xlpm.years),0))</f>
        <v>61952</v>
      </c>
      <c r="Z18" s="53" cm="1">
        <f t="array" ref="Z18">_xlfn.LET(_xlpm.hours,_xlfn._TRO_TRAILING(Sites!$I:$L),_xlpm.type,ISNUMBER(SEARCH($V$17,_xlfn._TRO_TRAILING(Sites!$H:$H))),_xlpm.states,ISNUMBER(SEARCH($Z$19,_xlfn._TRO_TRAILING(Sites!$I:$I))),
_xlpm.years,ISNUMBER(SEARCH(Z$20,Sites!$I$3:$L$3)),SUM(_xlfn._xlws.FILTER(_xlfn._xlws.FILTER(_xlpm.hours,_xlpm.states*_xlpm.type,0),_xlpm.years),0))</f>
        <v>70625.279999999999</v>
      </c>
      <c r="AA18" s="53" cm="1">
        <f t="array" ref="AA18">_xlfn.LET(_xlpm.hours,_xlfn._TRO_TRAILING(Sites!$I:$L),_xlpm.type,ISNUMBER(SEARCH($V$17,_xlfn._TRO_TRAILING(Sites!$H:$H))),_xlpm.states,ISNUMBER(SEARCH($Z$19,_xlfn._TRO_TRAILING(Sites!$I:$I))),
_xlpm.years,ISNUMBER(SEARCH(AA$20,Sites!$I$3:$L$3)),SUM(_xlfn._xlws.FILTER(_xlfn._xlws.FILTER(_xlpm.hours,_xlpm.states*_xlpm.type,0),_xlpm.years),0))</f>
        <v>91121.066666666666</v>
      </c>
      <c r="AB18" s="53" cm="1">
        <f t="array" ref="AB18">_xlfn.LET(_xlpm.hours,_xlfn._TRO_TRAILING(Sites!$I:$L),_xlpm.type,ISNUMBER(SEARCH($V$17,_xlfn._TRO_TRAILING(Sites!$H:$H))),_xlpm.states,ISNUMBER(SEARCH($Z$19,_xlfn._TRO_TRAILING(Sites!$I:$I))),
_xlpm.years,ISNUMBER(SEARCH(AB$20,Sites!$I$3:$L$3)),SUM(_xlfn._xlws.FILTER(_xlfn._xlws.FILTER(_xlpm.hours,_xlpm.states*_xlpm.type,0),_xlpm.years),0))</f>
        <v>111668.48</v>
      </c>
      <c r="AD18" s="53" cm="1">
        <f t="array" ref="AD18">_xlfn.LET(_xlpm.hours,_xlfn._TRO_TRAILING(Sites!$I:$L),_xlpm.type,ISNUMBER(SEARCH($V$17,_xlfn._TRO_TRAILING(Sites!$H:$H))),_xlpm.states,ISNUMBER(SEARCH($AD$19,_xlfn._TRO_TRAILING(Sites!$I:$I))),
_xlpm.years,ISNUMBER(SEARCH(AD$20,Sites!$I$3:$L$3)),SUM(_xlfn._xlws.FILTER(_xlfn._xlws.FILTER(_xlpm.hours,_xlpm.states*_xlpm.type,0),_xlpm.years),0))</f>
        <v>29169.066666666669</v>
      </c>
      <c r="AE18" s="53" cm="1">
        <f t="array" ref="AE18">_xlfn.LET(_xlpm.hours,_xlfn._TRO_TRAILING(Sites!$I:$L),_xlpm.type,ISNUMBER(SEARCH($V$17,_xlfn._TRO_TRAILING(Sites!$H:$H))),_xlpm.states,ISNUMBER(SEARCH($AD$19,_xlfn._TRO_TRAILING(Sites!$I:$I))),
_xlpm.years,ISNUMBER(SEARCH(AE$20,Sites!$I$3:$L$3)),SUM(_xlfn._xlws.FILTER(_xlfn._xlws.FILTER(_xlpm.hours,_xlpm.states*_xlpm.type,0),_xlpm.years),0))</f>
        <v>44295.68</v>
      </c>
      <c r="AF18" s="53" cm="1">
        <f t="array" ref="AF18">_xlfn.LET(_xlpm.hours,_xlfn._TRO_TRAILING(Sites!$I:$L),_xlpm.type,ISNUMBER(SEARCH($V$17,_xlfn._TRO_TRAILING(Sites!$H:$H))),_xlpm.states,ISNUMBER(SEARCH($AD$19,_xlfn._TRO_TRAILING(Sites!$I:$I))),
_xlpm.years,ISNUMBER(SEARCH(AF$20,Sites!$I$3:$L$3)),SUM(_xlfn._xlws.FILTER(_xlfn._xlws.FILTER(_xlpm.hours,_xlpm.states*_xlpm.type,0),_xlpm.years),0))</f>
        <v>52555.94666666667</v>
      </c>
      <c r="AH18" s="53" cm="1">
        <f t="array" ref="AH18">_xlfn.LET(_xlpm.hours,_xlfn._TRO_TRAILING(Sites!$I:$L),_xlpm.type,ISNUMBER(SEARCH($AH$17,_xlfn._TRO_TRAILING(Sites!$H:$H))),_xlpm.states,ISNUMBER(SEARCH($AH$19,_xlfn._TRO_TRAILING(Sites!$I:$I))),
_xlpm.years,ISNUMBER(SEARCH(AH$20,Sites!$I$3:$L$3)),SUM(_xlfn._xlws.FILTER(_xlfn._xlws.FILTER(_xlpm.hours,_xlpm.states*_xlpm.type,0),_xlpm.years),0))</f>
        <v>119400.16</v>
      </c>
      <c r="AI18" s="53" cm="1">
        <f t="array" ref="AI18">_xlfn.LET(_xlpm.hours,_xlfn._TRO_TRAILING(Sites!$I:$L),_xlpm.type,ISNUMBER(SEARCH($AH$17,_xlfn._TRO_TRAILING(Sites!$H:$H))),_xlpm.states,ISNUMBER(SEARCH($AH$19,_xlfn._TRO_TRAILING(Sites!$I:$I))),
_xlpm.years,ISNUMBER(SEARCH(AI$20,Sites!$I$3:$L$3)),SUM(_xlfn._xlws.FILTER(_xlfn._xlws.FILTER(_xlpm.hours,_xlpm.states*_xlpm.type,0),_xlpm.years),0))</f>
        <v>158045.06666666665</v>
      </c>
      <c r="AJ18" s="53" cm="1">
        <f t="array" ref="AJ18">_xlfn.LET(_xlpm.hours,_xlfn._TRO_TRAILING(Sites!$I:$L),_xlpm.type,ISNUMBER(SEARCH($AH$17,_xlfn._TRO_TRAILING(Sites!$H:$H))),_xlpm.states,ISNUMBER(SEARCH($AH$19,_xlfn._TRO_TRAILING(Sites!$I:$I))),
_xlpm.years,ISNUMBER(SEARCH(AJ$20,Sites!$I$3:$L$3)),SUM(_xlfn._xlws.FILTER(_xlfn._xlws.FILTER(_xlpm.hours,_xlpm.states*_xlpm.type,0),_xlpm.years),0))</f>
        <v>209921.65333333335</v>
      </c>
      <c r="AL18" s="53" cm="1">
        <f t="array" ref="AL18">_xlfn.LET(_xlpm.hours,_xlfn._TRO_TRAILING(Sites!$I:$L),_xlpm.type,ISNUMBER(SEARCH($AH$17,_xlfn._TRO_TRAILING(Sites!$H:$H))),_xlpm.states,ISNUMBER(SEARCH($AL$19,_xlfn._TRO_TRAILING(Sites!$I:$I))),
_xlpm.years,ISNUMBER(SEARCH(AL$20,Sites!$I$3:$L$3)),SUM(_xlfn._xlws.FILTER(_xlfn._xlws.FILTER(_xlpm.hours,_xlpm.states*_xlpm.type,0),_xlpm.years),0))</f>
        <v>52401.653333333306</v>
      </c>
      <c r="AM18" s="53" cm="1">
        <f t="array" ref="AM18">_xlfn.LET(_xlpm.hours,_xlfn._TRO_TRAILING(Sites!$I:$L),_xlpm.type,ISNUMBER(SEARCH($AH$17,_xlfn._TRO_TRAILING(Sites!$H:$H))),_xlpm.states,ISNUMBER(SEARCH($AL$19,_xlfn._TRO_TRAILING(Sites!$I:$I))),
_xlpm.years,ISNUMBER(SEARCH(AM$20,Sites!$I$3:$L$3)),SUM(_xlfn._xlws.FILTER(_xlfn._xlws.FILTER(_xlpm.hours,_xlpm.states*_xlpm.type,0),_xlpm.years),0))</f>
        <v>129271.41333333329</v>
      </c>
      <c r="AN18" s="53" cm="1">
        <f t="array" ref="AN18">_xlfn.LET(_xlpm.hours,_xlfn._TRO_TRAILING(Sites!$I:$L),_xlpm.type,ISNUMBER(SEARCH($AH$17,_xlfn._TRO_TRAILING(Sites!$H:$H))),_xlpm.states,ISNUMBER(SEARCH($AL$19,_xlfn._TRO_TRAILING(Sites!$I:$I))),
_xlpm.years,ISNUMBER(SEARCH(AN$20,Sites!$I$3:$L$3)),SUM(_xlfn._xlws.FILTER(_xlfn._xlws.FILTER(_xlpm.hours,_xlpm.states*_xlpm.type,0),_xlpm.years),0))</f>
        <v>199105.27999999991</v>
      </c>
      <c r="AP18" s="53" cm="1">
        <f t="array" ref="AP18">_xlfn.LET(_xlpm.hours,_xlfn._TRO_TRAILING(Sites!$I:$L),_xlpm.type,ISNUMBER(SEARCH($AH$17,_xlfn._TRO_TRAILING(Sites!$H:$H))),_xlpm.states,ISNUMBER(SEARCH($AP$19,_xlfn._TRO_TRAILING(Sites!$I:$I))),
_xlpm.years,ISNUMBER(SEARCH(AP$20,Sites!$I$3:$L$3)),
IFERROR(SUM(_xlfn._xlws.FILTER(_xlfn._xlws.FILTER(_xlpm.hours,_xlpm.states*_xlpm.type,0),_xlpm.years),0),0))</f>
        <v>0</v>
      </c>
      <c r="AQ18" s="53" cm="1">
        <f t="array" ref="AQ18">_xlfn.LET(_xlpm.hours,_xlfn._TRO_TRAILING(Sites!$I:$L),_xlpm.type,ISNUMBER(SEARCH($AH$17,_xlfn._TRO_TRAILING(Sites!$H:$H))),_xlpm.states,ISNUMBER(SEARCH($AP$19,_xlfn._TRO_TRAILING(Sites!$I:$I))),
_xlpm.years,ISNUMBER(SEARCH(AQ$20,Sites!$I$3:$L$3)),
IFERROR(SUM(_xlfn._xlws.FILTER(_xlfn._xlws.FILTER(_xlpm.hours,_xlpm.states*_xlpm.type,0),_xlpm.years),0),0))</f>
        <v>0</v>
      </c>
      <c r="AR18" s="53" cm="1">
        <f t="array" ref="AR18">_xlfn.LET(_xlpm.hours,_xlfn._TRO_TRAILING(Sites!$I:$L),_xlpm.type,ISNUMBER(SEARCH($AH$17,_xlfn._TRO_TRAILING(Sites!$H:$H))),_xlpm.states,ISNUMBER(SEARCH($AP$19,_xlfn._TRO_TRAILING(Sites!$I:$I))),
_xlpm.years,ISNUMBER(SEARCH(AR$20,Sites!$I$3:$L$3)),
IFERROR(SUM(_xlfn._xlws.FILTER(_xlfn._xlws.FILTER(_xlpm.hours,_xlpm.states*_xlpm.type,0),_xlpm.years),0),0))</f>
        <v>0</v>
      </c>
    </row>
    <row r="19" spans="2:44" x14ac:dyDescent="0.25">
      <c r="F19" s="70" t="s">
        <v>15</v>
      </c>
      <c r="G19" s="70"/>
      <c r="H19" s="70"/>
      <c r="J19" s="70" t="s">
        <v>32</v>
      </c>
      <c r="K19" s="70"/>
      <c r="L19" s="70"/>
      <c r="N19" s="70" t="s">
        <v>35</v>
      </c>
      <c r="O19" s="70"/>
      <c r="P19" s="70"/>
      <c r="R19" s="70" t="s">
        <v>38</v>
      </c>
      <c r="S19" s="70"/>
      <c r="T19" s="70"/>
      <c r="V19" s="142" t="s">
        <v>32</v>
      </c>
      <c r="W19" s="142"/>
      <c r="X19" s="142"/>
      <c r="Z19" s="144" t="s">
        <v>35</v>
      </c>
      <c r="AA19" s="144"/>
      <c r="AB19" s="144"/>
      <c r="AD19" s="143" t="s">
        <v>38</v>
      </c>
      <c r="AE19" s="143"/>
      <c r="AF19" s="143"/>
      <c r="AH19" s="142" t="s">
        <v>32</v>
      </c>
      <c r="AI19" s="142"/>
      <c r="AJ19" s="142"/>
      <c r="AL19" s="144" t="s">
        <v>35</v>
      </c>
      <c r="AM19" s="144"/>
      <c r="AN19" s="144"/>
      <c r="AP19" s="143" t="s">
        <v>38</v>
      </c>
      <c r="AQ19" s="143"/>
      <c r="AR19" s="143"/>
    </row>
    <row r="20" spans="2:44" x14ac:dyDescent="0.25">
      <c r="B20" s="1" t="s">
        <v>21</v>
      </c>
      <c r="D20" s="64"/>
      <c r="E20" s="3"/>
      <c r="F20" s="76" cm="1">
        <f t="array" ref="F20:H20">_xlfn.ANCHORARRAY('JV1'!$F$20)</f>
        <v>2026</v>
      </c>
      <c r="G20" s="76">
        <v>2027</v>
      </c>
      <c r="H20" s="76">
        <v>2028</v>
      </c>
      <c r="J20" s="76" cm="1">
        <f t="array" ref="J20:L20">_xlfn.ANCHORARRAY('JV1'!$N$20)</f>
        <v>2026</v>
      </c>
      <c r="K20" s="76">
        <v>2027</v>
      </c>
      <c r="L20" s="76">
        <v>2028</v>
      </c>
      <c r="N20" s="76" cm="1">
        <f t="array" ref="N20:P20">_xlfn.ANCHORARRAY('JV1'!$N$20)</f>
        <v>2026</v>
      </c>
      <c r="O20" s="76">
        <v>2027</v>
      </c>
      <c r="P20" s="76">
        <v>2028</v>
      </c>
      <c r="R20" s="76" cm="1">
        <f t="array" ref="R20:T20">_xlfn.ANCHORARRAY('JV1'!$N$20)</f>
        <v>2026</v>
      </c>
      <c r="S20" s="76">
        <v>2027</v>
      </c>
      <c r="T20" s="76">
        <v>2028</v>
      </c>
      <c r="V20" s="76" cm="1">
        <f t="array" ref="V20:X20">_xlfn.ANCHORARRAY('JV1'!$F$20)</f>
        <v>2026</v>
      </c>
      <c r="W20" s="76">
        <v>2027</v>
      </c>
      <c r="X20" s="76">
        <v>2028</v>
      </c>
      <c r="Z20" s="76" cm="1">
        <f t="array" ref="Z20:AB20">_xlfn.ANCHORARRAY('JV1'!$F$20)</f>
        <v>2026</v>
      </c>
      <c r="AA20" s="76">
        <v>2027</v>
      </c>
      <c r="AB20" s="76">
        <v>2028</v>
      </c>
      <c r="AD20" s="76" cm="1">
        <f t="array" ref="AD20:AF20">_xlfn.ANCHORARRAY('JV1'!$F$20)</f>
        <v>2026</v>
      </c>
      <c r="AE20" s="76">
        <v>2027</v>
      </c>
      <c r="AF20" s="76">
        <v>2028</v>
      </c>
      <c r="AH20" s="76" cm="1">
        <f t="array" ref="AH20:AJ20">_xlfn.ANCHORARRAY('JV1'!$F$20)</f>
        <v>2026</v>
      </c>
      <c r="AI20" s="76">
        <v>2027</v>
      </c>
      <c r="AJ20" s="76">
        <v>2028</v>
      </c>
      <c r="AL20" s="76" cm="1">
        <f t="array" ref="AL20:AN20">_xlfn.ANCHORARRAY('JV1'!$F$20)</f>
        <v>2026</v>
      </c>
      <c r="AM20" s="76">
        <v>2027</v>
      </c>
      <c r="AN20" s="76">
        <v>2028</v>
      </c>
      <c r="AP20" s="76" cm="1">
        <f t="array" ref="AP20:AR20">_xlfn.ANCHORARRAY('JV1'!$F$20)</f>
        <v>2026</v>
      </c>
      <c r="AQ20" s="76">
        <v>2027</v>
      </c>
      <c r="AR20" s="76">
        <v>2028</v>
      </c>
    </row>
    <row r="21" spans="2:44" outlineLevel="1" x14ac:dyDescent="0.25">
      <c r="B21" s="39" t="s">
        <v>449</v>
      </c>
      <c r="D21" s="107"/>
      <c r="F21" s="67">
        <f>J21+N21+R21</f>
        <v>23859318.424889993</v>
      </c>
      <c r="G21" s="67">
        <f t="shared" ref="G21:G31" si="10">K21+O21+S21</f>
        <v>36315874.53917639</v>
      </c>
      <c r="H21" s="67">
        <f t="shared" ref="H21:H31" si="11">L21+P21+T21</f>
        <v>47329927.726866871</v>
      </c>
      <c r="J21" s="67">
        <f>V21+AH21</f>
        <v>12769116.314291999</v>
      </c>
      <c r="K21" s="67">
        <f t="shared" ref="K21:K31" si="12">W21+AI21</f>
        <v>16676196.0075828</v>
      </c>
      <c r="L21" s="67">
        <f t="shared" ref="L21:L31" si="13">X21+AJ21</f>
        <v>20539698.420936238</v>
      </c>
      <c r="N21" s="67">
        <f t="shared" ref="N21:P31" si="14">Z21+AL21</f>
        <v>8721319.5198479984</v>
      </c>
      <c r="O21" s="67">
        <f t="shared" si="14"/>
        <v>15934410.742656587</v>
      </c>
      <c r="P21" s="67">
        <f t="shared" si="14"/>
        <v>22394002.488753632</v>
      </c>
      <c r="R21" s="67">
        <f t="shared" ref="R21:T31" si="15">AD21+AP21</f>
        <v>2368882.590749999</v>
      </c>
      <c r="S21" s="67">
        <f t="shared" si="15"/>
        <v>3705267.7889369987</v>
      </c>
      <c r="T21" s="67">
        <f t="shared" si="15"/>
        <v>4396226.8171769986</v>
      </c>
      <c r="V21" s="67" cm="1">
        <f t="array" ref="V21">_xlfn.LET(_xlpm.hours,_xlfn._TRO_TRAILING(Sites!$BJ:$BL),_xlpm.type,ISNUMBER(SEARCH($V$17,_xlfn._TRO_TRAILING(Sites!$H:$H))),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4135803.4649879988</v>
      </c>
      <c r="W21" s="67" cm="1">
        <f t="array" ref="W21">_xlfn.LET(_xlpm.hours,_xlfn._TRO_TRAILING(Sites!$BJ:$BL),_xlpm.type,ISNUMBER(SEARCH($V$17,_xlfn._TRO_TRAILING(Sites!$H:$H))),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4905809.1005039997</v>
      </c>
      <c r="X21" s="67" cm="1">
        <f t="array" ref="X21">_xlfn.LET(_xlpm.hours,_xlfn._TRO_TRAILING(Sites!$BJ:$BL),_xlpm.type,ISNUMBER(SEARCH($V$17,_xlfn._TRO_TRAILING(Sites!$H:$H))),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4905809.1005039997</v>
      </c>
      <c r="Z21" s="67" cm="1">
        <f t="array" ref="Z21">_xlfn.LET(_xlpm.hours,_xlfn._TRO_TRAILING(Sites!$BJ:$BL),_xlpm.type,ISNUMBER(SEARCH($V$17,_xlfn._TRO_TRAILING(Sites!$H:$H))),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5136795.1586015997</v>
      </c>
      <c r="AA21" s="67" cm="1">
        <f t="array" ref="AA21">_xlfn.LET(_xlpm.hours,_xlfn._TRO_TRAILING(Sites!$BJ:$BL),_xlpm.type,ISNUMBER(SEARCH($V$17,_xlfn._TRO_TRAILING(Sites!$H:$H))),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6826342.6597805396</v>
      </c>
      <c r="AB21" s="67" cm="1">
        <f t="array" ref="AB21">_xlfn.LET(_xlpm.hours,_xlfn._TRO_TRAILING(Sites!$BJ:$BL),_xlpm.type,ISNUMBER(SEARCH($V$17,_xlfn._TRO_TRAILING(Sites!$H:$H))),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8365653.9224392679</v>
      </c>
      <c r="AD21" s="67" cm="1">
        <f t="array" ref="AD21">_xlfn.LET(_xlpm.hours,_xlfn._TRO_TRAILING(Sites!$BJ:$BL),_xlpm.type,ISNUMBER(SEARCH($V$17,_xlfn._TRO_TRAILING(Sites!$H:$H))),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2368882.590749999</v>
      </c>
      <c r="AE21" s="67" cm="1">
        <f t="array" ref="AE21">_xlfn.LET(_xlpm.hours,_xlfn._TRO_TRAILING(Sites!$BJ:$BL),_xlpm.type,ISNUMBER(SEARCH($V$17,_xlfn._TRO_TRAILING(Sites!$H:$H))),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3705267.7889369987</v>
      </c>
      <c r="AF21" s="67" cm="1">
        <f t="array" ref="AF21">_xlfn.LET(_xlpm.hours,_xlfn._TRO_TRAILING(Sites!$BJ:$BL),_xlpm.type,ISNUMBER(SEARCH($V$17,_xlfn._TRO_TRAILING(Sites!$H:$H))),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4396226.8171769986</v>
      </c>
      <c r="AH21" s="67" cm="1">
        <f t="array" ref="AH21">_xlfn.LET(_xlpm.hours,_xlfn._TRO_TRAILING(Sites!$BJ:$BL),_xlpm.type,ISNUMBER(SEARCH($AH$17,_xlfn._TRO_TRAILING(Sites!$H:$H))),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8633312.8493039999</v>
      </c>
      <c r="AI21" s="67" cm="1">
        <f t="array" ref="AI21">_xlfn.LET(_xlpm.hours,_xlfn._TRO_TRAILING(Sites!$BJ:$BL),_xlpm.type,ISNUMBER(SEARCH($AH$17,_xlfn._TRO_TRAILING(Sites!$H:$H))),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11770386.907078801</v>
      </c>
      <c r="AJ21" s="67" cm="1">
        <f t="array" ref="AJ21">_xlfn.LET(_xlpm.hours,_xlfn._TRO_TRAILING(Sites!$BJ:$BL),_xlpm.type,ISNUMBER(SEARCH($AH$17,_xlfn._TRO_TRAILING(Sites!$H:$H))),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15633889.320432238</v>
      </c>
      <c r="AL21" s="67" cm="1">
        <f t="array" ref="AL21">_xlfn.LET(_xlpm.hours,_xlfn._TRO_TRAILING(Sites!$BJ:$BL),_xlpm.type,ISNUMBER(SEARCH($AH$17,_xlfn._TRO_TRAILING(Sites!$H:$H))),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3584524.3612463991</v>
      </c>
      <c r="AM21" s="67" cm="1">
        <f t="array" ref="AM21">_xlfn.LET(_xlpm.hours,_xlfn._TRO_TRAILING(Sites!$BJ:$BL),_xlpm.type,ISNUMBER(SEARCH($AH$17,_xlfn._TRO_TRAILING(Sites!$H:$H))),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9108068.0828760471</v>
      </c>
      <c r="AN21" s="67" cm="1">
        <f t="array" ref="AN21">_xlfn.LET(_xlpm.hours,_xlfn._TRO_TRAILING(Sites!$BJ:$BL),_xlpm.type,ISNUMBER(SEARCH($AH$17,_xlfn._TRO_TRAILING(Sites!$H:$H))),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14028348.566314366</v>
      </c>
      <c r="AP21" s="67" cm="1">
        <f t="array" ref="AP21">_xlfn.LET(_xlpm.hours,_xlfn._TRO_TRAILING(Sites!$BJ:$BL),_xlpm.type,ISNUMBER(SEARCH($AH$17,_xlfn._TRO_TRAILING(Sites!$H:$H))),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1" s="67" cm="1">
        <f t="array" ref="AQ21">_xlfn.LET(_xlpm.hours,_xlfn._TRO_TRAILING(Sites!$BJ:$BL),_xlpm.type,ISNUMBER(SEARCH($AH$17,_xlfn._TRO_TRAILING(Sites!$H:$H))),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1" s="67" cm="1">
        <f t="array" ref="AR21">_xlfn.LET(_xlpm.hours,_xlfn._TRO_TRAILING(Sites!$BJ:$BL),_xlpm.type,ISNUMBER(SEARCH($AH$17,_xlfn._TRO_TRAILING(Sites!$H:$H))),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2" spans="2:44" outlineLevel="1" x14ac:dyDescent="0.25">
      <c r="B22" s="39" t="s">
        <v>450</v>
      </c>
      <c r="D22" s="107"/>
      <c r="F22" s="67">
        <f t="shared" ref="F22:F31" si="16">J22+N22+R22</f>
        <v>1257164.7347306665</v>
      </c>
      <c r="G22" s="67">
        <f t="shared" si="10"/>
        <v>2523278.4293114664</v>
      </c>
      <c r="H22" s="67">
        <f t="shared" si="11"/>
        <v>3721681.6895398395</v>
      </c>
      <c r="J22" s="67">
        <f t="shared" ref="J22:J31" si="17">V22+AH22</f>
        <v>569904.2768639999</v>
      </c>
      <c r="K22" s="67">
        <f t="shared" si="12"/>
        <v>776989.54686079989</v>
      </c>
      <c r="L22" s="67">
        <f t="shared" si="13"/>
        <v>1032027.9761958397</v>
      </c>
      <c r="N22" s="67">
        <f t="shared" si="14"/>
        <v>687260.45786666649</v>
      </c>
      <c r="O22" s="67">
        <f t="shared" si="14"/>
        <v>1746288.8824506665</v>
      </c>
      <c r="P22" s="67">
        <f t="shared" si="14"/>
        <v>2689653.7133439998</v>
      </c>
      <c r="R22" s="67">
        <f t="shared" si="15"/>
        <v>0</v>
      </c>
      <c r="S22" s="67">
        <f t="shared" si="15"/>
        <v>0</v>
      </c>
      <c r="T22" s="67">
        <f t="shared" si="15"/>
        <v>0</v>
      </c>
      <c r="V22" s="67" cm="1">
        <f t="array" ref="V22">_xlfn.LET(_xlpm.hours,_xlfn._TRO_TRAILING(Sites!$BN:$BP),_xlpm.type,ISNUMBER(SEARCH($V$17,_xlfn._TRO_TRAILING(Sites!$H:$H))),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22" s="67" cm="1">
        <f t="array" ref="W22">_xlfn.LET(_xlpm.hours,_xlfn._TRO_TRAILING(Sites!$BN:$BP),_xlpm.type,ISNUMBER(SEARCH($V$17,_xlfn._TRO_TRAILING(Sites!$H:$H))),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22" s="67" cm="1">
        <f t="array" ref="X22">_xlfn.LET(_xlpm.hours,_xlfn._TRO_TRAILING(Sites!$BN:$BP),_xlpm.type,ISNUMBER(SEARCH($V$17,_xlfn._TRO_TRAILING(Sites!$H:$H))),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22" s="67" cm="1">
        <f t="array" ref="Z22">_xlfn.LET(_xlpm.hours,_xlfn._TRO_TRAILING(Sites!$BN:$BP),_xlpm.type,ISNUMBER(SEARCH($V$17,_xlfn._TRO_TRAILING(Sites!$H:$H))),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22" s="67" cm="1">
        <f t="array" ref="AA22">_xlfn.LET(_xlpm.hours,_xlfn._TRO_TRAILING(Sites!$BN:$BP),_xlpm.type,ISNUMBER(SEARCH($V$17,_xlfn._TRO_TRAILING(Sites!$H:$H))),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22" s="67" cm="1">
        <f t="array" ref="AB22">_xlfn.LET(_xlpm.hours,_xlfn._TRO_TRAILING(Sites!$BN:$BP),_xlpm.type,ISNUMBER(SEARCH($V$17,_xlfn._TRO_TRAILING(Sites!$H:$H))),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22" s="67" cm="1">
        <f t="array" ref="AD22">_xlfn.LET(_xlpm.hours,_xlfn._TRO_TRAILING(Sites!$BN:$BP),_xlpm.type,ISNUMBER(SEARCH($V$17,_xlfn._TRO_TRAILING(Sites!$H:$H))),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22" s="67" cm="1">
        <f t="array" ref="AE22">_xlfn.LET(_xlpm.hours,_xlfn._TRO_TRAILING(Sites!$BN:$BP),_xlpm.type,ISNUMBER(SEARCH($V$17,_xlfn._TRO_TRAILING(Sites!$H:$H))),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22" s="67" cm="1">
        <f t="array" ref="AF22">_xlfn.LET(_xlpm.hours,_xlfn._TRO_TRAILING(Sites!$BN:$BP),_xlpm.type,ISNUMBER(SEARCH($V$17,_xlfn._TRO_TRAILING(Sites!$H:$H))),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22" s="67" cm="1">
        <f t="array" ref="AH22">_xlfn.LET(_xlpm.hours,_xlfn._TRO_TRAILING(Sites!$BN:$BP),_xlpm.type,ISNUMBER(SEARCH($AH$17,_xlfn._TRO_TRAILING(Sites!$H:$H))),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569904.2768639999</v>
      </c>
      <c r="AI22" s="67" cm="1">
        <f t="array" ref="AI22">_xlfn.LET(_xlpm.hours,_xlfn._TRO_TRAILING(Sites!$BN:$BP),_xlpm.type,ISNUMBER(SEARCH($AH$17,_xlfn._TRO_TRAILING(Sites!$H:$H))),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776989.54686079989</v>
      </c>
      <c r="AJ22" s="67" cm="1">
        <f t="array" ref="AJ22">_xlfn.LET(_xlpm.hours,_xlfn._TRO_TRAILING(Sites!$BN:$BP),_xlpm.type,ISNUMBER(SEARCH($AH$17,_xlfn._TRO_TRAILING(Sites!$H:$H))),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1032027.9761958397</v>
      </c>
      <c r="AL22" s="67" cm="1">
        <f t="array" ref="AL22">_xlfn.LET(_xlpm.hours,_xlfn._TRO_TRAILING(Sites!$BN:$BP),_xlpm.type,ISNUMBER(SEARCH($AH$17,_xlfn._TRO_TRAILING(Sites!$H:$H))),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687260.45786666649</v>
      </c>
      <c r="AM22" s="67" cm="1">
        <f t="array" ref="AM22">_xlfn.LET(_xlpm.hours,_xlfn._TRO_TRAILING(Sites!$BN:$BP),_xlpm.type,ISNUMBER(SEARCH($AH$17,_xlfn._TRO_TRAILING(Sites!$H:$H))),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1746288.8824506665</v>
      </c>
      <c r="AN22" s="67" cm="1">
        <f t="array" ref="AN22">_xlfn.LET(_xlpm.hours,_xlfn._TRO_TRAILING(Sites!$BN:$BP),_xlpm.type,ISNUMBER(SEARCH($AH$17,_xlfn._TRO_TRAILING(Sites!$H:$H))),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2689653.7133439998</v>
      </c>
      <c r="AP22" s="67" cm="1">
        <f t="array" ref="AP22">_xlfn.LET(_xlpm.hours,_xlfn._TRO_TRAILING(Sites!$BN:$BP),_xlpm.type,ISNUMBER(SEARCH($AH$17,_xlfn._TRO_TRAILING(Sites!$H:$H))),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2" s="67" cm="1">
        <f t="array" ref="AQ22">_xlfn.LET(_xlpm.hours,_xlfn._TRO_TRAILING(Sites!$BN:$BP),_xlpm.type,ISNUMBER(SEARCH($AH$17,_xlfn._TRO_TRAILING(Sites!$H:$H))),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2" s="67" cm="1">
        <f t="array" ref="AR22">_xlfn.LET(_xlpm.hours,_xlfn._TRO_TRAILING(Sites!$BN:$BP),_xlpm.type,ISNUMBER(SEARCH($AH$17,_xlfn._TRO_TRAILING(Sites!$H:$H))),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3" spans="2:44" outlineLevel="1" x14ac:dyDescent="0.25">
      <c r="B23" s="39" t="s">
        <v>451</v>
      </c>
      <c r="D23" s="107"/>
      <c r="F23" s="67">
        <f t="shared" si="16"/>
        <v>5705986.4343924001</v>
      </c>
      <c r="G23" s="67">
        <f t="shared" si="10"/>
        <v>8539680.4134071041</v>
      </c>
      <c r="H23" s="67">
        <f t="shared" si="11"/>
        <v>11082579.749760482</v>
      </c>
      <c r="J23" s="67">
        <f t="shared" si="17"/>
        <v>3433445.1197279999</v>
      </c>
      <c r="K23" s="67">
        <f t="shared" si="12"/>
        <v>4489881.8072004002</v>
      </c>
      <c r="L23" s="67">
        <f t="shared" si="13"/>
        <v>5543564.2835695203</v>
      </c>
      <c r="N23" s="67">
        <f t="shared" si="14"/>
        <v>1794187.2456143999</v>
      </c>
      <c r="O23" s="67">
        <f t="shared" si="14"/>
        <v>3301585.1106629046</v>
      </c>
      <c r="P23" s="67">
        <f t="shared" si="14"/>
        <v>4651274.9784711609</v>
      </c>
      <c r="R23" s="67">
        <f t="shared" si="15"/>
        <v>478354.06904999993</v>
      </c>
      <c r="S23" s="67">
        <f t="shared" si="15"/>
        <v>748213.49554380006</v>
      </c>
      <c r="T23" s="67">
        <f t="shared" si="15"/>
        <v>887740.48771980009</v>
      </c>
      <c r="V23" s="67" cm="1">
        <f t="array" ref="V23">_xlfn.LET(_xlpm.hours,_xlfn._TRO_TRAILING(Sites!$BR:$BT),_xlpm.type,ISNUMBER(SEARCH($V$17,_xlfn._TRO_TRAILING(Sites!$H:$H))),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1078905.2517359999</v>
      </c>
      <c r="W23" s="67" cm="1">
        <f t="array" ref="W23">_xlfn.LET(_xlpm.hours,_xlfn._TRO_TRAILING(Sites!$BR:$BT),_xlpm.type,ISNUMBER(SEARCH($V$17,_xlfn._TRO_TRAILING(Sites!$H:$H))),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1279776.2870879997</v>
      </c>
      <c r="X23" s="67" cm="1">
        <f t="array" ref="X23">_xlfn.LET(_xlpm.hours,_xlfn._TRO_TRAILING(Sites!$BR:$BT),_xlpm.type,ISNUMBER(SEARCH($V$17,_xlfn._TRO_TRAILING(Sites!$H:$H))),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1279776.2870879997</v>
      </c>
      <c r="Z23" s="67" cm="1">
        <f t="array" ref="Z23">_xlfn.LET(_xlpm.hours,_xlfn._TRO_TRAILING(Sites!$BR:$BT),_xlpm.type,ISNUMBER(SEARCH($V$17,_xlfn._TRO_TRAILING(Sites!$H:$H))),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1037382.9890111999</v>
      </c>
      <c r="AA23" s="67" cm="1">
        <f t="array" ref="AA23">_xlfn.LET(_xlpm.hours,_xlfn._TRO_TRAILING(Sites!$BR:$BT),_xlpm.type,ISNUMBER(SEARCH($V$17,_xlfn._TRO_TRAILING(Sites!$H:$H))),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1378589.4772462801</v>
      </c>
      <c r="AB23" s="67" cm="1">
        <f t="array" ref="AB23">_xlfn.LET(_xlpm.hours,_xlfn._TRO_TRAILING(Sites!$BR:$BT),_xlpm.type,ISNUMBER(SEARCH($V$17,_xlfn._TRO_TRAILING(Sites!$H:$H))),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1689455.5463363761</v>
      </c>
      <c r="AD23" s="67" cm="1">
        <f t="array" ref="AD23">_xlfn.LET(_xlpm.hours,_xlfn._TRO_TRAILING(Sites!$BR:$BT),_xlpm.type,ISNUMBER(SEARCH($V$17,_xlfn._TRO_TRAILING(Sites!$H:$H))),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478354.06904999993</v>
      </c>
      <c r="AE23" s="67" cm="1">
        <f t="array" ref="AE23">_xlfn.LET(_xlpm.hours,_xlfn._TRO_TRAILING(Sites!$BR:$BT),_xlpm.type,ISNUMBER(SEARCH($V$17,_xlfn._TRO_TRAILING(Sites!$H:$H))),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748213.49554380006</v>
      </c>
      <c r="AF23" s="67" cm="1">
        <f t="array" ref="AF23">_xlfn.LET(_xlpm.hours,_xlfn._TRO_TRAILING(Sites!$BR:$BT),_xlpm.type,ISNUMBER(SEARCH($V$17,_xlfn._TRO_TRAILING(Sites!$H:$H))),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887740.48771980009</v>
      </c>
      <c r="AH23" s="67" cm="1">
        <f t="array" ref="AH23">_xlfn.LET(_xlpm.hours,_xlfn._TRO_TRAILING(Sites!$BR:$BT),_xlpm.type,ISNUMBER(SEARCH($AH$17,_xlfn._TRO_TRAILING(Sites!$H:$H))),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2354539.8679920002</v>
      </c>
      <c r="AI23" s="67" cm="1">
        <f t="array" ref="AI23">_xlfn.LET(_xlpm.hours,_xlfn._TRO_TRAILING(Sites!$BR:$BT),_xlpm.type,ISNUMBER(SEARCH($AH$17,_xlfn._TRO_TRAILING(Sites!$H:$H))),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3210105.5201123999</v>
      </c>
      <c r="AJ23" s="67" cm="1">
        <f t="array" ref="AJ23">_xlfn.LET(_xlpm.hours,_xlfn._TRO_TRAILING(Sites!$BR:$BT),_xlpm.type,ISNUMBER(SEARCH($AH$17,_xlfn._TRO_TRAILING(Sites!$H:$H))),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4263787.9964815201</v>
      </c>
      <c r="AL23" s="67" cm="1">
        <f t="array" ref="AL23">_xlfn.LET(_xlpm.hours,_xlfn._TRO_TRAILING(Sites!$BR:$BT),_xlpm.type,ISNUMBER(SEARCH($AH$17,_xlfn._TRO_TRAILING(Sites!$H:$H))),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756804.25660319999</v>
      </c>
      <c r="AM23" s="67" cm="1">
        <f t="array" ref="AM23">_xlfn.LET(_xlpm.hours,_xlfn._TRO_TRAILING(Sites!$BR:$BT),_xlpm.type,ISNUMBER(SEARCH($AH$17,_xlfn._TRO_TRAILING(Sites!$H:$H))),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1922995.6334166245</v>
      </c>
      <c r="AN23" s="67" cm="1">
        <f t="array" ref="AN23">_xlfn.LET(_xlpm.hours,_xlfn._TRO_TRAILING(Sites!$BR:$BT),_xlpm.type,ISNUMBER(SEARCH($AH$17,_xlfn._TRO_TRAILING(Sites!$H:$H))),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2961819.4321347848</v>
      </c>
      <c r="AP23" s="67" cm="1">
        <f t="array" ref="AP23">_xlfn.LET(_xlpm.hours,_xlfn._TRO_TRAILING(Sites!$BR:$BT),_xlpm.type,ISNUMBER(SEARCH($AH$17,_xlfn._TRO_TRAILING(Sites!$H:$H))),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3" s="67" cm="1">
        <f t="array" ref="AQ23">_xlfn.LET(_xlpm.hours,_xlfn._TRO_TRAILING(Sites!$BR:$BT),_xlpm.type,ISNUMBER(SEARCH($AH$17,_xlfn._TRO_TRAILING(Sites!$H:$H))),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3" s="67" cm="1">
        <f t="array" ref="AR23">_xlfn.LET(_xlpm.hours,_xlfn._TRO_TRAILING(Sites!$BR:$BT),_xlpm.type,ISNUMBER(SEARCH($AH$17,_xlfn._TRO_TRAILING(Sites!$H:$H))),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4" spans="2:44" outlineLevel="1" x14ac:dyDescent="0.25">
      <c r="B24" s="39" t="s">
        <v>453</v>
      </c>
      <c r="D24" s="107"/>
      <c r="F24" s="67">
        <f t="shared" si="16"/>
        <v>423113.96522399999</v>
      </c>
      <c r="G24" s="67">
        <f t="shared" si="10"/>
        <v>621976.10215667996</v>
      </c>
      <c r="H24" s="67">
        <f t="shared" si="11"/>
        <v>781604.30892227998</v>
      </c>
      <c r="J24" s="67">
        <f t="shared" si="17"/>
        <v>189304.69537199999</v>
      </c>
      <c r="K24" s="67">
        <f t="shared" si="12"/>
        <v>242051.9857782</v>
      </c>
      <c r="L24" s="67">
        <f t="shared" si="13"/>
        <v>286256.67375396006</v>
      </c>
      <c r="N24" s="67">
        <f t="shared" si="14"/>
        <v>160216.336152</v>
      </c>
      <c r="O24" s="67">
        <f t="shared" si="14"/>
        <v>264814.34783327999</v>
      </c>
      <c r="P24" s="67">
        <f t="shared" si="14"/>
        <v>358772.17551911995</v>
      </c>
      <c r="R24" s="67">
        <f t="shared" si="15"/>
        <v>73592.93369999998</v>
      </c>
      <c r="S24" s="67">
        <f t="shared" si="15"/>
        <v>115109.76854519997</v>
      </c>
      <c r="T24" s="67">
        <f t="shared" si="15"/>
        <v>136575.45964919997</v>
      </c>
      <c r="V24" s="67" cm="1">
        <f t="array" ref="V24">_xlfn.LET(_xlpm.hours,_xlfn._TRO_TRAILING(Sites!$BV:$BX),_xlpm.type,ISNUMBER(SEARCH($V$17,_xlfn._TRO_TRAILING(Sites!$H:$H))),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90525.696456000005</v>
      </c>
      <c r="W24" s="67" cm="1">
        <f t="array" ref="W24">_xlfn.LET(_xlpm.hours,_xlfn._TRO_TRAILING(Sites!$BV:$BX),_xlpm.type,ISNUMBER(SEARCH($V$17,_xlfn._TRO_TRAILING(Sites!$H:$H))),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107379.80884800002</v>
      </c>
      <c r="X24" s="67" cm="1">
        <f t="array" ref="X24">_xlfn.LET(_xlpm.hours,_xlfn._TRO_TRAILING(Sites!$BV:$BX),_xlpm.type,ISNUMBER(SEARCH($V$17,_xlfn._TRO_TRAILING(Sites!$H:$H))),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107379.80884800002</v>
      </c>
      <c r="Z24" s="67" cm="1">
        <f t="array" ref="Z24">_xlfn.LET(_xlpm.hours,_xlfn._TRO_TRAILING(Sites!$BV:$BX),_xlpm.type,ISNUMBER(SEARCH($V$17,_xlfn._TRO_TRAILING(Sites!$H:$H))),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117394.72300800002</v>
      </c>
      <c r="AA24" s="67" cm="1">
        <f t="array" ref="AA24">_xlfn.LET(_xlpm.hours,_xlfn._TRO_TRAILING(Sites!$BV:$BX),_xlpm.type,ISNUMBER(SEARCH($V$17,_xlfn._TRO_TRAILING(Sites!$H:$H))),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156007.11746519999</v>
      </c>
      <c r="AB24" s="67" cm="1">
        <f t="array" ref="AB24">_xlfn.LET(_xlpm.hours,_xlfn._TRO_TRAILING(Sites!$BV:$BX),_xlpm.type,ISNUMBER(SEARCH($V$17,_xlfn._TRO_TRAILING(Sites!$H:$H))),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191186.05953383996</v>
      </c>
      <c r="AD24" s="67" cm="1">
        <f t="array" ref="AD24">_xlfn.LET(_xlpm.hours,_xlfn._TRO_TRAILING(Sites!$BV:$BX),_xlpm.type,ISNUMBER(SEARCH($V$17,_xlfn._TRO_TRAILING(Sites!$H:$H))),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73592.93369999998</v>
      </c>
      <c r="AE24" s="67" cm="1">
        <f t="array" ref="AE24">_xlfn.LET(_xlpm.hours,_xlfn._TRO_TRAILING(Sites!$BV:$BX),_xlpm.type,ISNUMBER(SEARCH($V$17,_xlfn._TRO_TRAILING(Sites!$H:$H))),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115109.76854519997</v>
      </c>
      <c r="AF24" s="67" cm="1">
        <f t="array" ref="AF24">_xlfn.LET(_xlpm.hours,_xlfn._TRO_TRAILING(Sites!$BV:$BX),_xlpm.type,ISNUMBER(SEARCH($V$17,_xlfn._TRO_TRAILING(Sites!$H:$H))),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136575.45964919997</v>
      </c>
      <c r="AH24" s="67" cm="1">
        <f t="array" ref="AH24">_xlfn.LET(_xlpm.hours,_xlfn._TRO_TRAILING(Sites!$BV:$BX),_xlpm.type,ISNUMBER(SEARCH($AH$17,_xlfn._TRO_TRAILING(Sites!$H:$H))),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98778.998915999982</v>
      </c>
      <c r="AI24" s="67" cm="1">
        <f t="array" ref="AI24">_xlfn.LET(_xlpm.hours,_xlfn._TRO_TRAILING(Sites!$BV:$BX),_xlpm.type,ISNUMBER(SEARCH($AH$17,_xlfn._TRO_TRAILING(Sites!$H:$H))),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134672.17693019999</v>
      </c>
      <c r="AJ24" s="67" cm="1">
        <f t="array" ref="AJ24">_xlfn.LET(_xlpm.hours,_xlfn._TRO_TRAILING(Sites!$BV:$BX),_xlpm.type,ISNUMBER(SEARCH($AH$17,_xlfn._TRO_TRAILING(Sites!$H:$H))),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178876.86490596001</v>
      </c>
      <c r="AL24" s="67" cm="1">
        <f t="array" ref="AL24">_xlfn.LET(_xlpm.hours,_xlfn._TRO_TRAILING(Sites!$BV:$BX),_xlpm.type,ISNUMBER(SEARCH($AH$17,_xlfn._TRO_TRAILING(Sites!$H:$H))),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42821.613144000003</v>
      </c>
      <c r="AM24" s="67" cm="1">
        <f t="array" ref="AM24">_xlfn.LET(_xlpm.hours,_xlfn._TRO_TRAILING(Sites!$BV:$BX),_xlpm.type,ISNUMBER(SEARCH($AH$17,_xlfn._TRO_TRAILING(Sites!$H:$H))),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108807.23036808001</v>
      </c>
      <c r="AN24" s="67" cm="1">
        <f t="array" ref="AN24">_xlfn.LET(_xlpm.hours,_xlfn._TRO_TRAILING(Sites!$BV:$BX),_xlpm.type,ISNUMBER(SEARCH($AH$17,_xlfn._TRO_TRAILING(Sites!$H:$H))),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167586.11598528002</v>
      </c>
      <c r="AP24" s="67" cm="1">
        <f t="array" ref="AP24">_xlfn.LET(_xlpm.hours,_xlfn._TRO_TRAILING(Sites!$BV:$BX),_xlpm.type,ISNUMBER(SEARCH($AH$17,_xlfn._TRO_TRAILING(Sites!$H:$H))),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4" s="67" cm="1">
        <f t="array" ref="AQ24">_xlfn.LET(_xlpm.hours,_xlfn._TRO_TRAILING(Sites!$BV:$BX),_xlpm.type,ISNUMBER(SEARCH($AH$17,_xlfn._TRO_TRAILING(Sites!$H:$H))),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4" s="67" cm="1">
        <f t="array" ref="AR24">_xlfn.LET(_xlpm.hours,_xlfn._TRO_TRAILING(Sites!$BV:$BX),_xlpm.type,ISNUMBER(SEARCH($AH$17,_xlfn._TRO_TRAILING(Sites!$H:$H))),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5" spans="2:44" outlineLevel="1" x14ac:dyDescent="0.25">
      <c r="B25" s="39" t="s">
        <v>452</v>
      </c>
      <c r="D25" s="107"/>
      <c r="F25" s="67">
        <f t="shared" si="16"/>
        <v>832749.38199466665</v>
      </c>
      <c r="G25" s="67">
        <f t="shared" si="10"/>
        <v>1206643.1792566401</v>
      </c>
      <c r="H25" s="67">
        <f t="shared" si="11"/>
        <v>1509869.1033223467</v>
      </c>
      <c r="J25" s="67">
        <f t="shared" si="17"/>
        <v>438471.22838399996</v>
      </c>
      <c r="K25" s="67">
        <f t="shared" si="12"/>
        <v>564343.87535712007</v>
      </c>
      <c r="L25" s="67">
        <f t="shared" si="13"/>
        <v>667531.74689567997</v>
      </c>
      <c r="N25" s="67">
        <f t="shared" si="14"/>
        <v>288485.01638400002</v>
      </c>
      <c r="O25" s="67">
        <f t="shared" si="14"/>
        <v>476823.85771776002</v>
      </c>
      <c r="P25" s="67">
        <f t="shared" si="14"/>
        <v>646004.01818303997</v>
      </c>
      <c r="R25" s="67">
        <f t="shared" si="15"/>
        <v>105793.13722666664</v>
      </c>
      <c r="S25" s="67">
        <f t="shared" si="15"/>
        <v>165475.44618175997</v>
      </c>
      <c r="T25" s="67">
        <f t="shared" si="15"/>
        <v>196333.33824362664</v>
      </c>
      <c r="V25" s="67" cm="1">
        <f t="array" ref="V25">_xlfn.LET(_xlpm.hours,_xlfn._TRO_TRAILING(Sites!$BZ:$CB),_xlpm.type,ISNUMBER(SEARCH($V$17,_xlfn._TRO_TRAILING(Sites!$H:$H))),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209296.85356799999</v>
      </c>
      <c r="W25" s="67" cm="1">
        <f t="array" ref="W25">_xlfn.LET(_xlpm.hours,_xlfn._TRO_TRAILING(Sites!$BZ:$CB),_xlpm.type,ISNUMBER(SEARCH($V$17,_xlfn._TRO_TRAILING(Sites!$H:$H))),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248263.83014400001</v>
      </c>
      <c r="X25" s="67" cm="1">
        <f t="array" ref="X25">_xlfn.LET(_xlpm.hours,_xlfn._TRO_TRAILING(Sites!$BZ:$CB),_xlpm.type,ISNUMBER(SEARCH($V$17,_xlfn._TRO_TRAILING(Sites!$H:$H))),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248263.83014400001</v>
      </c>
      <c r="Z25" s="67" cm="1">
        <f t="array" ref="Z25">_xlfn.LET(_xlpm.hours,_xlfn._TRO_TRAILING(Sites!$BZ:$CB),_xlpm.type,ISNUMBER(SEARCH($V$17,_xlfn._TRO_TRAILING(Sites!$H:$H))),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211380.55833600002</v>
      </c>
      <c r="AA25" s="67" cm="1">
        <f t="array" ref="AA25">_xlfn.LET(_xlpm.hours,_xlfn._TRO_TRAILING(Sites!$BZ:$CB),_xlpm.type,ISNUMBER(SEARCH($V$17,_xlfn._TRO_TRAILING(Sites!$H:$H))),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280905.91083840001</v>
      </c>
      <c r="AB25" s="67" cm="1">
        <f t="array" ref="AB25">_xlfn.LET(_xlpm.hours,_xlfn._TRO_TRAILING(Sites!$BZ:$CB),_xlpm.type,ISNUMBER(SEARCH($V$17,_xlfn._TRO_TRAILING(Sites!$H:$H))),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344249.00008128001</v>
      </c>
      <c r="AD25" s="67" cm="1">
        <f t="array" ref="AD25">_xlfn.LET(_xlpm.hours,_xlfn._TRO_TRAILING(Sites!$BZ:$CB),_xlpm.type,ISNUMBER(SEARCH($V$17,_xlfn._TRO_TRAILING(Sites!$H:$H))),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105793.13722666664</v>
      </c>
      <c r="AE25" s="67" cm="1">
        <f t="array" ref="AE25">_xlfn.LET(_xlpm.hours,_xlfn._TRO_TRAILING(Sites!$BZ:$CB),_xlpm.type,ISNUMBER(SEARCH($V$17,_xlfn._TRO_TRAILING(Sites!$H:$H))),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165475.44618175997</v>
      </c>
      <c r="AF25" s="67" cm="1">
        <f t="array" ref="AF25">_xlfn.LET(_xlpm.hours,_xlfn._TRO_TRAILING(Sites!$BZ:$CB),_xlpm.type,ISNUMBER(SEARCH($V$17,_xlfn._TRO_TRAILING(Sites!$H:$H))),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196333.33824362664</v>
      </c>
      <c r="AH25" s="67" cm="1">
        <f t="array" ref="AH25">_xlfn.LET(_xlpm.hours,_xlfn._TRO_TRAILING(Sites!$BZ:$CB),_xlpm.type,ISNUMBER(SEARCH($AH$17,_xlfn._TRO_TRAILING(Sites!$H:$H))),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229174.37481599997</v>
      </c>
      <c r="AI25" s="67" cm="1">
        <f t="array" ref="AI25">_xlfn.LET(_xlpm.hours,_xlfn._TRO_TRAILING(Sites!$BZ:$CB),_xlpm.type,ISNUMBER(SEARCH($AH$17,_xlfn._TRO_TRAILING(Sites!$H:$H))),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316080.04521312</v>
      </c>
      <c r="AJ25" s="67" cm="1">
        <f t="array" ref="AJ25">_xlfn.LET(_xlpm.hours,_xlfn._TRO_TRAILING(Sites!$BZ:$CB),_xlpm.type,ISNUMBER(SEARCH($AH$17,_xlfn._TRO_TRAILING(Sites!$H:$H))),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419267.91675168002</v>
      </c>
      <c r="AL25" s="67" cm="1">
        <f t="array" ref="AL25">_xlfn.LET(_xlpm.hours,_xlfn._TRO_TRAILING(Sites!$BZ:$CB),_xlpm.type,ISNUMBER(SEARCH($AH$17,_xlfn._TRO_TRAILING(Sites!$H:$H))),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77104.458048</v>
      </c>
      <c r="AM25" s="67" cm="1">
        <f t="array" ref="AM25">_xlfn.LET(_xlpm.hours,_xlfn._TRO_TRAILING(Sites!$BZ:$CB),_xlpm.type,ISNUMBER(SEARCH($AH$17,_xlfn._TRO_TRAILING(Sites!$H:$H))),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195917.94687936001</v>
      </c>
      <c r="AN25" s="67" cm="1">
        <f t="array" ref="AN25">_xlfn.LET(_xlpm.hours,_xlfn._TRO_TRAILING(Sites!$BZ:$CB),_xlpm.type,ISNUMBER(SEARCH($AH$17,_xlfn._TRO_TRAILING(Sites!$H:$H))),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301755.01810175995</v>
      </c>
      <c r="AP25" s="67" cm="1">
        <f t="array" ref="AP25">_xlfn.LET(_xlpm.hours,_xlfn._TRO_TRAILING(Sites!$BZ:$CB),_xlpm.type,ISNUMBER(SEARCH($AH$17,_xlfn._TRO_TRAILING(Sites!$H:$H))),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5" s="67" cm="1">
        <f t="array" ref="AQ25">_xlfn.LET(_xlpm.hours,_xlfn._TRO_TRAILING(Sites!$BZ:$CB),_xlpm.type,ISNUMBER(SEARCH($AH$17,_xlfn._TRO_TRAILING(Sites!$H:$H))),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5" s="67" cm="1">
        <f t="array" ref="AR25">_xlfn.LET(_xlpm.hours,_xlfn._TRO_TRAILING(Sites!$BZ:$CB),_xlpm.type,ISNUMBER(SEARCH($AH$17,_xlfn._TRO_TRAILING(Sites!$H:$H))),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6" spans="2:44" outlineLevel="1" x14ac:dyDescent="0.25">
      <c r="B26" s="39" t="s">
        <v>473</v>
      </c>
      <c r="D26" s="107"/>
      <c r="F26" s="67">
        <f t="shared" si="16"/>
        <v>0</v>
      </c>
      <c r="G26" s="67">
        <f t="shared" si="10"/>
        <v>0</v>
      </c>
      <c r="H26" s="67">
        <f t="shared" si="11"/>
        <v>0</v>
      </c>
      <c r="J26" s="67">
        <f t="shared" si="17"/>
        <v>0</v>
      </c>
      <c r="K26" s="67">
        <f t="shared" si="12"/>
        <v>0</v>
      </c>
      <c r="L26" s="67">
        <f t="shared" si="13"/>
        <v>0</v>
      </c>
      <c r="N26" s="67">
        <f t="shared" si="14"/>
        <v>0</v>
      </c>
      <c r="O26" s="67">
        <f t="shared" si="14"/>
        <v>0</v>
      </c>
      <c r="P26" s="67">
        <f t="shared" si="14"/>
        <v>0</v>
      </c>
      <c r="R26" s="67">
        <f t="shared" si="15"/>
        <v>0</v>
      </c>
      <c r="S26" s="67">
        <f t="shared" si="15"/>
        <v>0</v>
      </c>
      <c r="T26" s="67">
        <f t="shared" si="15"/>
        <v>0</v>
      </c>
      <c r="V26" s="188">
        <v>0</v>
      </c>
      <c r="W26" s="188">
        <v>0</v>
      </c>
      <c r="X26" s="188">
        <v>0</v>
      </c>
      <c r="Z26" s="188">
        <v>0</v>
      </c>
      <c r="AA26" s="188">
        <v>0</v>
      </c>
      <c r="AB26" s="188">
        <v>0</v>
      </c>
      <c r="AD26" s="188">
        <v>0</v>
      </c>
      <c r="AE26" s="188">
        <v>0</v>
      </c>
      <c r="AF26" s="188">
        <v>0</v>
      </c>
      <c r="AH26" s="188">
        <v>0</v>
      </c>
      <c r="AI26" s="188">
        <v>0</v>
      </c>
      <c r="AJ26" s="188">
        <v>0</v>
      </c>
      <c r="AL26" s="188">
        <v>0</v>
      </c>
      <c r="AM26" s="188">
        <v>0</v>
      </c>
      <c r="AN26" s="188">
        <v>0</v>
      </c>
      <c r="AP26" s="188">
        <v>0</v>
      </c>
      <c r="AQ26" s="188">
        <v>0</v>
      </c>
      <c r="AR26" s="188">
        <v>0</v>
      </c>
    </row>
    <row r="27" spans="2:44" outlineLevel="1" x14ac:dyDescent="0.25">
      <c r="B27" s="39" t="s">
        <v>474</v>
      </c>
      <c r="D27" s="107"/>
      <c r="F27" s="67">
        <f t="shared" si="16"/>
        <v>0</v>
      </c>
      <c r="G27" s="67">
        <f t="shared" si="10"/>
        <v>0</v>
      </c>
      <c r="H27" s="67">
        <f t="shared" si="11"/>
        <v>0</v>
      </c>
      <c r="J27" s="67">
        <f t="shared" si="17"/>
        <v>0</v>
      </c>
      <c r="K27" s="67">
        <f t="shared" si="12"/>
        <v>0</v>
      </c>
      <c r="L27" s="67">
        <f t="shared" si="13"/>
        <v>0</v>
      </c>
      <c r="N27" s="67">
        <f t="shared" si="14"/>
        <v>0</v>
      </c>
      <c r="O27" s="67">
        <f t="shared" si="14"/>
        <v>0</v>
      </c>
      <c r="P27" s="67">
        <f t="shared" si="14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V27" s="188">
        <v>0</v>
      </c>
      <c r="W27" s="188">
        <v>0</v>
      </c>
      <c r="X27" s="188">
        <v>0</v>
      </c>
      <c r="Z27" s="188">
        <v>0</v>
      </c>
      <c r="AA27" s="188">
        <v>0</v>
      </c>
      <c r="AB27" s="188">
        <v>0</v>
      </c>
      <c r="AD27" s="188">
        <v>0</v>
      </c>
      <c r="AE27" s="188">
        <v>0</v>
      </c>
      <c r="AF27" s="188">
        <v>0</v>
      </c>
      <c r="AH27" s="188">
        <v>0</v>
      </c>
      <c r="AI27" s="188">
        <v>0</v>
      </c>
      <c r="AJ27" s="188">
        <v>0</v>
      </c>
      <c r="AL27" s="188">
        <v>0</v>
      </c>
      <c r="AM27" s="188">
        <v>0</v>
      </c>
      <c r="AN27" s="188">
        <v>0</v>
      </c>
      <c r="AP27" s="188">
        <v>0</v>
      </c>
      <c r="AQ27" s="188">
        <v>0</v>
      </c>
      <c r="AR27" s="188">
        <v>0</v>
      </c>
    </row>
    <row r="28" spans="2:44" outlineLevel="1" x14ac:dyDescent="0.25">
      <c r="B28" s="39" t="s">
        <v>475</v>
      </c>
      <c r="D28" s="107"/>
      <c r="F28" s="67">
        <f t="shared" si="16"/>
        <v>1201312.9249333334</v>
      </c>
      <c r="G28" s="67">
        <f t="shared" si="10"/>
        <v>1787992.274007333</v>
      </c>
      <c r="H28" s="67">
        <f t="shared" si="11"/>
        <v>2467888.1423559999</v>
      </c>
      <c r="J28" s="67">
        <f t="shared" si="17"/>
        <v>749842.7845999999</v>
      </c>
      <c r="K28" s="67">
        <f t="shared" si="12"/>
        <v>1053759.256307333</v>
      </c>
      <c r="L28" s="67">
        <f t="shared" si="13"/>
        <v>1415487.4836526664</v>
      </c>
      <c r="N28" s="67">
        <f t="shared" si="14"/>
        <v>451470.1403333334</v>
      </c>
      <c r="O28" s="67">
        <f t="shared" si="14"/>
        <v>734233.01770000008</v>
      </c>
      <c r="P28" s="67">
        <f t="shared" si="14"/>
        <v>1052400.6587033332</v>
      </c>
      <c r="R28" s="67">
        <f t="shared" si="15"/>
        <v>0</v>
      </c>
      <c r="S28" s="67">
        <f t="shared" si="15"/>
        <v>0</v>
      </c>
      <c r="T28" s="67">
        <f t="shared" si="15"/>
        <v>0</v>
      </c>
      <c r="V28" s="67" cm="1">
        <f t="array" ref="V28">_xlfn.LET(_xlpm.hours,_xlfn._TRO_TRAILING(Sites!$CL:$CN),_xlpm.type,ISNUMBER(SEARCH($V$17,_xlfn._TRO_TRAILING(Sites!$H:$H))),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28" s="67" cm="1">
        <f t="array" ref="W28">_xlfn.LET(_xlpm.hours,_xlfn._TRO_TRAILING(Sites!$CL:$CN),_xlpm.type,ISNUMBER(SEARCH($V$17,_xlfn._TRO_TRAILING(Sites!$H:$H))),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28" s="67" cm="1">
        <f t="array" ref="X28">_xlfn.LET(_xlpm.hours,_xlfn._TRO_TRAILING(Sites!$CL:$CN),_xlpm.type,ISNUMBER(SEARCH($V$17,_xlfn._TRO_TRAILING(Sites!$H:$H))),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28" s="67" cm="1">
        <f t="array" ref="Z28">_xlfn.LET(_xlpm.hours,_xlfn._TRO_TRAILING(Sites!$CL:$CN),_xlpm.type,ISNUMBER(SEARCH($V$17,_xlfn._TRO_TRAILING(Sites!$H:$H))),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28" s="67" cm="1">
        <f t="array" ref="AA28">_xlfn.LET(_xlpm.hours,_xlfn._TRO_TRAILING(Sites!$CL:$CN),_xlpm.type,ISNUMBER(SEARCH($V$17,_xlfn._TRO_TRAILING(Sites!$H:$H))),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28" s="67" cm="1">
        <f t="array" ref="AB28">_xlfn.LET(_xlpm.hours,_xlfn._TRO_TRAILING(Sites!$CL:$CN),_xlpm.type,ISNUMBER(SEARCH($V$17,_xlfn._TRO_TRAILING(Sites!$H:$H))),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28" s="67" cm="1">
        <f t="array" ref="AD28">_xlfn.LET(_xlpm.hours,_xlfn._TRO_TRAILING(Sites!$CL:$CN),_xlpm.type,ISNUMBER(SEARCH($V$17,_xlfn._TRO_TRAILING(Sites!$H:$H))),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28" s="67" cm="1">
        <f t="array" ref="AE28">_xlfn.LET(_xlpm.hours,_xlfn._TRO_TRAILING(Sites!$CL:$CN),_xlpm.type,ISNUMBER(SEARCH($V$17,_xlfn._TRO_TRAILING(Sites!$H:$H))),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28" s="67" cm="1">
        <f t="array" ref="AF28">_xlfn.LET(_xlpm.hours,_xlfn._TRO_TRAILING(Sites!$CL:$CN),_xlpm.type,ISNUMBER(SEARCH($V$17,_xlfn._TRO_TRAILING(Sites!$H:$H))),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28" s="67" cm="1">
        <f t="array" ref="AH28">_xlfn.LET(_xlpm.hours,_xlfn._TRO_TRAILING(Sites!$CL:$CN),_xlpm.type,ISNUMBER(SEARCH($AH$17,_xlfn._TRO_TRAILING(Sites!$H:$H))),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749842.7845999999</v>
      </c>
      <c r="AI28" s="67" cm="1">
        <f t="array" ref="AI28">_xlfn.LET(_xlpm.hours,_xlfn._TRO_TRAILING(Sites!$CL:$CN),_xlpm.type,ISNUMBER(SEARCH($AH$17,_xlfn._TRO_TRAILING(Sites!$H:$H))),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1053759.256307333</v>
      </c>
      <c r="AJ28" s="67" cm="1">
        <f t="array" ref="AJ28">_xlfn.LET(_xlpm.hours,_xlfn._TRO_TRAILING(Sites!$CL:$CN),_xlpm.type,ISNUMBER(SEARCH($AH$17,_xlfn._TRO_TRAILING(Sites!$H:$H))),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1415487.4836526664</v>
      </c>
      <c r="AL28" s="67" cm="1">
        <f t="array" ref="AL28">_xlfn.LET(_xlpm.hours,_xlfn._TRO_TRAILING(Sites!$CL:$CN),_xlpm.type,ISNUMBER(SEARCH($AH$17,_xlfn._TRO_TRAILING(Sites!$H:$H))),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451470.1403333334</v>
      </c>
      <c r="AM28" s="67" cm="1">
        <f t="array" ref="AM28">_xlfn.LET(_xlpm.hours,_xlfn._TRO_TRAILING(Sites!$CL:$CN),_xlpm.type,ISNUMBER(SEARCH($AH$17,_xlfn._TRO_TRAILING(Sites!$H:$H))),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734233.01770000008</v>
      </c>
      <c r="AN28" s="67" cm="1">
        <f t="array" ref="AN28">_xlfn.LET(_xlpm.hours,_xlfn._TRO_TRAILING(Sites!$CL:$CN),_xlpm.type,ISNUMBER(SEARCH($AH$17,_xlfn._TRO_TRAILING(Sites!$H:$H))),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1052400.6587033332</v>
      </c>
      <c r="AP28" s="67" cm="1">
        <f t="array" ref="AP28">_xlfn.LET(_xlpm.hours,_xlfn._TRO_TRAILING(Sites!$CL:$CN),_xlpm.type,ISNUMBER(SEARCH($AH$17,_xlfn._TRO_TRAILING(Sites!$H:$H))),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28" s="67" cm="1">
        <f t="array" ref="AQ28">_xlfn.LET(_xlpm.hours,_xlfn._TRO_TRAILING(Sites!$CL:$CN),_xlpm.type,ISNUMBER(SEARCH($AH$17,_xlfn._TRO_TRAILING(Sites!$H:$H))),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28" s="67" cm="1">
        <f t="array" ref="AR28">_xlfn.LET(_xlpm.hours,_xlfn._TRO_TRAILING(Sites!$CL:$CN),_xlpm.type,ISNUMBER(SEARCH($AH$17,_xlfn._TRO_TRAILING(Sites!$H:$H))),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29" spans="2:44" outlineLevel="1" x14ac:dyDescent="0.25">
      <c r="B29" s="39" t="s">
        <v>476</v>
      </c>
      <c r="D29" s="107"/>
      <c r="F29" s="67">
        <f t="shared" si="16"/>
        <v>0</v>
      </c>
      <c r="G29" s="67">
        <f t="shared" si="10"/>
        <v>0</v>
      </c>
      <c r="H29" s="67">
        <f t="shared" si="11"/>
        <v>0</v>
      </c>
      <c r="J29" s="67">
        <f t="shared" si="17"/>
        <v>0</v>
      </c>
      <c r="K29" s="67">
        <f t="shared" si="12"/>
        <v>0</v>
      </c>
      <c r="L29" s="67">
        <f t="shared" si="13"/>
        <v>0</v>
      </c>
      <c r="N29" s="67">
        <f t="shared" si="14"/>
        <v>0</v>
      </c>
      <c r="O29" s="67">
        <f t="shared" si="14"/>
        <v>0</v>
      </c>
      <c r="P29" s="67">
        <f t="shared" si="14"/>
        <v>0</v>
      </c>
      <c r="R29" s="67">
        <f t="shared" si="15"/>
        <v>0</v>
      </c>
      <c r="S29" s="67">
        <f t="shared" si="15"/>
        <v>0</v>
      </c>
      <c r="T29" s="67">
        <f t="shared" si="15"/>
        <v>0</v>
      </c>
      <c r="V29" s="188">
        <v>0</v>
      </c>
      <c r="W29" s="188">
        <v>0</v>
      </c>
      <c r="X29" s="188">
        <v>0</v>
      </c>
      <c r="Z29" s="188">
        <v>0</v>
      </c>
      <c r="AA29" s="188">
        <v>0</v>
      </c>
      <c r="AB29" s="188">
        <v>0</v>
      </c>
      <c r="AD29" s="188">
        <v>0</v>
      </c>
      <c r="AE29" s="188">
        <v>0</v>
      </c>
      <c r="AF29" s="188">
        <v>0</v>
      </c>
      <c r="AH29" s="188">
        <v>0</v>
      </c>
      <c r="AI29" s="188">
        <v>0</v>
      </c>
      <c r="AJ29" s="188">
        <v>0</v>
      </c>
      <c r="AL29" s="188">
        <v>0</v>
      </c>
      <c r="AM29" s="188">
        <v>0</v>
      </c>
      <c r="AN29" s="188">
        <v>0</v>
      </c>
      <c r="AP29" s="188">
        <v>0</v>
      </c>
      <c r="AQ29" s="188">
        <v>0</v>
      </c>
      <c r="AR29" s="188">
        <v>0</v>
      </c>
    </row>
    <row r="30" spans="2:44" outlineLevel="1" x14ac:dyDescent="0.25">
      <c r="B30" s="39" t="s">
        <v>107</v>
      </c>
      <c r="D30" s="107"/>
      <c r="F30" s="67">
        <f t="shared" si="16"/>
        <v>-3993557.5039398074</v>
      </c>
      <c r="G30" s="67">
        <f t="shared" si="10"/>
        <v>-6119453.3924778737</v>
      </c>
      <c r="H30" s="67">
        <f t="shared" si="11"/>
        <v>-8027226.0864921389</v>
      </c>
      <c r="J30" s="67">
        <f t="shared" si="17"/>
        <v>-2178010.1303087994</v>
      </c>
      <c r="K30" s="67">
        <f t="shared" si="12"/>
        <v>-2856386.6974903988</v>
      </c>
      <c r="L30" s="67">
        <f t="shared" si="13"/>
        <v>-3538147.9902004693</v>
      </c>
      <c r="N30" s="67">
        <f t="shared" si="14"/>
        <v>-1452352.6459438079</v>
      </c>
      <c r="O30" s="67">
        <f t="shared" si="14"/>
        <v>-2694978.7150825439</v>
      </c>
      <c r="P30" s="67">
        <f t="shared" si="14"/>
        <v>-3815052.9639569148</v>
      </c>
      <c r="R30" s="67">
        <f t="shared" si="15"/>
        <v>-363194.72768719989</v>
      </c>
      <c r="S30" s="67">
        <f t="shared" si="15"/>
        <v>-568087.97990493104</v>
      </c>
      <c r="T30" s="67">
        <f t="shared" si="15"/>
        <v>-674025.13233475515</v>
      </c>
      <c r="V30" s="67" cm="1">
        <f t="array" ref="V30">_xlfn.LET(_xlpm.hours,_xlfn._TRO_TRAILING(Sites!$BF:$BH),_xlpm.type,ISNUMBER(SEARCH($V$17,_xlfn._TRO_TRAILING(Sites!$H:$H))),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-661743.75200975989</v>
      </c>
      <c r="W30" s="67" cm="1">
        <f t="array" ref="W30">_xlfn.LET(_xlpm.hours,_xlfn._TRO_TRAILING(Sites!$BF:$BH),_xlpm.type,ISNUMBER(SEARCH($V$17,_xlfn._TRO_TRAILING(Sites!$H:$H))),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-784947.48319008003</v>
      </c>
      <c r="X30" s="67" cm="1">
        <f t="array" ref="X30">_xlfn.LET(_xlpm.hours,_xlfn._TRO_TRAILING(Sites!$BF:$BH),_xlpm.type,ISNUMBER(SEARCH($V$17,_xlfn._TRO_TRAILING(Sites!$H:$H))),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-784947.48319008003</v>
      </c>
      <c r="Z30" s="67" cm="1">
        <f t="array" ref="Z30">_xlfn.LET(_xlpm.hours,_xlfn._TRO_TRAILING(Sites!$BF:$BH),_xlpm.type,ISNUMBER(SEARCH($V$17,_xlfn._TRO_TRAILING(Sites!$H:$H))),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-780354.41147481604</v>
      </c>
      <c r="AA30" s="67" cm="1">
        <f t="array" ref="AA30">_xlfn.LET(_xlpm.hours,_xlfn._TRO_TRAILING(Sites!$BF:$BH),_xlpm.type,ISNUMBER(SEARCH($V$17,_xlfn._TRO_TRAILING(Sites!$H:$H))),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-1037021.4198396504</v>
      </c>
      <c r="AB30" s="67" cm="1">
        <f t="array" ref="AB30">_xlfn.LET(_xlpm.hours,_xlfn._TRO_TRAILING(Sites!$BF:$BH),_xlpm.type,ISNUMBER(SEARCH($V$17,_xlfn._TRO_TRAILING(Sites!$H:$H))),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-1270865.3434068919</v>
      </c>
      <c r="AD30" s="67" cm="1">
        <f t="array" ref="AD30">_xlfn.LET(_xlpm.hours,_xlfn._TRO_TRAILING(Sites!$BF:$BH),_xlpm.type,ISNUMBER(SEARCH($V$17,_xlfn._TRO_TRAILING(Sites!$H:$H))),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-363194.72768719989</v>
      </c>
      <c r="AE30" s="67" cm="1">
        <f t="array" ref="AE30">_xlfn.LET(_xlpm.hours,_xlfn._TRO_TRAILING(Sites!$BF:$BH),_xlpm.type,ISNUMBER(SEARCH($V$17,_xlfn._TRO_TRAILING(Sites!$H:$H))),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-568087.97990493104</v>
      </c>
      <c r="AF30" s="67" cm="1">
        <f t="array" ref="AF30">_xlfn.LET(_xlpm.hours,_xlfn._TRO_TRAILING(Sites!$BF:$BH),_xlpm.type,ISNUMBER(SEARCH($V$17,_xlfn._TRO_TRAILING(Sites!$H:$H))),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-674025.13233475515</v>
      </c>
      <c r="AH30" s="67" cm="1">
        <f t="array" ref="AH30">_xlfn.LET(_xlpm.hours,_xlfn._TRO_TRAILING(Sites!$BF:$BH),_xlpm.type,ISNUMBER(SEARCH($AH$17,_xlfn._TRO_TRAILING(Sites!$H:$H))),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-1516266.3782990398</v>
      </c>
      <c r="AI30" s="67" cm="1">
        <f t="array" ref="AI30">_xlfn.LET(_xlpm.hours,_xlfn._TRO_TRAILING(Sites!$BF:$BH),_xlpm.type,ISNUMBER(SEARCH($AH$17,_xlfn._TRO_TRAILING(Sites!$H:$H))),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-2071439.2143003186</v>
      </c>
      <c r="AJ30" s="67" cm="1">
        <f t="array" ref="AJ30">_xlfn.LET(_xlpm.hours,_xlfn._TRO_TRAILING(Sites!$BF:$BH),_xlpm.type,ISNUMBER(SEARCH($AH$17,_xlfn._TRO_TRAILING(Sites!$H:$H))),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-2753200.5070103891</v>
      </c>
      <c r="AL30" s="67" cm="1">
        <f t="array" ref="AL30">_xlfn.LET(_xlpm.hours,_xlfn._TRO_TRAILING(Sites!$BF:$BH),_xlpm.type,ISNUMBER(SEARCH($AH$17,_xlfn._TRO_TRAILING(Sites!$H:$H))),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-671998.23446899187</v>
      </c>
      <c r="AM30" s="67" cm="1">
        <f t="array" ref="AM30">_xlfn.LET(_xlpm.hours,_xlfn._TRO_TRAILING(Sites!$BF:$BH),_xlpm.type,ISNUMBER(SEARCH($AH$17,_xlfn._TRO_TRAILING(Sites!$H:$H))),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-1657957.2952428933</v>
      </c>
      <c r="AN30" s="67" cm="1">
        <f t="array" ref="AN30">_xlfn.LET(_xlpm.hours,_xlfn._TRO_TRAILING(Sites!$BF:$BH),_xlpm.type,ISNUMBER(SEARCH($AH$17,_xlfn._TRO_TRAILING(Sites!$H:$H))),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-2544187.6205500229</v>
      </c>
      <c r="AP30" s="67" cm="1">
        <f t="array" ref="AP30">_xlfn.LET(_xlpm.hours,_xlfn._TRO_TRAILING(Sites!$BF:$BH),_xlpm.type,ISNUMBER(SEARCH($AH$17,_xlfn._TRO_TRAILING(Sites!$H:$H))),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30" s="67" cm="1">
        <f t="array" ref="AQ30">_xlfn.LET(_xlpm.hours,_xlfn._TRO_TRAILING(Sites!$BF:$BH),_xlpm.type,ISNUMBER(SEARCH($AH$17,_xlfn._TRO_TRAILING(Sites!$H:$H))),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30" s="67" cm="1">
        <f t="array" ref="AR30">_xlfn.LET(_xlpm.hours,_xlfn._TRO_TRAILING(Sites!$BF:$BH),_xlpm.type,ISNUMBER(SEARCH($AH$17,_xlfn._TRO_TRAILING(Sites!$H:$H))),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31" spans="2:44" outlineLevel="1" x14ac:dyDescent="0.25">
      <c r="B31" s="39" t="s">
        <v>320</v>
      </c>
      <c r="C31" s="4"/>
      <c r="D31" s="107"/>
      <c r="F31" s="67">
        <f t="shared" si="16"/>
        <v>0</v>
      </c>
      <c r="G31" s="67">
        <f t="shared" si="10"/>
        <v>0</v>
      </c>
      <c r="H31" s="67">
        <f t="shared" si="11"/>
        <v>0</v>
      </c>
      <c r="J31" s="67">
        <f t="shared" si="17"/>
        <v>0</v>
      </c>
      <c r="K31" s="67">
        <f t="shared" si="12"/>
        <v>0</v>
      </c>
      <c r="L31" s="67">
        <f t="shared" si="13"/>
        <v>0</v>
      </c>
      <c r="N31" s="67">
        <f t="shared" si="14"/>
        <v>0</v>
      </c>
      <c r="O31" s="67">
        <f t="shared" si="14"/>
        <v>0</v>
      </c>
      <c r="P31" s="67">
        <f t="shared" si="14"/>
        <v>0</v>
      </c>
      <c r="R31" s="67">
        <f t="shared" si="15"/>
        <v>0</v>
      </c>
      <c r="S31" s="67">
        <f t="shared" si="15"/>
        <v>0</v>
      </c>
      <c r="T31" s="67">
        <f t="shared" si="15"/>
        <v>0</v>
      </c>
      <c r="V31" s="67" cm="1">
        <f t="array" ref="V31">_xlfn.LET(_xlpm.hours,_xlfn._TRO_TRAILING(Sites!$CT:$CV),_xlpm.type,ISNUMBER(SEARCH($V$17,_xlfn._TRO_TRAILING(Sites!$H:$H))),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1" s="67" cm="1">
        <f t="array" ref="W31">_xlfn.LET(_xlpm.hours,_xlfn._TRO_TRAILING(Sites!$CT:$CV),_xlpm.type,ISNUMBER(SEARCH($V$17,_xlfn._TRO_TRAILING(Sites!$H:$H))),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1" s="67" cm="1">
        <f t="array" ref="X31">_xlfn.LET(_xlpm.hours,_xlfn._TRO_TRAILING(Sites!$CT:$CV),_xlpm.type,ISNUMBER(SEARCH($V$17,_xlfn._TRO_TRAILING(Sites!$H:$H))),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31" s="67" cm="1">
        <f t="array" ref="Z31">_xlfn.LET(_xlpm.hours,_xlfn._TRO_TRAILING(Sites!$CT:$CV),_xlpm.type,ISNUMBER(SEARCH($V$17,_xlfn._TRO_TRAILING(Sites!$H:$H))),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31" s="67" cm="1">
        <f t="array" ref="AA31">_xlfn.LET(_xlpm.hours,_xlfn._TRO_TRAILING(Sites!$CT:$CV),_xlpm.type,ISNUMBER(SEARCH($V$17,_xlfn._TRO_TRAILING(Sites!$H:$H))),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31" s="67" cm="1">
        <f t="array" ref="AB31">_xlfn.LET(_xlpm.hours,_xlfn._TRO_TRAILING(Sites!$CT:$CV),_xlpm.type,ISNUMBER(SEARCH($V$17,_xlfn._TRO_TRAILING(Sites!$H:$H))),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31" s="67" cm="1">
        <f t="array" ref="AD31">_xlfn.LET(_xlpm.hours,_xlfn._TRO_TRAILING(Sites!$CT:$CV),_xlpm.type,ISNUMBER(SEARCH($V$17,_xlfn._TRO_TRAILING(Sites!$H:$H))),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31" s="67" cm="1">
        <f t="array" ref="AE31">_xlfn.LET(_xlpm.hours,_xlfn._TRO_TRAILING(Sites!$CT:$CV),_xlpm.type,ISNUMBER(SEARCH($V$17,_xlfn._TRO_TRAILING(Sites!$H:$H))),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31" s="67" cm="1">
        <f t="array" ref="AF31">_xlfn.LET(_xlpm.hours,_xlfn._TRO_TRAILING(Sites!$CT:$CV),_xlpm.type,ISNUMBER(SEARCH($V$17,_xlfn._TRO_TRAILING(Sites!$H:$H))),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31" s="67" cm="1">
        <f t="array" ref="AH31">_xlfn.LET(_xlpm.hours,_xlfn._TRO_TRAILING(Sites!$CT:$CV),_xlpm.type,ISNUMBER(SEARCH($AH$17,_xlfn._TRO_TRAILING(Sites!$H:$H))),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0</v>
      </c>
      <c r="AI31" s="67" cm="1">
        <f t="array" ref="AI31">_xlfn.LET(_xlpm.hours,_xlfn._TRO_TRAILING(Sites!$CT:$CV),_xlpm.type,ISNUMBER(SEARCH($AH$17,_xlfn._TRO_TRAILING(Sites!$H:$H))),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0</v>
      </c>
      <c r="AJ31" s="67" cm="1">
        <f t="array" ref="AJ31">_xlfn.LET(_xlpm.hours,_xlfn._TRO_TRAILING(Sites!$CT:$CV),_xlpm.type,ISNUMBER(SEARCH($AH$17,_xlfn._TRO_TRAILING(Sites!$H:$H))),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0</v>
      </c>
      <c r="AL31" s="67" cm="1">
        <f t="array" ref="AL31">_xlfn.LET(_xlpm.hours,_xlfn._TRO_TRAILING(Sites!$CT:$CV),_xlpm.type,ISNUMBER(SEARCH($AH$17,_xlfn._TRO_TRAILING(Sites!$H:$H))),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0</v>
      </c>
      <c r="AM31" s="67" cm="1">
        <f t="array" ref="AM31">_xlfn.LET(_xlpm.hours,_xlfn._TRO_TRAILING(Sites!$CT:$CV),_xlpm.type,ISNUMBER(SEARCH($AH$17,_xlfn._TRO_TRAILING(Sites!$H:$H))),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0</v>
      </c>
      <c r="AN31" s="67" cm="1">
        <f t="array" ref="AN31">_xlfn.LET(_xlpm.hours,_xlfn._TRO_TRAILING(Sites!$CT:$CV),_xlpm.type,ISNUMBER(SEARCH($AH$17,_xlfn._TRO_TRAILING(Sites!$H:$H))),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0</v>
      </c>
      <c r="AP31" s="67" cm="1">
        <f t="array" ref="AP31">_xlfn.LET(_xlpm.hours,_xlfn._TRO_TRAILING(Sites!$CT:$CV),_xlpm.type,ISNUMBER(SEARCH($AH$17,_xlfn._TRO_TRAILING(Sites!$H:$H))),
_xlpm.states,ISNUMBER(SEARCH($AP$19,_xlfn._TRO_TRAILING(Sites!$I:$I))),
_xlpm.years,ISNUMBER(SEARCH(AP$20,Sites!$AP$3:$AR$3)),
IFERROR(SUM(_xlfn._xlws.FILTER(_xlfn._xlws.FILTER(_xlpm.hours,_xlpm.states*_xlpm.type,0),_xlpm.years),0),0))</f>
        <v>0</v>
      </c>
      <c r="AQ31" s="67" cm="1">
        <f t="array" ref="AQ31">_xlfn.LET(_xlpm.hours,_xlfn._TRO_TRAILING(Sites!$CT:$CV),_xlpm.type,ISNUMBER(SEARCH($AH$17,_xlfn._TRO_TRAILING(Sites!$H:$H))),
_xlpm.states,ISNUMBER(SEARCH($AP$19,_xlfn._TRO_TRAILING(Sites!$I:$I))),
_xlpm.years,ISNUMBER(SEARCH(AQ$20,Sites!$AP$3:$AR$3)),
IFERROR(SUM(_xlfn._xlws.FILTER(_xlfn._xlws.FILTER(_xlpm.hours,_xlpm.states*_xlpm.type,0),_xlpm.years),0),0))</f>
        <v>0</v>
      </c>
      <c r="AR31" s="67" cm="1">
        <f t="array" ref="AR31">_xlfn.LET(_xlpm.hours,_xlfn._TRO_TRAILING(Sites!$CT:$CV),_xlpm.type,ISNUMBER(SEARCH($AH$17,_xlfn._TRO_TRAILING(Sites!$H:$H))),
_xlpm.states,ISNUMBER(SEARCH($AP$19,_xlfn._TRO_TRAILING(Sites!$I:$I))),
_xlpm.years,ISNUMBER(SEARCH(AR$20,Sites!$AP$3:$AR$3)),
IFERROR(SUM(_xlfn._xlws.FILTER(_xlfn._xlws.FILTER(_xlpm.hours,_xlpm.states*_xlpm.type,0),_xlpm.years),0),0))</f>
        <v>0</v>
      </c>
    </row>
    <row r="32" spans="2:44" x14ac:dyDescent="0.25">
      <c r="B32" s="1" t="s">
        <v>331</v>
      </c>
      <c r="C32" s="15"/>
      <c r="D32" s="107"/>
      <c r="F32" s="13">
        <f>SUM(F21:F31)</f>
        <v>29286088.362225253</v>
      </c>
      <c r="G32" s="13">
        <f>SUM(G21:G31)</f>
        <v>44875991.544837743</v>
      </c>
      <c r="H32" s="13">
        <f>SUM(H21:H31)</f>
        <v>58866324.634275697</v>
      </c>
      <c r="J32" s="13">
        <f>SUM(J21:J31)</f>
        <v>15972074.288931198</v>
      </c>
      <c r="K32" s="13">
        <f>SUM(K21:K31)</f>
        <v>20946835.781596258</v>
      </c>
      <c r="L32" s="13">
        <f>SUM(L21:L31)</f>
        <v>25946418.594803438</v>
      </c>
      <c r="N32" s="13">
        <f>SUM(N21:N31)</f>
        <v>10650586.070254592</v>
      </c>
      <c r="O32" s="13">
        <f>SUM(O21:O31)</f>
        <v>19763177.243938655</v>
      </c>
      <c r="P32" s="13">
        <f>SUM(P21:P31)</f>
        <v>27977055.069017373</v>
      </c>
      <c r="R32" s="13">
        <f>SUM(R21:R31)</f>
        <v>2663428.0030394658</v>
      </c>
      <c r="S32" s="13">
        <f>SUM(S21:S31)</f>
        <v>4165978.5193028282</v>
      </c>
      <c r="T32" s="13">
        <f>SUM(T21:T31)</f>
        <v>4942850.9704548707</v>
      </c>
      <c r="V32" s="13">
        <f>SUM(V21:V31)</f>
        <v>4852787.5147382393</v>
      </c>
      <c r="W32" s="13">
        <f>SUM(W21:W31)</f>
        <v>5756281.5433939192</v>
      </c>
      <c r="X32" s="13">
        <f>SUM(X21:X31)</f>
        <v>5756281.5433939192</v>
      </c>
      <c r="Z32" s="13">
        <f>SUM(Z21:Z31)</f>
        <v>5722599.0174819846</v>
      </c>
      <c r="AA32" s="13">
        <f>SUM(AA21:AA31)</f>
        <v>7604823.7454907689</v>
      </c>
      <c r="AB32" s="13">
        <f>SUM(AB21:AB31)</f>
        <v>9319679.1849838737</v>
      </c>
      <c r="AD32" s="13">
        <f>SUM(AD21:AD31)</f>
        <v>2663428.0030394658</v>
      </c>
      <c r="AE32" s="13">
        <f>SUM(AE21:AE31)</f>
        <v>4165978.5193028282</v>
      </c>
      <c r="AF32" s="13">
        <f>SUM(AF21:AF31)</f>
        <v>4942850.9704548707</v>
      </c>
      <c r="AH32" s="13">
        <f>SUM(AH21:AH31)</f>
        <v>11119286.774192963</v>
      </c>
      <c r="AI32" s="13">
        <f>SUM(AI21:AI31)</f>
        <v>15190554.238202333</v>
      </c>
      <c r="AJ32" s="13">
        <f>SUM(AJ21:AJ31)</f>
        <v>20190137.051409516</v>
      </c>
      <c r="AL32" s="13">
        <f>SUM(AL21:AL31)</f>
        <v>4927987.0527726067</v>
      </c>
      <c r="AM32" s="13">
        <f>SUM(AM21:AM31)</f>
        <v>12158353.498447886</v>
      </c>
      <c r="AN32" s="13">
        <f>SUM(AN21:AN31)</f>
        <v>18657375.884033505</v>
      </c>
      <c r="AP32" s="13">
        <f>SUM(AP21:AP31)</f>
        <v>0</v>
      </c>
      <c r="AQ32" s="13">
        <f>SUM(AQ21:AQ31)</f>
        <v>0</v>
      </c>
      <c r="AR32" s="13">
        <f>SUM(AR21:AR31)</f>
        <v>0</v>
      </c>
    </row>
    <row r="33" spans="2:46" x14ac:dyDescent="0.25">
      <c r="F33" s="67"/>
      <c r="J33" s="67"/>
      <c r="N33" s="67"/>
      <c r="R33" s="67"/>
    </row>
    <row r="34" spans="2:46" outlineLevel="1" x14ac:dyDescent="0.25">
      <c r="B34" s="1" t="s">
        <v>132</v>
      </c>
      <c r="J34" s="12"/>
      <c r="N34" s="12"/>
      <c r="R34" s="12"/>
    </row>
    <row r="35" spans="2:46" outlineLevel="1" x14ac:dyDescent="0.25">
      <c r="B35" s="39" t="s">
        <v>23</v>
      </c>
      <c r="F35" s="67">
        <f>J35+N35+R35</f>
        <v>16413987.399531281</v>
      </c>
      <c r="G35" s="67">
        <f t="shared" ref="G35:G44" si="18">K35+O35+S35</f>
        <v>27274398.935828853</v>
      </c>
      <c r="H35" s="67">
        <f t="shared" ref="H35:H44" si="19">L35+P35+T35</f>
        <v>39510532.884172708</v>
      </c>
      <c r="J35" s="67">
        <f t="shared" ref="J35:J44" si="20">V35+AH35</f>
        <v>9219259.4861770123</v>
      </c>
      <c r="K35" s="67">
        <f t="shared" ref="K35:K44" si="21">W35+AI35</f>
        <v>13088124.561196696</v>
      </c>
      <c r="L35" s="67">
        <f t="shared" ref="L35:L44" si="22">X35+AJ35</f>
        <v>18109302.763640057</v>
      </c>
      <c r="N35" s="67">
        <f>Z35+AL35</f>
        <v>5749477.7424457632</v>
      </c>
      <c r="O35" s="67">
        <f t="shared" ref="O35:O44" si="23">AA35+AM35</f>
        <v>11832772.151278965</v>
      </c>
      <c r="P35" s="67">
        <f t="shared" ref="P35:P44" si="24">AB35+AN35</f>
        <v>18499737.167863086</v>
      </c>
      <c r="R35" s="67">
        <f t="shared" ref="R35:R44" si="25">AD35+AP35</f>
        <v>1445250.1709085044</v>
      </c>
      <c r="S35" s="67">
        <f t="shared" ref="S35:S44" si="26">AE35+AQ35</f>
        <v>2353502.2233531913</v>
      </c>
      <c r="T35" s="67">
        <f t="shared" ref="T35:T44" si="27">AF35+AR35</f>
        <v>2901492.9526695586</v>
      </c>
      <c r="V35" s="67" cm="1">
        <f t="array" ref="V35">_xlfn.LET(_xlpm.hours,_xlfn._TRO_TRAILING(Sites!$CX:$CZ),_xlpm.type,ISNUMBER(SEARCH($V$17,_xlfn._TRO_TRAILING(Sites!$H:$H))),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2360999.2092464315</v>
      </c>
      <c r="W35" s="67" cm="1">
        <f t="array" ref="W35">_xlfn.LET(_xlpm.hours,_xlfn._TRO_TRAILING(Sites!$CX:$CZ),_xlpm.type,ISNUMBER(SEARCH($V$17,_xlfn._TRO_TRAILING(Sites!$H:$H))),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2987482.3938453263</v>
      </c>
      <c r="X35" s="67" cm="1">
        <f t="array" ref="X35">_xlfn.LET(_xlpm.hours,_xlfn._TRO_TRAILING(Sites!$CX:$CZ),_xlpm.type,ISNUMBER(SEARCH($V$17,_xlfn._TRO_TRAILING(Sites!$H:$H))),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3309900.8453778597</v>
      </c>
      <c r="Z35" s="67" cm="1">
        <f t="array" ref="Z35">_xlfn.LET(_xlpm.hours,_xlfn._TRO_TRAILING(Sites!$CX:$CZ),_xlpm.type,ISNUMBER(SEARCH($V$17,_xlfn._TRO_TRAILING(Sites!$H:$H))),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2447395.3827309934</v>
      </c>
      <c r="AA35" s="67" cm="1">
        <f t="array" ref="AA35">_xlfn.LET(_xlpm.hours,_xlfn._TRO_TRAILING(Sites!$CX:$CZ),_xlpm.type,ISNUMBER(SEARCH($V$17,_xlfn._TRO_TRAILING(Sites!$H:$H))),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3378112.2120169029</v>
      </c>
      <c r="AB35" s="67" cm="1">
        <f t="array" ref="AB35">_xlfn.LET(_xlpm.hours,_xlfn._TRO_TRAILING(Sites!$CX:$CZ),_xlpm.type,ISNUMBER(SEARCH($V$17,_xlfn._TRO_TRAILING(Sites!$H:$H))),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4472703.3213006193</v>
      </c>
      <c r="AD35" s="67" cm="1">
        <f t="array" ref="AD35">_xlfn.LET(_xlpm.hours,_xlfn._TRO_TRAILING(Sites!$CX:$CZ),_xlpm.type,ISNUMBER(SEARCH($V$17,_xlfn._TRO_TRAILING(Sites!$H:$H))),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1445250.1709085044</v>
      </c>
      <c r="AE35" s="67" cm="1">
        <f t="array" ref="AE35">_xlfn.LET(_xlpm.hours,_xlfn._TRO_TRAILING(Sites!$CX:$CZ),_xlpm.type,ISNUMBER(SEARCH($V$17,_xlfn._TRO_TRAILING(Sites!$H:$H))),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2353502.2233531913</v>
      </c>
      <c r="AF35" s="67" cm="1">
        <f t="array" ref="AF35">_xlfn.LET(_xlpm.hours,_xlfn._TRO_TRAILING(Sites!$CX:$CZ),_xlpm.type,ISNUMBER(SEARCH($V$17,_xlfn._TRO_TRAILING(Sites!$H:$H))),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2901492.9526695586</v>
      </c>
      <c r="AH35" s="67" cm="1">
        <f t="array" ref="AH35">_xlfn.LET(_xlpm.hours,_xlfn._TRO_TRAILING(Sites!$CX:$CZ),_xlpm.type,ISNUMBER(SEARCH($AH$17,_xlfn._TRO_TRAILING(Sites!$H:$H))),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6858260.2769305799</v>
      </c>
      <c r="AI35" s="67" cm="1">
        <f t="array" ref="AI35">_xlfn.LET(_xlpm.hours,_xlfn._TRO_TRAILING(Sites!$CX:$CZ),_xlpm.type,ISNUMBER(SEARCH($AH$17,_xlfn._TRO_TRAILING(Sites!$H:$H))),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10100642.167351371</v>
      </c>
      <c r="AJ35" s="67" cm="1">
        <f t="array" ref="AJ35">_xlfn.LET(_xlpm.hours,_xlfn._TRO_TRAILING(Sites!$CX:$CZ),_xlpm.type,ISNUMBER(SEARCH($AH$17,_xlfn._TRO_TRAILING(Sites!$H:$H))),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14799401.918262199</v>
      </c>
      <c r="AL35" s="67" cm="1">
        <f t="array" ref="AL35">_xlfn.LET(_xlpm.hours,_xlfn._TRO_TRAILING(Sites!$CX:$CZ),_xlpm.type,ISNUMBER(SEARCH($AH$17,_xlfn._TRO_TRAILING(Sites!$H:$H))),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3302082.3597147693</v>
      </c>
      <c r="AM35" s="67" cm="1">
        <f t="array" ref="AM35">_xlfn.LET(_xlpm.hours,_xlfn._TRO_TRAILING(Sites!$CX:$CZ),_xlpm.type,ISNUMBER(SEARCH($AH$17,_xlfn._TRO_TRAILING(Sites!$H:$H))),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8454659.9392620623</v>
      </c>
      <c r="AN35" s="67" cm="1">
        <f t="array" ref="AN35">_xlfn.LET(_xlpm.hours,_xlfn._TRO_TRAILING(Sites!$CX:$CZ),_xlpm.type,ISNUMBER(SEARCH($AH$17,_xlfn._TRO_TRAILING(Sites!$H:$H))),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14027033.846562466</v>
      </c>
      <c r="AP35" s="67" cm="1">
        <f t="array" ref="AP35">_xlfn.LET(_xlpm.hours,_xlfn._TRO_TRAILING(Sites!$CX:$CZ),_xlpm.type,ISNUMBER(SEARCH($AH$17,_xlfn._TRO_TRAILING(Sites!$H:$H))),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35" s="67" cm="1">
        <f t="array" ref="AQ35">_xlfn.LET(_xlpm.hours,_xlfn._TRO_TRAILING(Sites!$CX:$CZ),_xlpm.type,ISNUMBER(SEARCH($AH$17,_xlfn._TRO_TRAILING(Sites!$H:$H))),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35" s="67" cm="1">
        <f t="array" ref="AR35">_xlfn.LET(_xlpm.hours,_xlfn._TRO_TRAILING(Sites!$CX:$CZ),_xlpm.type,ISNUMBER(SEARCH($AH$17,_xlfn._TRO_TRAILING(Sites!$H:$H))),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36" spans="2:46" outlineLevel="1" x14ac:dyDescent="0.25">
      <c r="B36" s="39" t="s">
        <v>24</v>
      </c>
      <c r="F36" s="67">
        <f t="shared" ref="F36:F44" si="28">J36+N36+R36</f>
        <v>0</v>
      </c>
      <c r="G36" s="67">
        <f t="shared" si="18"/>
        <v>0</v>
      </c>
      <c r="H36" s="67">
        <f t="shared" si="19"/>
        <v>0</v>
      </c>
      <c r="J36" s="67">
        <f t="shared" si="20"/>
        <v>0</v>
      </c>
      <c r="K36" s="67">
        <f t="shared" si="21"/>
        <v>0</v>
      </c>
      <c r="L36" s="67">
        <f t="shared" si="22"/>
        <v>0</v>
      </c>
      <c r="N36" s="67">
        <f t="shared" ref="N36:N44" si="29">Z36+AL36</f>
        <v>0</v>
      </c>
      <c r="O36" s="67">
        <f t="shared" si="23"/>
        <v>0</v>
      </c>
      <c r="P36" s="67">
        <f t="shared" si="24"/>
        <v>0</v>
      </c>
      <c r="R36" s="67">
        <f t="shared" si="25"/>
        <v>0</v>
      </c>
      <c r="S36" s="67">
        <f t="shared" si="26"/>
        <v>0</v>
      </c>
      <c r="T36" s="67">
        <f t="shared" si="27"/>
        <v>0</v>
      </c>
      <c r="V36" s="67" cm="1">
        <f t="array" ref="V36">_xlfn.LET(_xlpm.hours,_xlfn._TRO_TRAILING(Sites!$EH:$EJ),_xlpm.type,ISNUMBER(SEARCH($V$17,_xlfn._TRO_TRAILING(Sites!$H:$H))),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6" s="67" cm="1">
        <f t="array" ref="W36">_xlfn.LET(_xlpm.hours,_xlfn._TRO_TRAILING(Sites!$EH:$EJ),_xlpm.type,ISNUMBER(SEARCH($V$17,_xlfn._TRO_TRAILING(Sites!$H:$H))),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6" s="67" cm="1">
        <f t="array" ref="X36">_xlfn.LET(_xlpm.hours,_xlfn._TRO_TRAILING(Sites!$EH:$EJ),_xlpm.type,ISNUMBER(SEARCH($V$17,_xlfn._TRO_TRAILING(Sites!$H:$H))),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36" s="67" cm="1">
        <f t="array" ref="Z36">_xlfn.LET(_xlpm.hours,_xlfn._TRO_TRAILING(Sites!$EH:$EJ),_xlpm.type,ISNUMBER(SEARCH($V$17,_xlfn._TRO_TRAILING(Sites!$H:$H))),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36" s="67" cm="1">
        <f t="array" ref="AA36">_xlfn.LET(_xlpm.hours,_xlfn._TRO_TRAILING(Sites!$EH:$EJ),_xlpm.type,ISNUMBER(SEARCH($V$17,_xlfn._TRO_TRAILING(Sites!$H:$H))),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36" s="67" cm="1">
        <f t="array" ref="AB36">_xlfn.LET(_xlpm.hours,_xlfn._TRO_TRAILING(Sites!$EH:$EJ),_xlpm.type,ISNUMBER(SEARCH($V$17,_xlfn._TRO_TRAILING(Sites!$H:$H))),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36" s="67" cm="1">
        <f t="array" ref="AD36">_xlfn.LET(_xlpm.hours,_xlfn._TRO_TRAILING(Sites!$EH:$EJ),_xlpm.type,ISNUMBER(SEARCH($V$17,_xlfn._TRO_TRAILING(Sites!$H:$H))),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36" s="67" cm="1">
        <f t="array" ref="AE36">_xlfn.LET(_xlpm.hours,_xlfn._TRO_TRAILING(Sites!$EH:$EJ),_xlpm.type,ISNUMBER(SEARCH($V$17,_xlfn._TRO_TRAILING(Sites!$H:$H))),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36" s="67" cm="1">
        <f t="array" ref="AF36">_xlfn.LET(_xlpm.hours,_xlfn._TRO_TRAILING(Sites!$EH:$EJ),_xlpm.type,ISNUMBER(SEARCH($V$17,_xlfn._TRO_TRAILING(Sites!$H:$H))),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36" s="67" cm="1">
        <f t="array" ref="AH36">_xlfn.LET(_xlpm.hours,_xlfn._TRO_TRAILING(Sites!$EH:$EJ),_xlpm.type,ISNUMBER(SEARCH($AH$17,_xlfn._TRO_TRAILING(Sites!$H:$H))),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0</v>
      </c>
      <c r="AI36" s="67" cm="1">
        <f t="array" ref="AI36">_xlfn.LET(_xlpm.hours,_xlfn._TRO_TRAILING(Sites!$EH:$EJ),_xlpm.type,ISNUMBER(SEARCH($AH$17,_xlfn._TRO_TRAILING(Sites!$H:$H))),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0</v>
      </c>
      <c r="AJ36" s="67" cm="1">
        <f t="array" ref="AJ36">_xlfn.LET(_xlpm.hours,_xlfn._TRO_TRAILING(Sites!$EH:$EJ),_xlpm.type,ISNUMBER(SEARCH($AH$17,_xlfn._TRO_TRAILING(Sites!$H:$H))),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0</v>
      </c>
      <c r="AL36" s="67" cm="1">
        <f t="array" ref="AL36">_xlfn.LET(_xlpm.hours,_xlfn._TRO_TRAILING(Sites!$EH:$EJ),_xlpm.type,ISNUMBER(SEARCH($AH$17,_xlfn._TRO_TRAILING(Sites!$H:$H))),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0</v>
      </c>
      <c r="AM36" s="67" cm="1">
        <f t="array" ref="AM36">_xlfn.LET(_xlpm.hours,_xlfn._TRO_TRAILING(Sites!$EH:$EJ),_xlpm.type,ISNUMBER(SEARCH($AH$17,_xlfn._TRO_TRAILING(Sites!$H:$H))),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0</v>
      </c>
      <c r="AN36" s="67" cm="1">
        <f t="array" ref="AN36">_xlfn.LET(_xlpm.hours,_xlfn._TRO_TRAILING(Sites!$EH:$EJ),_xlpm.type,ISNUMBER(SEARCH($AH$17,_xlfn._TRO_TRAILING(Sites!$H:$H))),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0</v>
      </c>
      <c r="AP36" s="67" cm="1">
        <f t="array" ref="AP36">_xlfn.LET(_xlpm.hours,_xlfn._TRO_TRAILING(Sites!$EH:$EJ),_xlpm.type,ISNUMBER(SEARCH($AH$17,_xlfn._TRO_TRAILING(Sites!$H:$H))),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36" s="67" cm="1">
        <f t="array" ref="AQ36">_xlfn.LET(_xlpm.hours,_xlfn._TRO_TRAILING(Sites!$EH:$EJ),_xlpm.type,ISNUMBER(SEARCH($AH$17,_xlfn._TRO_TRAILING(Sites!$H:$H))),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36" s="67" cm="1">
        <f t="array" ref="AR36">_xlfn.LET(_xlpm.hours,_xlfn._TRO_TRAILING(Sites!$EH:$EJ),_xlpm.type,ISNUMBER(SEARCH($AH$17,_xlfn._TRO_TRAILING(Sites!$H:$H))),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37" spans="2:46" outlineLevel="1" x14ac:dyDescent="0.25">
      <c r="B37" s="39" t="s">
        <v>28</v>
      </c>
      <c r="F37" s="67">
        <f t="shared" si="28"/>
        <v>463633.81999999995</v>
      </c>
      <c r="G37" s="67">
        <f t="shared" si="18"/>
        <v>777763.18670000019</v>
      </c>
      <c r="H37" s="67">
        <f t="shared" si="19"/>
        <v>1105958.619063</v>
      </c>
      <c r="J37" s="67">
        <f t="shared" si="20"/>
        <v>315947.81999999995</v>
      </c>
      <c r="K37" s="67">
        <f t="shared" si="21"/>
        <v>487358.80670000019</v>
      </c>
      <c r="L37" s="67">
        <f t="shared" si="22"/>
        <v>714258.42556300003</v>
      </c>
      <c r="N37" s="67">
        <f t="shared" si="29"/>
        <v>147686</v>
      </c>
      <c r="O37" s="67">
        <f t="shared" si="23"/>
        <v>290404.38000000006</v>
      </c>
      <c r="P37" s="67">
        <f t="shared" si="24"/>
        <v>391700.19349999994</v>
      </c>
      <c r="R37" s="67">
        <f t="shared" si="25"/>
        <v>0</v>
      </c>
      <c r="S37" s="67">
        <f t="shared" si="26"/>
        <v>0</v>
      </c>
      <c r="T37" s="67">
        <f t="shared" si="27"/>
        <v>0</v>
      </c>
      <c r="V37" s="67" cm="1">
        <f t="array" ref="V37">_xlfn.LET(_xlpm.hours,_xlfn._TRO_TRAILING(Sites!$DB:$DD),_xlpm.type,ISNUMBER(SEARCH($V$17,_xlfn._TRO_TRAILING(Sites!$H:$H))),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7" s="67" cm="1">
        <f t="array" ref="W37">_xlfn.LET(_xlpm.hours,_xlfn._TRO_TRAILING(Sites!$DB:$DD),_xlpm.type,ISNUMBER(SEARCH($V$17,_xlfn._TRO_TRAILING(Sites!$H:$H))),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7" s="67" cm="1">
        <f t="array" ref="X37">_xlfn.LET(_xlpm.hours,_xlfn._TRO_TRAILING(Sites!$DB:$DD),_xlpm.type,ISNUMBER(SEARCH($V$17,_xlfn._TRO_TRAILING(Sites!$H:$H))),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37" s="67" cm="1">
        <f t="array" ref="Z37">_xlfn.LET(_xlpm.hours,_xlfn._TRO_TRAILING(Sites!$DB:$DD),_xlpm.type,ISNUMBER(SEARCH($V$17,_xlfn._TRO_TRAILING(Sites!$H:$H))),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37" s="67" cm="1">
        <f t="array" ref="AA37">_xlfn.LET(_xlpm.hours,_xlfn._TRO_TRAILING(Sites!$DB:$DD),_xlpm.type,ISNUMBER(SEARCH($V$17,_xlfn._TRO_TRAILING(Sites!$H:$H))),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37" s="67" cm="1">
        <f t="array" ref="AB37">_xlfn.LET(_xlpm.hours,_xlfn._TRO_TRAILING(Sites!$DB:$DD),_xlpm.type,ISNUMBER(SEARCH($V$17,_xlfn._TRO_TRAILING(Sites!$H:$H))),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37" s="67" cm="1">
        <f t="array" ref="AD37">_xlfn.LET(_xlpm.hours,_xlfn._TRO_TRAILING(Sites!$DB:$DD),_xlpm.type,ISNUMBER(SEARCH($V$17,_xlfn._TRO_TRAILING(Sites!$H:$H))),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37" s="67" cm="1">
        <f t="array" ref="AE37">_xlfn.LET(_xlpm.hours,_xlfn._TRO_TRAILING(Sites!$DB:$DD),_xlpm.type,ISNUMBER(SEARCH($V$17,_xlfn._TRO_TRAILING(Sites!$H:$H))),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37" s="67" cm="1">
        <f t="array" ref="AF37">_xlfn.LET(_xlpm.hours,_xlfn._TRO_TRAILING(Sites!$DB:$DD),_xlpm.type,ISNUMBER(SEARCH($V$17,_xlfn._TRO_TRAILING(Sites!$H:$H))),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37" s="67" cm="1">
        <f t="array" ref="AH37">_xlfn.LET(_xlpm.hours,_xlfn._TRO_TRAILING(Sites!$DB:$DD),_xlpm.type,ISNUMBER(SEARCH($AH$17,_xlfn._TRO_TRAILING(Sites!$H:$H))),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315947.81999999995</v>
      </c>
      <c r="AI37" s="67" cm="1">
        <f t="array" ref="AI37">_xlfn.LET(_xlpm.hours,_xlfn._TRO_TRAILING(Sites!$DB:$DD),_xlpm.type,ISNUMBER(SEARCH($AH$17,_xlfn._TRO_TRAILING(Sites!$H:$H))),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487358.80670000019</v>
      </c>
      <c r="AJ37" s="67" cm="1">
        <f t="array" ref="AJ37">_xlfn.LET(_xlpm.hours,_xlfn._TRO_TRAILING(Sites!$DB:$DD),_xlpm.type,ISNUMBER(SEARCH($AH$17,_xlfn._TRO_TRAILING(Sites!$H:$H))),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714258.42556300003</v>
      </c>
      <c r="AL37" s="67" cm="1">
        <f t="array" ref="AL37">_xlfn.LET(_xlpm.hours,_xlfn._TRO_TRAILING(Sites!$DB:$DD),_xlpm.type,ISNUMBER(SEARCH($AH$17,_xlfn._TRO_TRAILING(Sites!$H:$H))),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147686</v>
      </c>
      <c r="AM37" s="67" cm="1">
        <f t="array" ref="AM37">_xlfn.LET(_xlpm.hours,_xlfn._TRO_TRAILING(Sites!$DB:$DD),_xlpm.type,ISNUMBER(SEARCH($AH$17,_xlfn._TRO_TRAILING(Sites!$H:$H))),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290404.38000000006</v>
      </c>
      <c r="AN37" s="67" cm="1">
        <f t="array" ref="AN37">_xlfn.LET(_xlpm.hours,_xlfn._TRO_TRAILING(Sites!$DB:$DD),_xlpm.type,ISNUMBER(SEARCH($AH$17,_xlfn._TRO_TRAILING(Sites!$H:$H))),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391700.19349999994</v>
      </c>
      <c r="AP37" s="67" cm="1">
        <f t="array" ref="AP37">_xlfn.LET(_xlpm.hours,_xlfn._TRO_TRAILING(Sites!$DB:$DD),_xlpm.type,ISNUMBER(SEARCH($AH$17,_xlfn._TRO_TRAILING(Sites!$H:$H))),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37" s="67" cm="1">
        <f t="array" ref="AQ37">_xlfn.LET(_xlpm.hours,_xlfn._TRO_TRAILING(Sites!$DB:$DD),_xlpm.type,ISNUMBER(SEARCH($AH$17,_xlfn._TRO_TRAILING(Sites!$H:$H))),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37" s="67" cm="1">
        <f t="array" ref="AR37">_xlfn.LET(_xlpm.hours,_xlfn._TRO_TRAILING(Sites!$DB:$DD),_xlpm.type,ISNUMBER(SEARCH($AH$17,_xlfn._TRO_TRAILING(Sites!$H:$H))),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38" spans="2:46" outlineLevel="1" x14ac:dyDescent="0.25">
      <c r="B38" s="39" t="s">
        <v>31</v>
      </c>
      <c r="F38" s="67">
        <f t="shared" si="28"/>
        <v>269135.12</v>
      </c>
      <c r="G38" s="67">
        <f t="shared" si="18"/>
        <v>452228.52480000001</v>
      </c>
      <c r="H38" s="67">
        <f t="shared" si="19"/>
        <v>635369.82579200005</v>
      </c>
      <c r="J38" s="67">
        <f t="shared" si="20"/>
        <v>148935.12000000002</v>
      </c>
      <c r="K38" s="67">
        <f t="shared" si="21"/>
        <v>220100.52480000001</v>
      </c>
      <c r="L38" s="67">
        <f t="shared" si="22"/>
        <v>315216.22579200007</v>
      </c>
      <c r="N38" s="67">
        <f t="shared" si="29"/>
        <v>120200</v>
      </c>
      <c r="O38" s="67">
        <f t="shared" si="23"/>
        <v>232128</v>
      </c>
      <c r="P38" s="67">
        <f t="shared" si="24"/>
        <v>320153.59999999998</v>
      </c>
      <c r="R38" s="67">
        <f t="shared" si="25"/>
        <v>0</v>
      </c>
      <c r="S38" s="67">
        <f t="shared" si="26"/>
        <v>0</v>
      </c>
      <c r="T38" s="67">
        <f t="shared" si="27"/>
        <v>0</v>
      </c>
      <c r="V38" s="67" cm="1">
        <f t="array" ref="V38">_xlfn.LET(_xlpm.hours,_xlfn._TRO_TRAILING(Sites!$DF:$DH),_xlpm.type,ISNUMBER(SEARCH($V$17,_xlfn._TRO_TRAILING(Sites!$H:$H))),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38" s="67" cm="1">
        <f t="array" ref="W38">_xlfn.LET(_xlpm.hours,_xlfn._TRO_TRAILING(Sites!$DF:$DH),_xlpm.type,ISNUMBER(SEARCH($V$17,_xlfn._TRO_TRAILING(Sites!$H:$H))),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38" s="67" cm="1">
        <f t="array" ref="X38">_xlfn.LET(_xlpm.hours,_xlfn._TRO_TRAILING(Sites!$DF:$DH),_xlpm.type,ISNUMBER(SEARCH($V$17,_xlfn._TRO_TRAILING(Sites!$H:$H))),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38" s="67" cm="1">
        <f t="array" ref="Z38">_xlfn.LET(_xlpm.hours,_xlfn._TRO_TRAILING(Sites!$DF:$DH),_xlpm.type,ISNUMBER(SEARCH($V$17,_xlfn._TRO_TRAILING(Sites!$H:$H))),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38" s="67" cm="1">
        <f t="array" ref="AA38">_xlfn.LET(_xlpm.hours,_xlfn._TRO_TRAILING(Sites!$DF:$DH),_xlpm.type,ISNUMBER(SEARCH($V$17,_xlfn._TRO_TRAILING(Sites!$H:$H))),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38" s="67" cm="1">
        <f t="array" ref="AB38">_xlfn.LET(_xlpm.hours,_xlfn._TRO_TRAILING(Sites!$DF:$DH),_xlpm.type,ISNUMBER(SEARCH($V$17,_xlfn._TRO_TRAILING(Sites!$H:$H))),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38" s="67" cm="1">
        <f t="array" ref="AD38">_xlfn.LET(_xlpm.hours,_xlfn._TRO_TRAILING(Sites!$DF:$DH),_xlpm.type,ISNUMBER(SEARCH($V$17,_xlfn._TRO_TRAILING(Sites!$H:$H))),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38" s="67" cm="1">
        <f t="array" ref="AE38">_xlfn.LET(_xlpm.hours,_xlfn._TRO_TRAILING(Sites!$DF:$DH),_xlpm.type,ISNUMBER(SEARCH($V$17,_xlfn._TRO_TRAILING(Sites!$H:$H))),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38" s="67" cm="1">
        <f t="array" ref="AF38">_xlfn.LET(_xlpm.hours,_xlfn._TRO_TRAILING(Sites!$DF:$DH),_xlpm.type,ISNUMBER(SEARCH($V$17,_xlfn._TRO_TRAILING(Sites!$H:$H))),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38" s="67" cm="1">
        <f t="array" ref="AH38">_xlfn.LET(_xlpm.hours,_xlfn._TRO_TRAILING(Sites!$DF:$DH),_xlpm.type,ISNUMBER(SEARCH($AH$17,_xlfn._TRO_TRAILING(Sites!$H:$H))),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148935.12000000002</v>
      </c>
      <c r="AI38" s="67" cm="1">
        <f t="array" ref="AI38">_xlfn.LET(_xlpm.hours,_xlfn._TRO_TRAILING(Sites!$DF:$DH),_xlpm.type,ISNUMBER(SEARCH($AH$17,_xlfn._TRO_TRAILING(Sites!$H:$H))),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220100.52480000001</v>
      </c>
      <c r="AJ38" s="67" cm="1">
        <f t="array" ref="AJ38">_xlfn.LET(_xlpm.hours,_xlfn._TRO_TRAILING(Sites!$DF:$DH),_xlpm.type,ISNUMBER(SEARCH($AH$17,_xlfn._TRO_TRAILING(Sites!$H:$H))),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315216.22579200007</v>
      </c>
      <c r="AL38" s="67" cm="1">
        <f t="array" ref="AL38">_xlfn.LET(_xlpm.hours,_xlfn._TRO_TRAILING(Sites!$DF:$DH),_xlpm.type,ISNUMBER(SEARCH($AH$17,_xlfn._TRO_TRAILING(Sites!$H:$H))),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120200</v>
      </c>
      <c r="AM38" s="67" cm="1">
        <f t="array" ref="AM38">_xlfn.LET(_xlpm.hours,_xlfn._TRO_TRAILING(Sites!$DF:$DH),_xlpm.type,ISNUMBER(SEARCH($AH$17,_xlfn._TRO_TRAILING(Sites!$H:$H))),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232128</v>
      </c>
      <c r="AN38" s="67" cm="1">
        <f t="array" ref="AN38">_xlfn.LET(_xlpm.hours,_xlfn._TRO_TRAILING(Sites!$DF:$DH),_xlpm.type,ISNUMBER(SEARCH($AH$17,_xlfn._TRO_TRAILING(Sites!$H:$H))),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320153.59999999998</v>
      </c>
      <c r="AP38" s="67" cm="1">
        <f t="array" ref="AP38">_xlfn.LET(_xlpm.hours,_xlfn._TRO_TRAILING(Sites!$DF:$DH),_xlpm.type,ISNUMBER(SEARCH($AH$17,_xlfn._TRO_TRAILING(Sites!$H:$H))),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38" s="67" cm="1">
        <f t="array" ref="AQ38">_xlfn.LET(_xlpm.hours,_xlfn._TRO_TRAILING(Sites!$DF:$DH),_xlpm.type,ISNUMBER(SEARCH($AH$17,_xlfn._TRO_TRAILING(Sites!$H:$H))),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38" s="67" cm="1">
        <f t="array" ref="AR38">_xlfn.LET(_xlpm.hours,_xlfn._TRO_TRAILING(Sites!$DF:$DH),_xlpm.type,ISNUMBER(SEARCH($AH$17,_xlfn._TRO_TRAILING(Sites!$H:$H))),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39" spans="2:46" outlineLevel="1" x14ac:dyDescent="0.25">
      <c r="B39" s="39" t="s">
        <v>34</v>
      </c>
      <c r="F39" s="67">
        <f t="shared" si="28"/>
        <v>144759.53220000002</v>
      </c>
      <c r="G39" s="67">
        <f t="shared" si="18"/>
        <v>207349.10227199999</v>
      </c>
      <c r="H39" s="67">
        <f t="shared" si="19"/>
        <v>254655.75860608008</v>
      </c>
      <c r="J39" s="67">
        <f t="shared" si="20"/>
        <v>75299.351200000005</v>
      </c>
      <c r="K39" s="67">
        <f t="shared" si="21"/>
        <v>93694.657887999987</v>
      </c>
      <c r="L39" s="67">
        <f t="shared" si="22"/>
        <v>114782.22838784003</v>
      </c>
      <c r="N39" s="67">
        <f t="shared" si="29"/>
        <v>45655.37000000001</v>
      </c>
      <c r="O39" s="67">
        <f t="shared" si="23"/>
        <v>76485.649552000003</v>
      </c>
      <c r="P39" s="67">
        <f t="shared" si="24"/>
        <v>100215.78925696004</v>
      </c>
      <c r="R39" s="67">
        <f t="shared" si="25"/>
        <v>23804.811000000002</v>
      </c>
      <c r="S39" s="67">
        <f t="shared" si="26"/>
        <v>37168.794832</v>
      </c>
      <c r="T39" s="67">
        <f t="shared" si="27"/>
        <v>39657.740961280011</v>
      </c>
      <c r="V39" s="67" cm="1">
        <f t="array" ref="V39">_xlfn.LET(_xlpm.hours,_xlfn._TRO_TRAILING(Sites!$DJ:$DL),_xlpm.type,ISNUMBER(SEARCH($V$17,_xlfn._TRO_TRAILING(Sites!$H:$H))),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37171.22080000001</v>
      </c>
      <c r="W39" s="67" cm="1">
        <f t="array" ref="W39">_xlfn.LET(_xlpm.hours,_xlfn._TRO_TRAILING(Sites!$DJ:$DL),_xlpm.type,ISNUMBER(SEARCH($V$17,_xlfn._TRO_TRAILING(Sites!$H:$H))),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40140.336080000001</v>
      </c>
      <c r="X39" s="67" cm="1">
        <f t="array" ref="X39">_xlfn.LET(_xlpm.hours,_xlfn._TRO_TRAILING(Sites!$DJ:$DL),_xlpm.type,ISNUMBER(SEARCH($V$17,_xlfn._TRO_TRAILING(Sites!$H:$H))),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42813.742033920011</v>
      </c>
      <c r="Z39" s="67" cm="1">
        <f t="array" ref="Z39">_xlfn.LET(_xlpm.hours,_xlfn._TRO_TRAILING(Sites!$DJ:$DL),_xlpm.type,ISNUMBER(SEARCH($V$17,_xlfn._TRO_TRAILING(Sites!$H:$H))),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23114.084000000003</v>
      </c>
      <c r="AA39" s="67" cm="1">
        <f t="array" ref="AA39">_xlfn.LET(_xlpm.hours,_xlfn._TRO_TRAILING(Sites!$DJ:$DL),_xlpm.type,ISNUMBER(SEARCH($V$17,_xlfn._TRO_TRAILING(Sites!$H:$H))),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26677.291888000003</v>
      </c>
      <c r="AB39" s="67" cm="1">
        <f t="array" ref="AB39">_xlfn.LET(_xlpm.hours,_xlfn._TRO_TRAILING(Sites!$DJ:$DL),_xlpm.type,ISNUMBER(SEARCH($V$17,_xlfn._TRO_TRAILING(Sites!$H:$H))),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30503.151244800007</v>
      </c>
      <c r="AD39" s="67" cm="1">
        <f t="array" ref="AD39">_xlfn.LET(_xlpm.hours,_xlfn._TRO_TRAILING(Sites!$DJ:$DL),_xlpm.type,ISNUMBER(SEARCH($V$17,_xlfn._TRO_TRAILING(Sites!$H:$H))),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23804.811000000002</v>
      </c>
      <c r="AE39" s="67" cm="1">
        <f t="array" ref="AE39">_xlfn.LET(_xlpm.hours,_xlfn._TRO_TRAILING(Sites!$DJ:$DL),_xlpm.type,ISNUMBER(SEARCH($V$17,_xlfn._TRO_TRAILING(Sites!$H:$H))),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37168.794832</v>
      </c>
      <c r="AF39" s="67" cm="1">
        <f t="array" ref="AF39">_xlfn.LET(_xlpm.hours,_xlfn._TRO_TRAILING(Sites!$DJ:$DL),_xlpm.type,ISNUMBER(SEARCH($V$17,_xlfn._TRO_TRAILING(Sites!$H:$H))),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39657.740961280011</v>
      </c>
      <c r="AH39" s="67" cm="1">
        <f t="array" ref="AH39">_xlfn.LET(_xlpm.hours,_xlfn._TRO_TRAILING(Sites!$DJ:$DL),_xlpm.type,ISNUMBER(SEARCH($AH$17,_xlfn._TRO_TRAILING(Sites!$H:$H))),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38128.130399999995</v>
      </c>
      <c r="AI39" s="67" cm="1">
        <f t="array" ref="AI39">_xlfn.LET(_xlpm.hours,_xlfn._TRO_TRAILING(Sites!$DJ:$DL),_xlpm.type,ISNUMBER(SEARCH($AH$17,_xlfn._TRO_TRAILING(Sites!$H:$H))),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53554.321807999993</v>
      </c>
      <c r="AJ39" s="67" cm="1">
        <f t="array" ref="AJ39">_xlfn.LET(_xlpm.hours,_xlfn._TRO_TRAILING(Sites!$DJ:$DL),_xlpm.type,ISNUMBER(SEARCH($AH$17,_xlfn._TRO_TRAILING(Sites!$H:$H))),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71968.486353920016</v>
      </c>
      <c r="AL39" s="67" cm="1">
        <f t="array" ref="AL39">_xlfn.LET(_xlpm.hours,_xlfn._TRO_TRAILING(Sites!$DJ:$DL),_xlpm.type,ISNUMBER(SEARCH($AH$17,_xlfn._TRO_TRAILING(Sites!$H:$H))),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22541.286000000004</v>
      </c>
      <c r="AM39" s="67" cm="1">
        <f t="array" ref="AM39">_xlfn.LET(_xlpm.hours,_xlfn._TRO_TRAILING(Sites!$DJ:$DL),_xlpm.type,ISNUMBER(SEARCH($AH$17,_xlfn._TRO_TRAILING(Sites!$H:$H))),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49808.357663999996</v>
      </c>
      <c r="AN39" s="67" cm="1">
        <f t="array" ref="AN39">_xlfn.LET(_xlpm.hours,_xlfn._TRO_TRAILING(Sites!$DJ:$DL),_xlpm.type,ISNUMBER(SEARCH($AH$17,_xlfn._TRO_TRAILING(Sites!$H:$H))),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69712.638012160023</v>
      </c>
      <c r="AP39" s="67" cm="1">
        <f t="array" ref="AP39">_xlfn.LET(_xlpm.hours,_xlfn._TRO_TRAILING(Sites!$DJ:$DL),_xlpm.type,ISNUMBER(SEARCH($AH$17,_xlfn._TRO_TRAILING(Sites!$H:$H))),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39" s="67" cm="1">
        <f t="array" ref="AQ39">_xlfn.LET(_xlpm.hours,_xlfn._TRO_TRAILING(Sites!$DJ:$DL),_xlpm.type,ISNUMBER(SEARCH($AH$17,_xlfn._TRO_TRAILING(Sites!$H:$H))),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39" s="67" cm="1">
        <f t="array" ref="AR39">_xlfn.LET(_xlpm.hours,_xlfn._TRO_TRAILING(Sites!$DJ:$DL),_xlpm.type,ISNUMBER(SEARCH($AH$17,_xlfn._TRO_TRAILING(Sites!$H:$H))),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0" spans="2:46" outlineLevel="1" x14ac:dyDescent="0.25">
      <c r="B40" s="39" t="s">
        <v>37</v>
      </c>
      <c r="F40" s="67">
        <f t="shared" si="28"/>
        <v>363000</v>
      </c>
      <c r="G40" s="67">
        <f t="shared" si="18"/>
        <v>581655</v>
      </c>
      <c r="H40" s="67">
        <f t="shared" si="19"/>
        <v>736343.1</v>
      </c>
      <c r="J40" s="67">
        <f t="shared" si="20"/>
        <v>127500</v>
      </c>
      <c r="K40" s="67">
        <f t="shared" si="21"/>
        <v>177735</v>
      </c>
      <c r="L40" s="67">
        <f t="shared" si="22"/>
        <v>243193.49999999994</v>
      </c>
      <c r="N40" s="67">
        <f t="shared" si="29"/>
        <v>127500</v>
      </c>
      <c r="O40" s="67">
        <f t="shared" si="23"/>
        <v>238680</v>
      </c>
      <c r="P40" s="67">
        <f t="shared" si="24"/>
        <v>324604.79999999999</v>
      </c>
      <c r="R40" s="67">
        <f t="shared" si="25"/>
        <v>108000</v>
      </c>
      <c r="S40" s="67">
        <f t="shared" si="26"/>
        <v>165240</v>
      </c>
      <c r="T40" s="67">
        <f t="shared" si="27"/>
        <v>168544.80000000005</v>
      </c>
      <c r="V40" s="67" cm="1">
        <f t="array" ref="V40">_xlfn.LET(_xlpm.hours,_xlfn._TRO_TRAILING(Sites!$DN:$DP),_xlpm.type,ISNUMBER(SEARCH($V$17,_xlfn._TRO_TRAILING(Sites!$H:$H))),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40" s="67" cm="1">
        <f t="array" ref="W40">_xlfn.LET(_xlpm.hours,_xlfn._TRO_TRAILING(Sites!$DN:$DP),_xlpm.type,ISNUMBER(SEARCH($V$17,_xlfn._TRO_TRAILING(Sites!$H:$H))),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40" s="67" cm="1">
        <f t="array" ref="X40">_xlfn.LET(_xlpm.hours,_xlfn._TRO_TRAILING(Sites!$DN:$DP),_xlpm.type,ISNUMBER(SEARCH($V$17,_xlfn._TRO_TRAILING(Sites!$H:$H))),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40" s="67" cm="1">
        <f t="array" ref="Z40">_xlfn.LET(_xlpm.hours,_xlfn._TRO_TRAILING(Sites!$DN:$DP),_xlpm.type,ISNUMBER(SEARCH($V$17,_xlfn._TRO_TRAILING(Sites!$H:$H))),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40" s="67" cm="1">
        <f t="array" ref="AA40">_xlfn.LET(_xlpm.hours,_xlfn._TRO_TRAILING(Sites!$DN:$DP),_xlpm.type,ISNUMBER(SEARCH($V$17,_xlfn._TRO_TRAILING(Sites!$H:$H))),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40" s="67" cm="1">
        <f t="array" ref="AB40">_xlfn.LET(_xlpm.hours,_xlfn._TRO_TRAILING(Sites!$DN:$DP),_xlpm.type,ISNUMBER(SEARCH($V$17,_xlfn._TRO_TRAILING(Sites!$H:$H))),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40" s="67" cm="1">
        <f t="array" ref="AD40">_xlfn.LET(_xlpm.hours,_xlfn._TRO_TRAILING(Sites!$DN:$DP),_xlpm.type,ISNUMBER(SEARCH($V$17,_xlfn._TRO_TRAILING(Sites!$H:$H))),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108000</v>
      </c>
      <c r="AE40" s="67" cm="1">
        <f t="array" ref="AE40">_xlfn.LET(_xlpm.hours,_xlfn._TRO_TRAILING(Sites!$DN:$DP),_xlpm.type,ISNUMBER(SEARCH($V$17,_xlfn._TRO_TRAILING(Sites!$H:$H))),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165240</v>
      </c>
      <c r="AF40" s="67" cm="1">
        <f t="array" ref="AF40">_xlfn.LET(_xlpm.hours,_xlfn._TRO_TRAILING(Sites!$DN:$DP),_xlpm.type,ISNUMBER(SEARCH($V$17,_xlfn._TRO_TRAILING(Sites!$H:$H))),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168544.80000000005</v>
      </c>
      <c r="AH40" s="67" cm="1">
        <f t="array" ref="AH40">_xlfn.LET(_xlpm.hours,_xlfn._TRO_TRAILING(Sites!$DN:$DP),_xlpm.type,ISNUMBER(SEARCH($AH$17,_xlfn._TRO_TRAILING(Sites!$H:$H))),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127500</v>
      </c>
      <c r="AI40" s="67" cm="1">
        <f t="array" ref="AI40">_xlfn.LET(_xlpm.hours,_xlfn._TRO_TRAILING(Sites!$DN:$DP),_xlpm.type,ISNUMBER(SEARCH($AH$17,_xlfn._TRO_TRAILING(Sites!$H:$H))),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177735</v>
      </c>
      <c r="AJ40" s="67" cm="1">
        <f t="array" ref="AJ40">_xlfn.LET(_xlpm.hours,_xlfn._TRO_TRAILING(Sites!$DN:$DP),_xlpm.type,ISNUMBER(SEARCH($AH$17,_xlfn._TRO_TRAILING(Sites!$H:$H))),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243193.49999999994</v>
      </c>
      <c r="AL40" s="67" cm="1">
        <f t="array" ref="AL40">_xlfn.LET(_xlpm.hours,_xlfn._TRO_TRAILING(Sites!$DN:$DP),_xlpm.type,ISNUMBER(SEARCH($AH$17,_xlfn._TRO_TRAILING(Sites!$H:$H))),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127500</v>
      </c>
      <c r="AM40" s="67" cm="1">
        <f t="array" ref="AM40">_xlfn.LET(_xlpm.hours,_xlfn._TRO_TRAILING(Sites!$DN:$DP),_xlpm.type,ISNUMBER(SEARCH($AH$17,_xlfn._TRO_TRAILING(Sites!$H:$H))),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238680</v>
      </c>
      <c r="AN40" s="67" cm="1">
        <f t="array" ref="AN40">_xlfn.LET(_xlpm.hours,_xlfn._TRO_TRAILING(Sites!$DN:$DP),_xlpm.type,ISNUMBER(SEARCH($AH$17,_xlfn._TRO_TRAILING(Sites!$H:$H))),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324604.79999999999</v>
      </c>
      <c r="AP40" s="67" cm="1">
        <f t="array" ref="AP40">_xlfn.LET(_xlpm.hours,_xlfn._TRO_TRAILING(Sites!$DN:$DP),_xlpm.type,ISNUMBER(SEARCH($AH$17,_xlfn._TRO_TRAILING(Sites!$H:$H))),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40" s="67" cm="1">
        <f t="array" ref="AQ40">_xlfn.LET(_xlpm.hours,_xlfn._TRO_TRAILING(Sites!$DN:$DP),_xlpm.type,ISNUMBER(SEARCH($AH$17,_xlfn._TRO_TRAILING(Sites!$H:$H))),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40" s="67" cm="1">
        <f t="array" ref="AR40">_xlfn.LET(_xlpm.hours,_xlfn._TRO_TRAILING(Sites!$DN:$DP),_xlpm.type,ISNUMBER(SEARCH($AH$17,_xlfn._TRO_TRAILING(Sites!$H:$H))),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1" spans="2:46" outlineLevel="1" x14ac:dyDescent="0.25">
      <c r="B41" s="39" t="s">
        <v>40</v>
      </c>
      <c r="F41" s="67">
        <f t="shared" si="28"/>
        <v>1528982</v>
      </c>
      <c r="G41" s="67">
        <f t="shared" si="18"/>
        <v>2319198.9900000002</v>
      </c>
      <c r="H41" s="67">
        <f t="shared" si="19"/>
        <v>3041292.5981999999</v>
      </c>
      <c r="J41" s="67">
        <f t="shared" si="20"/>
        <v>663228</v>
      </c>
      <c r="K41" s="67">
        <f t="shared" si="21"/>
        <v>843137.61</v>
      </c>
      <c r="L41" s="67">
        <f t="shared" si="22"/>
        <v>1050903.3581999999</v>
      </c>
      <c r="N41" s="67">
        <f t="shared" si="29"/>
        <v>653274</v>
      </c>
      <c r="O41" s="67">
        <f t="shared" si="23"/>
        <v>1143566.8800000001</v>
      </c>
      <c r="P41" s="67">
        <f t="shared" si="24"/>
        <v>1604686.9500000002</v>
      </c>
      <c r="R41" s="67">
        <f t="shared" si="25"/>
        <v>212479.99999999997</v>
      </c>
      <c r="S41" s="67">
        <f t="shared" si="26"/>
        <v>332494.5</v>
      </c>
      <c r="T41" s="67">
        <f t="shared" si="27"/>
        <v>385702.29</v>
      </c>
      <c r="V41" s="67" cm="1">
        <f t="array" ref="V41">_xlfn.LET(_xlpm.hours,_xlfn._TRO_TRAILING(Sites!$DR:$DT),_xlpm.type,ISNUMBER(SEARCH($V$17,_xlfn._TRO_TRAILING(Sites!$H:$H))),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212134.99999999997</v>
      </c>
      <c r="W41" s="67" cm="1">
        <f t="array" ref="W41">_xlfn.LET(_xlpm.hours,_xlfn._TRO_TRAILING(Sites!$DR:$DT),_xlpm.type,ISNUMBER(SEARCH($V$17,_xlfn._TRO_TRAILING(Sites!$H:$H))),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241360.04999999996</v>
      </c>
      <c r="X41" s="67" cm="1">
        <f t="array" ref="X41">_xlfn.LET(_xlpm.hours,_xlfn._TRO_TRAILING(Sites!$DR:$DT),_xlpm.type,ISNUMBER(SEARCH($V$17,_xlfn._TRO_TRAILING(Sites!$H:$H))),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246949.34399999998</v>
      </c>
      <c r="Z41" s="67" cm="1">
        <f t="array" ref="Z41">_xlfn.LET(_xlpm.hours,_xlfn._TRO_TRAILING(Sites!$DR:$DT),_xlpm.type,ISNUMBER(SEARCH($V$17,_xlfn._TRO_TRAILING(Sites!$H:$H))),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393785</v>
      </c>
      <c r="AA41" s="67" cm="1">
        <f t="array" ref="AA41">_xlfn.LET(_xlpm.hours,_xlfn._TRO_TRAILING(Sites!$DR:$DT),_xlpm.type,ISNUMBER(SEARCH($V$17,_xlfn._TRO_TRAILING(Sites!$H:$H))),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507057.30000000005</v>
      </c>
      <c r="AB41" s="67" cm="1">
        <f t="array" ref="AB41">_xlfn.LET(_xlpm.hours,_xlfn._TRO_TRAILING(Sites!$DR:$DT),_xlpm.type,ISNUMBER(SEARCH($V$17,_xlfn._TRO_TRAILING(Sites!$H:$H))),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624989.08800000011</v>
      </c>
      <c r="AD41" s="67" cm="1">
        <f t="array" ref="AD41">_xlfn.LET(_xlpm.hours,_xlfn._TRO_TRAILING(Sites!$DR:$DT),_xlpm.type,ISNUMBER(SEARCH($V$17,_xlfn._TRO_TRAILING(Sites!$H:$H))),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212479.99999999997</v>
      </c>
      <c r="AE41" s="67" cm="1">
        <f t="array" ref="AE41">_xlfn.LET(_xlpm.hours,_xlfn._TRO_TRAILING(Sites!$DR:$DT),_xlpm.type,ISNUMBER(SEARCH($V$17,_xlfn._TRO_TRAILING(Sites!$H:$H))),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332494.5</v>
      </c>
      <c r="AF41" s="67" cm="1">
        <f t="array" ref="AF41">_xlfn.LET(_xlpm.hours,_xlfn._TRO_TRAILING(Sites!$DR:$DT),_xlpm.type,ISNUMBER(SEARCH($V$17,_xlfn._TRO_TRAILING(Sites!$H:$H))),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385702.29</v>
      </c>
      <c r="AH41" s="67" cm="1">
        <f t="array" ref="AH41">_xlfn.LET(_xlpm.hours,_xlfn._TRO_TRAILING(Sites!$DR:$DT),_xlpm.type,ISNUMBER(SEARCH($AH$17,_xlfn._TRO_TRAILING(Sites!$H:$H))),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451093</v>
      </c>
      <c r="AI41" s="67" cm="1">
        <f t="array" ref="AI41">_xlfn.LET(_xlpm.hours,_xlfn._TRO_TRAILING(Sites!$DR:$DT),_xlpm.type,ISNUMBER(SEARCH($AH$17,_xlfn._TRO_TRAILING(Sites!$H:$H))),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601777.56000000006</v>
      </c>
      <c r="AJ41" s="67" cm="1">
        <f t="array" ref="AJ41">_xlfn.LET(_xlpm.hours,_xlfn._TRO_TRAILING(Sites!$DR:$DT),_xlpm.type,ISNUMBER(SEARCH($AH$17,_xlfn._TRO_TRAILING(Sites!$H:$H))),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803954.01419999998</v>
      </c>
      <c r="AL41" s="67" cm="1">
        <f t="array" ref="AL41">_xlfn.LET(_xlpm.hours,_xlfn._TRO_TRAILING(Sites!$DR:$DT),_xlpm.type,ISNUMBER(SEARCH($AH$17,_xlfn._TRO_TRAILING(Sites!$H:$H))),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259489</v>
      </c>
      <c r="AM41" s="67" cm="1">
        <f t="array" ref="AM41">_xlfn.LET(_xlpm.hours,_xlfn._TRO_TRAILING(Sites!$DR:$DT),_xlpm.type,ISNUMBER(SEARCH($AH$17,_xlfn._TRO_TRAILING(Sites!$H:$H))),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636509.58000000007</v>
      </c>
      <c r="AN41" s="67" cm="1">
        <f t="array" ref="AN41">_xlfn.LET(_xlpm.hours,_xlfn._TRO_TRAILING(Sites!$DR:$DT),_xlpm.type,ISNUMBER(SEARCH($AH$17,_xlfn._TRO_TRAILING(Sites!$H:$H))),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979697.86199999996</v>
      </c>
      <c r="AP41" s="67" cm="1">
        <f t="array" ref="AP41">_xlfn.LET(_xlpm.hours,_xlfn._TRO_TRAILING(Sites!$DR:$DT),_xlpm.type,ISNUMBER(SEARCH($AH$17,_xlfn._TRO_TRAILING(Sites!$H:$H))),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41" s="67" cm="1">
        <f t="array" ref="AQ41">_xlfn.LET(_xlpm.hours,_xlfn._TRO_TRAILING(Sites!$DR:$DT),_xlpm.type,ISNUMBER(SEARCH($AH$17,_xlfn._TRO_TRAILING(Sites!$H:$H))),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41" s="67" cm="1">
        <f t="array" ref="AR41">_xlfn.LET(_xlpm.hours,_xlfn._TRO_TRAILING(Sites!$DR:$DT),_xlpm.type,ISNUMBER(SEARCH($AH$17,_xlfn._TRO_TRAILING(Sites!$H:$H))),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2" spans="2:46" outlineLevel="1" x14ac:dyDescent="0.25">
      <c r="B42" s="39" t="s">
        <v>42</v>
      </c>
      <c r="F42" s="67">
        <f t="shared" si="28"/>
        <v>290200</v>
      </c>
      <c r="G42" s="67">
        <f t="shared" si="18"/>
        <v>487882.5</v>
      </c>
      <c r="H42" s="67">
        <f t="shared" si="19"/>
        <v>669107.25</v>
      </c>
      <c r="J42" s="67">
        <f t="shared" si="20"/>
        <v>141300</v>
      </c>
      <c r="K42" s="67">
        <f t="shared" si="21"/>
        <v>214777.5</v>
      </c>
      <c r="L42" s="67">
        <f t="shared" si="22"/>
        <v>314267.625</v>
      </c>
      <c r="N42" s="67">
        <f t="shared" si="29"/>
        <v>102100</v>
      </c>
      <c r="O42" s="67">
        <f t="shared" si="23"/>
        <v>199395</v>
      </c>
      <c r="P42" s="67">
        <f t="shared" si="24"/>
        <v>277444.125</v>
      </c>
      <c r="R42" s="67">
        <f t="shared" si="25"/>
        <v>46800</v>
      </c>
      <c r="S42" s="67">
        <f t="shared" si="26"/>
        <v>73710</v>
      </c>
      <c r="T42" s="67">
        <f t="shared" si="27"/>
        <v>77395.5</v>
      </c>
      <c r="V42" s="67" cm="1">
        <f t="array" ref="V42">_xlfn.LET(_xlpm.hours,_xlfn._TRO_TRAILING(Sites!$DV:$DX),_xlpm.type,ISNUMBER(SEARCH($V$17,_xlfn._TRO_TRAILING(Sites!$H:$H))),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42" s="67" cm="1">
        <f t="array" ref="W42">_xlfn.LET(_xlpm.hours,_xlfn._TRO_TRAILING(Sites!$DV:$DX),_xlpm.type,ISNUMBER(SEARCH($V$17,_xlfn._TRO_TRAILING(Sites!$H:$H))),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42" s="67" cm="1">
        <f t="array" ref="X42">_xlfn.LET(_xlpm.hours,_xlfn._TRO_TRAILING(Sites!$DV:$DX),_xlpm.type,ISNUMBER(SEARCH($V$17,_xlfn._TRO_TRAILING(Sites!$H:$H))),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42" s="67" cm="1">
        <f t="array" ref="Z42">_xlfn.LET(_xlpm.hours,_xlfn._TRO_TRAILING(Sites!$DV:$DX),_xlpm.type,ISNUMBER(SEARCH($V$17,_xlfn._TRO_TRAILING(Sites!$H:$H))),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42" s="67" cm="1">
        <f t="array" ref="AA42">_xlfn.LET(_xlpm.hours,_xlfn._TRO_TRAILING(Sites!$DV:$DX),_xlpm.type,ISNUMBER(SEARCH($V$17,_xlfn._TRO_TRAILING(Sites!$H:$H))),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42" s="67" cm="1">
        <f t="array" ref="AB42">_xlfn.LET(_xlpm.hours,_xlfn._TRO_TRAILING(Sites!$DV:$DX),_xlpm.type,ISNUMBER(SEARCH($V$17,_xlfn._TRO_TRAILING(Sites!$H:$H))),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42" s="67" cm="1">
        <f t="array" ref="AD42">_xlfn.LET(_xlpm.hours,_xlfn._TRO_TRAILING(Sites!$DV:$DX),_xlpm.type,ISNUMBER(SEARCH($V$17,_xlfn._TRO_TRAILING(Sites!$H:$H))),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46800</v>
      </c>
      <c r="AE42" s="67" cm="1">
        <f t="array" ref="AE42">_xlfn.LET(_xlpm.hours,_xlfn._TRO_TRAILING(Sites!$DV:$DX),_xlpm.type,ISNUMBER(SEARCH($V$17,_xlfn._TRO_TRAILING(Sites!$H:$H))),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73710</v>
      </c>
      <c r="AF42" s="67" cm="1">
        <f t="array" ref="AF42">_xlfn.LET(_xlpm.hours,_xlfn._TRO_TRAILING(Sites!$DV:$DX),_xlpm.type,ISNUMBER(SEARCH($V$17,_xlfn._TRO_TRAILING(Sites!$H:$H))),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77395.5</v>
      </c>
      <c r="AH42" s="67" cm="1">
        <f t="array" ref="AH42">_xlfn.LET(_xlpm.hours,_xlfn._TRO_TRAILING(Sites!$DV:$DX),_xlpm.type,ISNUMBER(SEARCH($AH$17,_xlfn._TRO_TRAILING(Sites!$H:$H))),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141300</v>
      </c>
      <c r="AI42" s="67" cm="1">
        <f t="array" ref="AI42">_xlfn.LET(_xlpm.hours,_xlfn._TRO_TRAILING(Sites!$DV:$DX),_xlpm.type,ISNUMBER(SEARCH($AH$17,_xlfn._TRO_TRAILING(Sites!$H:$H))),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214777.5</v>
      </c>
      <c r="AJ42" s="67" cm="1">
        <f t="array" ref="AJ42">_xlfn.LET(_xlpm.hours,_xlfn._TRO_TRAILING(Sites!$DV:$DX),_xlpm.type,ISNUMBER(SEARCH($AH$17,_xlfn._TRO_TRAILING(Sites!$H:$H))),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314267.625</v>
      </c>
      <c r="AL42" s="67" cm="1">
        <f t="array" ref="AL42">_xlfn.LET(_xlpm.hours,_xlfn._TRO_TRAILING(Sites!$DV:$DX),_xlpm.type,ISNUMBER(SEARCH($AH$17,_xlfn._TRO_TRAILING(Sites!$H:$H))),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102100</v>
      </c>
      <c r="AM42" s="67" cm="1">
        <f t="array" ref="AM42">_xlfn.LET(_xlpm.hours,_xlfn._TRO_TRAILING(Sites!$DV:$DX),_xlpm.type,ISNUMBER(SEARCH($AH$17,_xlfn._TRO_TRAILING(Sites!$H:$H))),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199395</v>
      </c>
      <c r="AN42" s="67" cm="1">
        <f t="array" ref="AN42">_xlfn.LET(_xlpm.hours,_xlfn._TRO_TRAILING(Sites!$DV:$DX),_xlpm.type,ISNUMBER(SEARCH($AH$17,_xlfn._TRO_TRAILING(Sites!$H:$H))),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277444.125</v>
      </c>
      <c r="AP42" s="67" cm="1">
        <f t="array" ref="AP42">_xlfn.LET(_xlpm.hours,_xlfn._TRO_TRAILING(Sites!$DV:$DX),_xlpm.type,ISNUMBER(SEARCH($AH$17,_xlfn._TRO_TRAILING(Sites!$H:$H))),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42" s="67" cm="1">
        <f t="array" ref="AQ42">_xlfn.LET(_xlpm.hours,_xlfn._TRO_TRAILING(Sites!$DV:$DX),_xlpm.type,ISNUMBER(SEARCH($AH$17,_xlfn._TRO_TRAILING(Sites!$H:$H))),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42" s="67" cm="1">
        <f t="array" ref="AR42">_xlfn.LET(_xlpm.hours,_xlfn._TRO_TRAILING(Sites!$DV:$DX),_xlpm.type,ISNUMBER(SEARCH($AH$17,_xlfn._TRO_TRAILING(Sites!$H:$H))),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3" spans="2:46" outlineLevel="1" x14ac:dyDescent="0.25">
      <c r="B43" s="39" t="s">
        <v>43</v>
      </c>
      <c r="F43" s="67">
        <f t="shared" si="28"/>
        <v>334155.11</v>
      </c>
      <c r="G43" s="67">
        <f t="shared" si="18"/>
        <v>231016.11</v>
      </c>
      <c r="H43" s="67">
        <f t="shared" si="19"/>
        <v>231016.11</v>
      </c>
      <c r="J43" s="67">
        <f t="shared" si="20"/>
        <v>126877.11</v>
      </c>
      <c r="K43" s="67">
        <f t="shared" si="21"/>
        <v>126877.11</v>
      </c>
      <c r="L43" s="67">
        <f t="shared" si="22"/>
        <v>126877.11</v>
      </c>
      <c r="N43" s="67">
        <f t="shared" si="29"/>
        <v>207278</v>
      </c>
      <c r="O43" s="67">
        <f t="shared" si="23"/>
        <v>104139</v>
      </c>
      <c r="P43" s="67">
        <f t="shared" si="24"/>
        <v>104139</v>
      </c>
      <c r="R43" s="67">
        <f t="shared" si="25"/>
        <v>0</v>
      </c>
      <c r="S43" s="67">
        <f t="shared" si="26"/>
        <v>0</v>
      </c>
      <c r="T43" s="67">
        <f t="shared" si="27"/>
        <v>0</v>
      </c>
      <c r="V43" s="67" cm="1">
        <f t="array" ref="V43">_xlfn.LET(_xlpm.hours,_xlfn._TRO_TRAILING(Sites!$DZ:$EB),_xlpm.type,ISNUMBER(SEARCH($V$17,_xlfn._TRO_TRAILING(Sites!$H:$H))),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0</v>
      </c>
      <c r="W43" s="67" cm="1">
        <f t="array" ref="W43">_xlfn.LET(_xlpm.hours,_xlfn._TRO_TRAILING(Sites!$DZ:$EB),_xlpm.type,ISNUMBER(SEARCH($V$17,_xlfn._TRO_TRAILING(Sites!$H:$H))),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0</v>
      </c>
      <c r="X43" s="67" cm="1">
        <f t="array" ref="X43">_xlfn.LET(_xlpm.hours,_xlfn._TRO_TRAILING(Sites!$DZ:$EB),_xlpm.type,ISNUMBER(SEARCH($V$17,_xlfn._TRO_TRAILING(Sites!$H:$H))),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0</v>
      </c>
      <c r="Z43" s="67" cm="1">
        <f t="array" ref="Z43">_xlfn.LET(_xlpm.hours,_xlfn._TRO_TRAILING(Sites!$DZ:$EB),_xlpm.type,ISNUMBER(SEARCH($V$17,_xlfn._TRO_TRAILING(Sites!$H:$H))),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0</v>
      </c>
      <c r="AA43" s="67" cm="1">
        <f t="array" ref="AA43">_xlfn.LET(_xlpm.hours,_xlfn._TRO_TRAILING(Sites!$DZ:$EB),_xlpm.type,ISNUMBER(SEARCH($V$17,_xlfn._TRO_TRAILING(Sites!$H:$H))),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0</v>
      </c>
      <c r="AB43" s="67" cm="1">
        <f t="array" ref="AB43">_xlfn.LET(_xlpm.hours,_xlfn._TRO_TRAILING(Sites!$DZ:$EB),_xlpm.type,ISNUMBER(SEARCH($V$17,_xlfn._TRO_TRAILING(Sites!$H:$H))),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0</v>
      </c>
      <c r="AD43" s="67" cm="1">
        <f t="array" ref="AD43">_xlfn.LET(_xlpm.hours,_xlfn._TRO_TRAILING(Sites!$DZ:$EB),_xlpm.type,ISNUMBER(SEARCH($V$17,_xlfn._TRO_TRAILING(Sites!$H:$H))),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0</v>
      </c>
      <c r="AE43" s="67" cm="1">
        <f t="array" ref="AE43">_xlfn.LET(_xlpm.hours,_xlfn._TRO_TRAILING(Sites!$DZ:$EB),_xlpm.type,ISNUMBER(SEARCH($V$17,_xlfn._TRO_TRAILING(Sites!$H:$H))),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0</v>
      </c>
      <c r="AF43" s="67" cm="1">
        <f t="array" ref="AF43">_xlfn.LET(_xlpm.hours,_xlfn._TRO_TRAILING(Sites!$DZ:$EB),_xlpm.type,ISNUMBER(SEARCH($V$17,_xlfn._TRO_TRAILING(Sites!$H:$H))),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0</v>
      </c>
      <c r="AH43" s="67" cm="1">
        <f t="array" ref="AH43">_xlfn.LET(_xlpm.hours,_xlfn._TRO_TRAILING(Sites!$DZ:$EB),_xlpm.type,ISNUMBER(SEARCH($AH$17,_xlfn._TRO_TRAILING(Sites!$H:$H))),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126877.11</v>
      </c>
      <c r="AI43" s="67" cm="1">
        <f t="array" ref="AI43">_xlfn.LET(_xlpm.hours,_xlfn._TRO_TRAILING(Sites!$DZ:$EB),_xlpm.type,ISNUMBER(SEARCH($AH$17,_xlfn._TRO_TRAILING(Sites!$H:$H))),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126877.11</v>
      </c>
      <c r="AJ43" s="67" cm="1">
        <f t="array" ref="AJ43">_xlfn.LET(_xlpm.hours,_xlfn._TRO_TRAILING(Sites!$DZ:$EB),_xlpm.type,ISNUMBER(SEARCH($AH$17,_xlfn._TRO_TRAILING(Sites!$H:$H))),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126877.11</v>
      </c>
      <c r="AL43" s="67" cm="1">
        <f t="array" ref="AL43">_xlfn.LET(_xlpm.hours,_xlfn._TRO_TRAILING(Sites!$DZ:$EB),_xlpm.type,ISNUMBER(SEARCH($AH$17,_xlfn._TRO_TRAILING(Sites!$H:$H))),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207278</v>
      </c>
      <c r="AM43" s="67" cm="1">
        <f t="array" ref="AM43">_xlfn.LET(_xlpm.hours,_xlfn._TRO_TRAILING(Sites!$DZ:$EB),_xlpm.type,ISNUMBER(SEARCH($AH$17,_xlfn._TRO_TRAILING(Sites!$H:$H))),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104139</v>
      </c>
      <c r="AN43" s="67" cm="1">
        <f t="array" ref="AN43">_xlfn.LET(_xlpm.hours,_xlfn._TRO_TRAILING(Sites!$DZ:$EB),_xlpm.type,ISNUMBER(SEARCH($AH$17,_xlfn._TRO_TRAILING(Sites!$H:$H))),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104139</v>
      </c>
      <c r="AP43" s="67" cm="1">
        <f t="array" ref="AP43">_xlfn.LET(_xlpm.hours,_xlfn._TRO_TRAILING(Sites!$DZ:$EB),_xlpm.type,ISNUMBER(SEARCH($AH$17,_xlfn._TRO_TRAILING(Sites!$H:$H))),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43" s="67" cm="1">
        <f t="array" ref="AQ43">_xlfn.LET(_xlpm.hours,_xlfn._TRO_TRAILING(Sites!$DZ:$EB),_xlpm.type,ISNUMBER(SEARCH($AH$17,_xlfn._TRO_TRAILING(Sites!$H:$H))),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43" s="67" cm="1">
        <f t="array" ref="AR43">_xlfn.LET(_xlpm.hours,_xlfn._TRO_TRAILING(Sites!$DZ:$EB),_xlpm.type,ISNUMBER(SEARCH($AH$17,_xlfn._TRO_TRAILING(Sites!$H:$H))),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4" spans="2:46" outlineLevel="1" x14ac:dyDescent="0.25">
      <c r="B44" s="39" t="s">
        <v>44</v>
      </c>
      <c r="F44" s="67">
        <f t="shared" si="28"/>
        <v>4410316.2430215646</v>
      </c>
      <c r="G44" s="67">
        <f t="shared" si="18"/>
        <v>3981063.4945667861</v>
      </c>
      <c r="H44" s="67">
        <f t="shared" si="19"/>
        <v>4524916.0794157293</v>
      </c>
      <c r="J44" s="67">
        <f t="shared" si="20"/>
        <v>2441702.6509997593</v>
      </c>
      <c r="K44" s="67">
        <f t="shared" si="21"/>
        <v>1902643.6240358353</v>
      </c>
      <c r="L44" s="67">
        <f t="shared" si="22"/>
        <v>2044183.5133598391</v>
      </c>
      <c r="N44" s="67">
        <f t="shared" si="29"/>
        <v>1552237.8377312853</v>
      </c>
      <c r="O44" s="67">
        <f t="shared" si="23"/>
        <v>1686303.7485045358</v>
      </c>
      <c r="P44" s="67">
        <f t="shared" si="24"/>
        <v>2073801.1726888656</v>
      </c>
      <c r="R44" s="67">
        <f t="shared" si="25"/>
        <v>416375.75429052062</v>
      </c>
      <c r="S44" s="67">
        <f t="shared" si="26"/>
        <v>392116.12202641496</v>
      </c>
      <c r="T44" s="67">
        <f t="shared" si="27"/>
        <v>406931.39336702437</v>
      </c>
      <c r="V44" s="67" cm="1">
        <f t="array" ref="V44">_xlfn.LET(_xlpm.hours,_xlfn._TRO_TRAILING(Sites!$ED:$EF),_xlpm.type,ISNUMBER(SEARCH($V$17,_xlfn._TRO_TRAILING(Sites!$H:$H))),
_xlpm.states,ISNUMBER(SEARCH($V$19,_xlfn._TRO_TRAILING(Sites!$I:$I))),
_xlpm.years,ISNUMBER(SEARCH(V$20,Sites!$R$3:$T$3)),
SUM(_xlfn._xlws.FILTER(_xlfn._xlws.FILTER(_xlpm.hours,_xlpm.states*_xlpm.type,0),_xlpm.years),0))</f>
        <v>765720.07645419554</v>
      </c>
      <c r="W44" s="67" cm="1">
        <f t="array" ref="W44">_xlfn.LET(_xlpm.hours,_xlfn._TRO_TRAILING(Sites!$ED:$EF),_xlpm.type,ISNUMBER(SEARCH($V$17,_xlfn._TRO_TRAILING(Sites!$H:$H))),
_xlpm.states,ISNUMBER(SEARCH($V$19,_xlfn._TRO_TRAILING(Sites!$I:$I))),
_xlpm.years,ISNUMBER(SEARCH(W$20,Sites!$R$3:$T$3)),
SUM(_xlfn._xlws.FILTER(_xlfn._xlws.FILTER(_xlpm.hours,_xlpm.states*_xlpm.type,0),_xlpm.years),0))</f>
        <v>546330.2074090637</v>
      </c>
      <c r="X44" s="67" cm="1">
        <f t="array" ref="X44">_xlfn.LET(_xlpm.hours,_xlfn._TRO_TRAILING(Sites!$ED:$EF),_xlpm.type,ISNUMBER(SEARCH($V$17,_xlfn._TRO_TRAILING(Sites!$H:$H))),
_xlpm.states,ISNUMBER(SEARCH($V$19,_xlfn._TRO_TRAILING(Sites!$I:$I))),
_xlpm.years,ISNUMBER(SEARCH(X$20,Sites!$R$3:$T$3)),
SUM(_xlfn._xlws.FILTER(_xlfn._xlws.FILTER(_xlpm.hours,_xlpm.states*_xlpm.type,0),_xlpm.years),0))</f>
        <v>473977.05471192644</v>
      </c>
      <c r="Z44" s="67" cm="1">
        <f t="array" ref="Z44">_xlfn.LET(_xlpm.hours,_xlfn._TRO_TRAILING(Sites!$ED:$EF),_xlpm.type,ISNUMBER(SEARCH($V$17,_xlfn._TRO_TRAILING(Sites!$H:$H))),
_xlpm.states,ISNUMBER(SEARCH($Z$19,_xlfn._TRO_TRAILING(Sites!$I:$I))),
_xlpm.years,ISNUMBER(SEARCH(Z$20,Sites!$R$3:$T$3)),
SUM(_xlfn._xlws.FILTER(_xlfn._xlws.FILTER(_xlpm.hours,_xlpm.states*_xlpm.type,0),_xlpm.years),0))</f>
        <v>905218.84081703541</v>
      </c>
      <c r="AA44" s="67" cm="1">
        <f t="array" ref="AA44">_xlfn.LET(_xlpm.hours,_xlfn._TRO_TRAILING(Sites!$ED:$EF),_xlpm.type,ISNUMBER(SEARCH($V$17,_xlfn._TRO_TRAILING(Sites!$H:$H))),
_xlpm.states,ISNUMBER(SEARCH($Z$19,_xlfn._TRO_TRAILING(Sites!$I:$I))),
_xlpm.years,ISNUMBER(SEARCH(AA$20,Sites!$R$3:$T$3)),
SUM(_xlfn._xlws.FILTER(_xlfn._xlws.FILTER(_xlpm.hours,_xlpm.states*_xlpm.type,0),_xlpm.years),0))</f>
        <v>717333.3606548633</v>
      </c>
      <c r="AB44" s="67" cm="1">
        <f t="array" ref="AB44">_xlfn.LET(_xlpm.hours,_xlfn._TRO_TRAILING(Sites!$ED:$EF),_xlpm.type,ISNUMBER(SEARCH($V$17,_xlfn._TRO_TRAILING(Sites!$H:$H))),
_xlpm.states,ISNUMBER(SEARCH($Z$19,_xlfn._TRO_TRAILING(Sites!$I:$I))),
_xlpm.years,ISNUMBER(SEARCH(AB$20,Sites!$R$3:$T$3)),
SUM(_xlfn._xlws.FILTER(_xlfn._xlws.FILTER(_xlpm.hours,_xlpm.states*_xlpm.type,0),_xlpm.years),0))</f>
        <v>765285.83190784894</v>
      </c>
      <c r="AD44" s="67" cm="1">
        <f t="array" ref="AD44">_xlfn.LET(_xlpm.hours,_xlfn._TRO_TRAILING(Sites!$ED:$EF),_xlpm.type,ISNUMBER(SEARCH($V$17,_xlfn._TRO_TRAILING(Sites!$H:$H))),
_xlpm.states,ISNUMBER(SEARCH($AD$19,_xlfn._TRO_TRAILING(Sites!$I:$I))),
_xlpm.years,ISNUMBER(SEARCH(AD$20,Sites!$R$3:$T$3)),
SUM(_xlfn._xlws.FILTER(_xlfn._xlws.FILTER(_xlpm.hours,_xlpm.states*_xlpm.type,0),_xlpm.years),0))</f>
        <v>416375.75429052062</v>
      </c>
      <c r="AE44" s="67" cm="1">
        <f t="array" ref="AE44">_xlfn.LET(_xlpm.hours,_xlfn._TRO_TRAILING(Sites!$ED:$EF),_xlpm.type,ISNUMBER(SEARCH($V$17,_xlfn._TRO_TRAILING(Sites!$H:$H))),
_xlpm.states,ISNUMBER(SEARCH($AD$19,_xlfn._TRO_TRAILING(Sites!$I:$I))),
_xlpm.years,ISNUMBER(SEARCH(AE$20,Sites!$R$3:$T$3)),
SUM(_xlfn._xlws.FILTER(_xlfn._xlws.FILTER(_xlpm.hours,_xlpm.states*_xlpm.type,0),_xlpm.years),0))</f>
        <v>392116.12202641496</v>
      </c>
      <c r="AF44" s="67" cm="1">
        <f t="array" ref="AF44">_xlfn.LET(_xlpm.hours,_xlfn._TRO_TRAILING(Sites!$ED:$EF),_xlpm.type,ISNUMBER(SEARCH($V$17,_xlfn._TRO_TRAILING(Sites!$H:$H))),
_xlpm.states,ISNUMBER(SEARCH($AD$19,_xlfn._TRO_TRAILING(Sites!$I:$I))),
_xlpm.years,ISNUMBER(SEARCH(AF$20,Sites!$R$3:$T$3)),
SUM(_xlfn._xlws.FILTER(_xlfn._xlws.FILTER(_xlpm.hours,_xlpm.states*_xlpm.type,0),_xlpm.years),0))</f>
        <v>406931.39336702437</v>
      </c>
      <c r="AH44" s="67" cm="1">
        <f t="array" ref="AH44">_xlfn.LET(_xlpm.hours,_xlfn._TRO_TRAILING(Sites!$ED:$EF),_xlpm.type,ISNUMBER(SEARCH($AH$17,_xlfn._TRO_TRAILING(Sites!$H:$H))),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1675982.5745455639</v>
      </c>
      <c r="AI44" s="67" cm="1">
        <f t="array" ref="AI44">_xlfn.LET(_xlpm.hours,_xlfn._TRO_TRAILING(Sites!$ED:$EF),_xlpm.type,ISNUMBER(SEARCH($AH$17,_xlfn._TRO_TRAILING(Sites!$H:$H))),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1356313.4166267714</v>
      </c>
      <c r="AJ44" s="67" cm="1">
        <f t="array" ref="AJ44">_xlfn.LET(_xlpm.hours,_xlfn._TRO_TRAILING(Sites!$ED:$EF),_xlpm.type,ISNUMBER(SEARCH($AH$17,_xlfn._TRO_TRAILING(Sites!$H:$H))),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1570206.4586479126</v>
      </c>
      <c r="AL44" s="67" cm="1">
        <f t="array" ref="AL44">_xlfn.LET(_xlpm.hours,_xlfn._TRO_TRAILING(Sites!$ED:$EF),_xlpm.type,ISNUMBER(SEARCH($AH$17,_xlfn._TRO_TRAILING(Sites!$H:$H))),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647018.99691424984</v>
      </c>
      <c r="AM44" s="67" cm="1">
        <f t="array" ref="AM44">_xlfn.LET(_xlpm.hours,_xlfn._TRO_TRAILING(Sites!$ED:$EF),_xlpm.type,ISNUMBER(SEARCH($AH$17,_xlfn._TRO_TRAILING(Sites!$H:$H))),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968970.38784967246</v>
      </c>
      <c r="AN44" s="67" cm="1">
        <f t="array" ref="AN44">_xlfn.LET(_xlpm.hours,_xlfn._TRO_TRAILING(Sites!$ED:$EF),_xlpm.type,ISNUMBER(SEARCH($AH$17,_xlfn._TRO_TRAILING(Sites!$H:$H))),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1308515.3407810167</v>
      </c>
      <c r="AP44" s="67" cm="1">
        <f t="array" ref="AP44">_xlfn.LET(_xlpm.hours,_xlfn._TRO_TRAILING(Sites!$ED:$EF),_xlpm.type,ISNUMBER(SEARCH($AH$17,_xlfn._TRO_TRAILING(Sites!$H:$H))),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44" s="67" cm="1">
        <f t="array" ref="AQ44">_xlfn.LET(_xlpm.hours,_xlfn._TRO_TRAILING(Sites!$ED:$EF),_xlpm.type,ISNUMBER(SEARCH($AH$17,_xlfn._TRO_TRAILING(Sites!$H:$H))),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44" s="67" cm="1">
        <f t="array" ref="AR44">_xlfn.LET(_xlpm.hours,_xlfn._TRO_TRAILING(Sites!$ED:$EF),_xlpm.type,ISNUMBER(SEARCH($AH$17,_xlfn._TRO_TRAILING(Sites!$H:$H))),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45" spans="2:46" x14ac:dyDescent="0.25">
      <c r="B45" s="1" t="s">
        <v>332</v>
      </c>
      <c r="F45" s="13">
        <f>SUM(F35:F44)</f>
        <v>24218169.224752843</v>
      </c>
      <c r="G45" s="13">
        <f>SUM(G35:G44)</f>
        <v>36312555.844167635</v>
      </c>
      <c r="H45" s="13">
        <f>SUM(H35:H44)</f>
        <v>50709192.225249521</v>
      </c>
      <c r="J45" s="13">
        <f>SUM(J35:J44)</f>
        <v>13260049.538376771</v>
      </c>
      <c r="K45" s="13">
        <f>SUM(K35:K44)</f>
        <v>17154449.39462053</v>
      </c>
      <c r="L45" s="13">
        <f>SUM(L35:L44)</f>
        <v>23032984.749942735</v>
      </c>
      <c r="N45" s="13">
        <f>SUM(N35:N44)</f>
        <v>8705408.9501770493</v>
      </c>
      <c r="O45" s="13">
        <f>SUM(O35:O44)</f>
        <v>15803874.809335504</v>
      </c>
      <c r="P45" s="13">
        <f>SUM(P35:P44)</f>
        <v>23696482.798308913</v>
      </c>
      <c r="R45" s="13">
        <f>SUM(R35:R44)</f>
        <v>2252710.7361990251</v>
      </c>
      <c r="S45" s="13">
        <f>SUM(S35:S44)</f>
        <v>3354231.6402116064</v>
      </c>
      <c r="T45" s="13">
        <f>SUM(T35:T44)</f>
        <v>3979724.6769978628</v>
      </c>
      <c r="V45" s="13">
        <f>SUM(V35:V44)</f>
        <v>3376025.5065006274</v>
      </c>
      <c r="W45" s="13">
        <f>SUM(W35:W44)</f>
        <v>3815312.9873343897</v>
      </c>
      <c r="X45" s="13">
        <f>SUM(X35:X44)</f>
        <v>4073640.9861237057</v>
      </c>
      <c r="Z45" s="13">
        <f>SUM(Z35:Z44)</f>
        <v>3769513.3075480284</v>
      </c>
      <c r="AA45" s="13">
        <f>SUM(AA35:AA44)</f>
        <v>4629180.1645597667</v>
      </c>
      <c r="AB45" s="13">
        <f>SUM(AB35:AB44)</f>
        <v>5893481.3924532682</v>
      </c>
      <c r="AD45" s="13">
        <f>SUM(AD35:AD44)</f>
        <v>2252710.7361990251</v>
      </c>
      <c r="AE45" s="13">
        <f>SUM(AE35:AE44)</f>
        <v>3354231.6402116064</v>
      </c>
      <c r="AF45" s="13">
        <f>SUM(AF35:AF44)</f>
        <v>3979724.6769978628</v>
      </c>
      <c r="AH45" s="13">
        <f>SUM(AH35:AH44)</f>
        <v>9884024.0318761449</v>
      </c>
      <c r="AI45" s="13">
        <f>SUM(AI35:AI44)</f>
        <v>13339136.407286143</v>
      </c>
      <c r="AJ45" s="13">
        <f>SUM(AJ35:AJ44)</f>
        <v>18959343.763819031</v>
      </c>
      <c r="AL45" s="13">
        <f>SUM(AL35:AL44)</f>
        <v>4935895.642629019</v>
      </c>
      <c r="AM45" s="13">
        <f>SUM(AM35:AM44)</f>
        <v>11174694.644775735</v>
      </c>
      <c r="AN45" s="13">
        <f>SUM(AN35:AN44)</f>
        <v>17803001.405855641</v>
      </c>
      <c r="AP45" s="13">
        <f>SUM(AP35:AP44)</f>
        <v>0</v>
      </c>
      <c r="AQ45" s="13">
        <f>SUM(AQ35:AQ44)</f>
        <v>0</v>
      </c>
      <c r="AR45" s="13">
        <f>SUM(AR35:AR44)</f>
        <v>0</v>
      </c>
      <c r="AT45" s="67"/>
    </row>
    <row r="47" spans="2:46" x14ac:dyDescent="0.25">
      <c r="B47" s="1" t="s">
        <v>50</v>
      </c>
      <c r="E47" s="1"/>
      <c r="F47" s="74">
        <f>F32-F45</f>
        <v>5067919.1374724098</v>
      </c>
      <c r="G47" s="74">
        <f t="shared" ref="G47:T47" si="30">G32-G45-G26-G27-G29+G36</f>
        <v>8563435.7006701082</v>
      </c>
      <c r="H47" s="74">
        <f t="shared" si="30"/>
        <v>8157132.4090261757</v>
      </c>
      <c r="J47" s="74">
        <f>J32-J45</f>
        <v>2712024.7505544275</v>
      </c>
      <c r="K47" s="74">
        <f t="shared" si="30"/>
        <v>3792386.386975728</v>
      </c>
      <c r="L47" s="74">
        <f t="shared" si="30"/>
        <v>2913433.8448607028</v>
      </c>
      <c r="N47" s="74">
        <f>N32-N45</f>
        <v>1945177.120077543</v>
      </c>
      <c r="O47" s="74">
        <f t="shared" si="30"/>
        <v>3959302.4346031509</v>
      </c>
      <c r="P47" s="74">
        <f t="shared" si="30"/>
        <v>4280572.2707084604</v>
      </c>
      <c r="R47" s="74">
        <f>R32-R45</f>
        <v>410717.26684044069</v>
      </c>
      <c r="S47" s="74">
        <f t="shared" si="30"/>
        <v>811746.87909122184</v>
      </c>
      <c r="T47" s="74">
        <f t="shared" si="30"/>
        <v>963126.29345700797</v>
      </c>
      <c r="V47" s="74">
        <f>V32-V45</f>
        <v>1476762.008237612</v>
      </c>
      <c r="W47" s="74">
        <f>W32-W45</f>
        <v>1940968.5560595295</v>
      </c>
      <c r="X47" s="74">
        <f>X32-X45</f>
        <v>1682640.5572702135</v>
      </c>
      <c r="Z47" s="74">
        <f>Z32-Z45</f>
        <v>1953085.7099339562</v>
      </c>
      <c r="AA47" s="74">
        <f>AA32-AA45</f>
        <v>2975643.5809310023</v>
      </c>
      <c r="AB47" s="74">
        <f>AB32-AB45</f>
        <v>3426197.7925306056</v>
      </c>
      <c r="AD47" s="74">
        <f>AD32-AD45</f>
        <v>410717.26684044069</v>
      </c>
      <c r="AE47" s="74">
        <f>AE32-AE45</f>
        <v>811746.87909122184</v>
      </c>
      <c r="AF47" s="74">
        <f>AF32-AF45</f>
        <v>963126.29345700797</v>
      </c>
      <c r="AH47" s="74">
        <f>AH32-AH45</f>
        <v>1235262.7423168179</v>
      </c>
      <c r="AI47" s="74">
        <f>AI32-AI45</f>
        <v>1851417.8309161905</v>
      </c>
      <c r="AJ47" s="74">
        <f>AJ32-AJ45</f>
        <v>1230793.2875904851</v>
      </c>
      <c r="AL47" s="74">
        <f>AL32-AL45</f>
        <v>-7908.5898564122617</v>
      </c>
      <c r="AM47" s="74">
        <f>AM32-AM45</f>
        <v>983658.85367215052</v>
      </c>
      <c r="AN47" s="74">
        <f>AN32-AN45</f>
        <v>854374.4781778641</v>
      </c>
      <c r="AP47" s="74">
        <f>AP32-AP45</f>
        <v>0</v>
      </c>
      <c r="AQ47" s="74">
        <f>AQ32-AQ45</f>
        <v>0</v>
      </c>
      <c r="AR47" s="74">
        <f>AR32-AR45</f>
        <v>0</v>
      </c>
    </row>
    <row r="48" spans="2:46" x14ac:dyDescent="0.25">
      <c r="B48" s="112" t="s">
        <v>333</v>
      </c>
      <c r="F48" s="111">
        <f t="shared" ref="F48:P48" si="31">IFERROR(F47/F32,"")</f>
        <v>0.17304868696665138</v>
      </c>
      <c r="G48" s="111">
        <f t="shared" si="31"/>
        <v>0.19082443431058166</v>
      </c>
      <c r="H48" s="111">
        <f t="shared" si="31"/>
        <v>0.13857043835681526</v>
      </c>
      <c r="I48" s="111"/>
      <c r="J48" s="111">
        <f t="shared" si="31"/>
        <v>0.16979790486160504</v>
      </c>
      <c r="K48" s="111">
        <f t="shared" si="31"/>
        <v>0.1810481748421254</v>
      </c>
      <c r="L48" s="111">
        <f t="shared" si="31"/>
        <v>0.1122865506164387</v>
      </c>
      <c r="M48" s="111"/>
      <c r="N48" s="111">
        <f t="shared" si="31"/>
        <v>0.18263568851953754</v>
      </c>
      <c r="O48" s="111">
        <f t="shared" si="31"/>
        <v>0.2003373438254957</v>
      </c>
      <c r="P48" s="111">
        <f t="shared" si="31"/>
        <v>0.15300296118188986</v>
      </c>
      <c r="R48" s="111">
        <f t="shared" ref="R48" si="32">R47/R32</f>
        <v>0.15420625839021593</v>
      </c>
      <c r="S48" s="111">
        <f t="shared" ref="S48" si="33">S47/S32</f>
        <v>0.1948514317416756</v>
      </c>
      <c r="T48" s="111">
        <f t="shared" ref="T48" si="34">T47/T32</f>
        <v>0.19485238361705559</v>
      </c>
      <c r="V48" s="111">
        <f t="shared" ref="V48:AF48" si="35">IFERROR(V47/V32,"")</f>
        <v>0.30431211005068476</v>
      </c>
      <c r="W48" s="111">
        <f t="shared" si="35"/>
        <v>0.3371913867359464</v>
      </c>
      <c r="X48" s="111">
        <f t="shared" si="35"/>
        <v>0.29231380442140847</v>
      </c>
      <c r="Z48" s="111">
        <f t="shared" si="35"/>
        <v>0.34129347591321163</v>
      </c>
      <c r="AA48" s="111">
        <f t="shared" si="35"/>
        <v>0.39128370104506249</v>
      </c>
      <c r="AB48" s="111">
        <f t="shared" si="35"/>
        <v>0.3676304435512105</v>
      </c>
      <c r="AD48" s="111">
        <f t="shared" si="35"/>
        <v>0.15420625839021593</v>
      </c>
      <c r="AE48" s="111">
        <f t="shared" si="35"/>
        <v>0.1948514317416756</v>
      </c>
      <c r="AF48" s="111">
        <f t="shared" si="35"/>
        <v>0.19485238361705559</v>
      </c>
      <c r="AH48" s="111">
        <f>IFERROR(AH47/AH32,"")</f>
        <v>0.11109190431024504</v>
      </c>
      <c r="AI48" s="111">
        <f t="shared" ref="AI48:AR48" si="36">IFERROR(AI47/AI32,"")</f>
        <v>0.12187954447771941</v>
      </c>
      <c r="AJ48" s="111">
        <f t="shared" si="36"/>
        <v>6.0960125454153899E-2</v>
      </c>
      <c r="AL48" s="111">
        <f t="shared" si="36"/>
        <v>-1.6048317034361311E-3</v>
      </c>
      <c r="AM48" s="111">
        <f t="shared" si="36"/>
        <v>8.0903952479891517E-2</v>
      </c>
      <c r="AN48" s="111">
        <f t="shared" si="36"/>
        <v>4.5792853372751928E-2</v>
      </c>
      <c r="AP48" s="111" t="str">
        <f t="shared" si="36"/>
        <v/>
      </c>
      <c r="AQ48" s="111" t="str">
        <f t="shared" si="36"/>
        <v/>
      </c>
      <c r="AR48" s="111" t="str">
        <f t="shared" si="36"/>
        <v/>
      </c>
    </row>
    <row r="49" spans="2:46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  <c r="R49" s="74"/>
      <c r="S49" s="74"/>
      <c r="T49" s="74"/>
      <c r="AT49" s="67"/>
    </row>
    <row r="50" spans="2:46" x14ac:dyDescent="0.25">
      <c r="B50" s="112"/>
      <c r="F50" s="111"/>
      <c r="G50" s="111"/>
      <c r="H50" s="111"/>
      <c r="J50" s="111"/>
      <c r="K50" s="111"/>
      <c r="L50" s="111"/>
      <c r="N50" s="111"/>
      <c r="O50" s="111"/>
      <c r="P50" s="111"/>
      <c r="R50" s="111"/>
      <c r="S50" s="111"/>
      <c r="T50" s="111"/>
    </row>
    <row r="51" spans="2:46" x14ac:dyDescent="0.25">
      <c r="B51" t="s">
        <v>60</v>
      </c>
      <c r="C51" s="12"/>
      <c r="D51" s="12"/>
      <c r="F51" s="67">
        <f t="shared" ref="F51:F52" si="37">J51+N51+R51</f>
        <v>2329713.333333333</v>
      </c>
      <c r="G51" s="67">
        <f t="shared" ref="G51:G52" si="38">K51+O51+S51</f>
        <v>1724886.6666666665</v>
      </c>
      <c r="H51" s="67">
        <f t="shared" ref="H51:H52" si="39">L51+P51+T51</f>
        <v>1573680</v>
      </c>
      <c r="J51" s="67">
        <f t="shared" ref="J51:J52" si="40">V51+AH51</f>
        <v>786840</v>
      </c>
      <c r="K51" s="67">
        <f t="shared" ref="K51:K52" si="41">W51+AI51</f>
        <v>786840</v>
      </c>
      <c r="L51" s="67">
        <f t="shared" ref="L51:L52" si="42">X51+AJ51</f>
        <v>786840</v>
      </c>
      <c r="N51" s="67">
        <f t="shared" ref="N51:N52" si="43">Z51+AL51</f>
        <v>1542873.3333333333</v>
      </c>
      <c r="O51" s="67">
        <f t="shared" ref="O51:O52" si="44">AA51+AM51</f>
        <v>938046.66666666663</v>
      </c>
      <c r="P51" s="67">
        <f t="shared" ref="P51:P52" si="45">AB51+AN51</f>
        <v>786840</v>
      </c>
      <c r="R51" s="67">
        <f t="shared" ref="R51:R52" si="46">AD51+AP51</f>
        <v>0</v>
      </c>
      <c r="S51" s="67">
        <f t="shared" ref="S51:S52" si="47">AE51+AQ51</f>
        <v>0</v>
      </c>
      <c r="T51" s="67">
        <f t="shared" ref="T51:T52" si="48">AF51+AR51</f>
        <v>0</v>
      </c>
      <c r="V51" s="67" cm="1">
        <f t="array" ref="V51">_xlfn.LET(_xlpm.hours,_xlfn._TRO_TRAILING(Sites!$AT:$AV),_xlpm.type,ISNUMBER(SEARCH('JV1'!$R$17,_xlfn._TRO_TRAILING(Sites!$H:$H))),
_xlpm.states,ISNUMBER(SEARCH('JV1'!$R$19,_xlfn._TRO_TRAILING(Sites!$I:$I))),
_xlpm.years,ISNUMBER(SEARCH(V$20,Sites!$R$3:$T$3)),
SUM(_xlfn._xlws.FILTER(_xlfn._xlws.FILTER(_xlpm.hours,_xlpm.states*_xlpm.type,0),_xlpm.years),0))</f>
        <v>0</v>
      </c>
      <c r="W51" s="67" cm="1">
        <f t="array" ref="W51">_xlfn.LET(_xlpm.hours,_xlfn._TRO_TRAILING(Sites!$AT:$AV),_xlpm.type,ISNUMBER(SEARCH('JV1'!$R$17,_xlfn._TRO_TRAILING(Sites!$H:$H))),
_xlpm.states,ISNUMBER(SEARCH('JV1'!$R$19,_xlfn._TRO_TRAILING(Sites!$I:$I))),
_xlpm.years,ISNUMBER(SEARCH(W$20,Sites!$R$3:$T$3)),
SUM(_xlfn._xlws.FILTER(_xlfn._xlws.FILTER(_xlpm.hours,_xlpm.states*_xlpm.type,0),_xlpm.years),0))</f>
        <v>0</v>
      </c>
      <c r="X51" s="67" cm="1">
        <f t="array" ref="X51">_xlfn.LET(_xlpm.hours,_xlfn._TRO_TRAILING(Sites!$AT:$AV),_xlpm.type,ISNUMBER(SEARCH('JV1'!$R$17,_xlfn._TRO_TRAILING(Sites!$H:$H))),
_xlpm.states,ISNUMBER(SEARCH('JV1'!$R$19,_xlfn._TRO_TRAILING(Sites!$I:$I))),
_xlpm.years,ISNUMBER(SEARCH(X$20,Sites!$R$3:$T$3)),
SUM(_xlfn._xlws.FILTER(_xlfn._xlws.FILTER(_xlpm.hours,_xlpm.states*_xlpm.type,0),_xlpm.years),0))</f>
        <v>0</v>
      </c>
      <c r="Z51" s="67" cm="1">
        <f t="array" ref="Z51">_xlfn.LET(_xlpm.hours,_xlfn._TRO_TRAILING(Sites!$AT:$AV),_xlpm.type,ISNUMBER(SEARCH('JV1'!$R$17,_xlfn._TRO_TRAILING(Sites!$H:$H))),
_xlpm.states,ISNUMBER(SEARCH('JV1'!$R$19,_xlfn._TRO_TRAILING(Sites!$I:$I))),
_xlpm.years,ISNUMBER(SEARCH(Z$20,Sites!$R$3:$T$3)),
SUM(_xlfn._xlws.FILTER(_xlfn._xlws.FILTER(_xlpm.hours,_xlpm.states*_xlpm.type,0),_xlpm.years),0))</f>
        <v>0</v>
      </c>
      <c r="AA51" s="67" cm="1">
        <f t="array" ref="AA51">_xlfn.LET(_xlpm.hours,_xlfn._TRO_TRAILING(Sites!$AT:$AV),_xlpm.type,ISNUMBER(SEARCH('JV1'!$R$17,_xlfn._TRO_TRAILING(Sites!$H:$H))),
_xlpm.states,ISNUMBER(SEARCH('JV1'!$R$19,_xlfn._TRO_TRAILING(Sites!$I:$I))),
_xlpm.years,ISNUMBER(SEARCH(AA$20,Sites!$R$3:$T$3)),
SUM(_xlfn._xlws.FILTER(_xlfn._xlws.FILTER(_xlpm.hours,_xlpm.states*_xlpm.type,0),_xlpm.years),0))</f>
        <v>0</v>
      </c>
      <c r="AB51" s="67" cm="1">
        <f t="array" ref="AB51">_xlfn.LET(_xlpm.hours,_xlfn._TRO_TRAILING(Sites!$AT:$AV),_xlpm.type,ISNUMBER(SEARCH('JV1'!$R$17,_xlfn._TRO_TRAILING(Sites!$H:$H))),
_xlpm.states,ISNUMBER(SEARCH('JV1'!$R$19,_xlfn._TRO_TRAILING(Sites!$I:$I))),
_xlpm.years,ISNUMBER(SEARCH(AB$20,Sites!$R$3:$T$3)),
SUM(_xlfn._xlws.FILTER(_xlfn._xlws.FILTER(_xlpm.hours,_xlpm.states*_xlpm.type,0),_xlpm.years),0))</f>
        <v>0</v>
      </c>
      <c r="AD51" s="67" cm="1">
        <f t="array" ref="AD51">_xlfn.LET(_xlpm.hours,_xlfn._TRO_TRAILING(Sites!$AT:$AV),_xlpm.type,ISNUMBER(SEARCH('JV1'!$R$17,_xlfn._TRO_TRAILING(Sites!$H:$H))),
_xlpm.states,ISNUMBER(SEARCH('JV1'!$R$19,_xlfn._TRO_TRAILING(Sites!$I:$I))),
_xlpm.years,ISNUMBER(SEARCH(AD$20,Sites!$R$3:$T$3)),
SUM(_xlfn._xlws.FILTER(_xlfn._xlws.FILTER(_xlpm.hours,_xlpm.states*_xlpm.type,0),_xlpm.years),0))</f>
        <v>0</v>
      </c>
      <c r="AE51" s="67" cm="1">
        <f t="array" ref="AE51">_xlfn.LET(_xlpm.hours,_xlfn._TRO_TRAILING(Sites!$AT:$AV),_xlpm.type,ISNUMBER(SEARCH('JV1'!$R$17,_xlfn._TRO_TRAILING(Sites!$H:$H))),
_xlpm.states,ISNUMBER(SEARCH('JV1'!$R$19,_xlfn._TRO_TRAILING(Sites!$I:$I))),
_xlpm.years,ISNUMBER(SEARCH(AE$20,Sites!$R$3:$T$3)),
SUM(_xlfn._xlws.FILTER(_xlfn._xlws.FILTER(_xlpm.hours,_xlpm.states*_xlpm.type,0),_xlpm.years),0))</f>
        <v>0</v>
      </c>
      <c r="AF51" s="67" cm="1">
        <f t="array" ref="AF51">_xlfn.LET(_xlpm.hours,_xlfn._TRO_TRAILING(Sites!$AT:$AV),_xlpm.type,ISNUMBER(SEARCH('JV1'!$R$17,_xlfn._TRO_TRAILING(Sites!$H:$H))),
_xlpm.states,ISNUMBER(SEARCH('JV1'!$R$19,_xlfn._TRO_TRAILING(Sites!$I:$I))),
_xlpm.years,ISNUMBER(SEARCH(AF$20,Sites!$R$3:$T$3)),
SUM(_xlfn._xlws.FILTER(_xlfn._xlws.FILTER(_xlpm.hours,_xlpm.states*_xlpm.type,0),_xlpm.years),0))</f>
        <v>0</v>
      </c>
      <c r="AH51" s="67" cm="1">
        <f t="array" ref="AH51">_xlfn.LET(_xlpm.hours,_xlfn._TRO_TRAILING(Sites!$AT:$AV),_xlpm.type,ISNUMBER(SEARCH($AH$17,_xlfn._TRO_TRAILING(Sites!$H:$H))),
_xlpm.states,ISNUMBER(SEARCH($AH$19,_xlfn._TRO_TRAILING(Sites!$I:$I))),
_xlpm.years,ISNUMBER(SEARCH(AH$20,Sites!$R$3:$T$3)),
SUM(_xlfn._xlws.FILTER(_xlfn._xlws.FILTER(_xlpm.hours,_xlpm.states*_xlpm.type,0),_xlpm.years),0))</f>
        <v>786840</v>
      </c>
      <c r="AI51" s="67" cm="1">
        <f t="array" ref="AI51">_xlfn.LET(_xlpm.hours,_xlfn._TRO_TRAILING(Sites!$AT:$AV),_xlpm.type,ISNUMBER(SEARCH($AH$17,_xlfn._TRO_TRAILING(Sites!$H:$H))),
_xlpm.states,ISNUMBER(SEARCH($AH$19,_xlfn._TRO_TRAILING(Sites!$I:$I))),
_xlpm.years,ISNUMBER(SEARCH(AI$20,Sites!$R$3:$T$3)),
SUM(_xlfn._xlws.FILTER(_xlfn._xlws.FILTER(_xlpm.hours,_xlpm.states*_xlpm.type,0),_xlpm.years),0))</f>
        <v>786840</v>
      </c>
      <c r="AJ51" s="67" cm="1">
        <f t="array" ref="AJ51">_xlfn.LET(_xlpm.hours,_xlfn._TRO_TRAILING(Sites!$AT:$AV),_xlpm.type,ISNUMBER(SEARCH($AH$17,_xlfn._TRO_TRAILING(Sites!$H:$H))),
_xlpm.states,ISNUMBER(SEARCH($AH$19,_xlfn._TRO_TRAILING(Sites!$I:$I))),
_xlpm.years,ISNUMBER(SEARCH(AJ$20,Sites!$R$3:$T$3)),
SUM(_xlfn._xlws.FILTER(_xlfn._xlws.FILTER(_xlpm.hours,_xlpm.states*_xlpm.type,0),_xlpm.years),0))</f>
        <v>786840</v>
      </c>
      <c r="AL51" s="67" cm="1">
        <f t="array" ref="AL51">_xlfn.LET(_xlpm.hours,_xlfn._TRO_TRAILING(Sites!$AT:$AV),_xlpm.type,ISNUMBER(SEARCH($AH$17,_xlfn._TRO_TRAILING(Sites!$H:$H))),
_xlpm.states,ISNUMBER(SEARCH($AL$19,_xlfn._TRO_TRAILING(Sites!$I:$I))),
_xlpm.years,ISNUMBER(SEARCH(AL$20,Sites!$R$3:$T$3)),
SUM(_xlfn._xlws.FILTER(_xlfn._xlws.FILTER(_xlpm.hours,_xlpm.states*_xlpm.type,0),_xlpm.years),0))</f>
        <v>1542873.3333333333</v>
      </c>
      <c r="AM51" s="67" cm="1">
        <f t="array" ref="AM51">_xlfn.LET(_xlpm.hours,_xlfn._TRO_TRAILING(Sites!$AT:$AV),_xlpm.type,ISNUMBER(SEARCH($AH$17,_xlfn._TRO_TRAILING(Sites!$H:$H))),
_xlpm.states,ISNUMBER(SEARCH($AL$19,_xlfn._TRO_TRAILING(Sites!$I:$I))),
_xlpm.years,ISNUMBER(SEARCH(AM$20,Sites!$R$3:$T$3)),
SUM(_xlfn._xlws.FILTER(_xlfn._xlws.FILTER(_xlpm.hours,_xlpm.states*_xlpm.type,0),_xlpm.years),0))</f>
        <v>938046.66666666663</v>
      </c>
      <c r="AN51" s="67" cm="1">
        <f t="array" ref="AN51">_xlfn.LET(_xlpm.hours,_xlfn._TRO_TRAILING(Sites!$AT:$AV),_xlpm.type,ISNUMBER(SEARCH($AH$17,_xlfn._TRO_TRAILING(Sites!$H:$H))),
_xlpm.states,ISNUMBER(SEARCH($AL$19,_xlfn._TRO_TRAILING(Sites!$I:$I))),
_xlpm.years,ISNUMBER(SEARCH(AN$20,Sites!$R$3:$T$3)),
SUM(_xlfn._xlws.FILTER(_xlfn._xlws.FILTER(_xlpm.hours,_xlpm.states*_xlpm.type,0),_xlpm.years),0))</f>
        <v>786840</v>
      </c>
      <c r="AP51" s="67" cm="1">
        <f t="array" ref="AP51">_xlfn.LET(_xlpm.hours,_xlfn._TRO_TRAILING(Sites!$AT:$AV),_xlpm.type,ISNUMBER(SEARCH($AH$17,_xlfn._TRO_TRAILING(Sites!$H:$H))),
_xlpm.states,ISNUMBER(SEARCH($AP$19,_xlfn._TRO_TRAILING(Sites!$I:$I))),
_xlpm.years,ISNUMBER(SEARCH(AP$20,Sites!$R$3:$T$3)),
IFERROR(SUM(_xlfn._xlws.FILTER(_xlfn._xlws.FILTER(_xlpm.hours,_xlpm.states*_xlpm.type,0),_xlpm.years),0),0))</f>
        <v>0</v>
      </c>
      <c r="AQ51" s="67" cm="1">
        <f t="array" ref="AQ51">_xlfn.LET(_xlpm.hours,_xlfn._TRO_TRAILING(Sites!$AT:$AV),_xlpm.type,ISNUMBER(SEARCH($AH$17,_xlfn._TRO_TRAILING(Sites!$H:$H))),
_xlpm.states,ISNUMBER(SEARCH($AP$19,_xlfn._TRO_TRAILING(Sites!$I:$I))),
_xlpm.years,ISNUMBER(SEARCH(AQ$20,Sites!$R$3:$T$3)),
IFERROR(SUM(_xlfn._xlws.FILTER(_xlfn._xlws.FILTER(_xlpm.hours,_xlpm.states*_xlpm.type,0),_xlpm.years),0),0))</f>
        <v>0</v>
      </c>
      <c r="AR51" s="67" cm="1">
        <f t="array" ref="AR51">_xlfn.LET(_xlpm.hours,_xlfn._TRO_TRAILING(Sites!$AT:$AV),_xlpm.type,ISNUMBER(SEARCH($AH$17,_xlfn._TRO_TRAILING(Sites!$H:$H))),
_xlpm.states,ISNUMBER(SEARCH($AP$19,_xlfn._TRO_TRAILING(Sites!$I:$I))),
_xlpm.years,ISNUMBER(SEARCH(AR$20,Sites!$R$3:$T$3)),
IFERROR(SUM(_xlfn._xlws.FILTER(_xlfn._xlws.FILTER(_xlpm.hours,_xlpm.states*_xlpm.type,0),_xlpm.years),0),0))</f>
        <v>0</v>
      </c>
    </row>
    <row r="52" spans="2:46" x14ac:dyDescent="0.25">
      <c r="B52" t="s">
        <v>345</v>
      </c>
      <c r="C52" s="12"/>
      <c r="D52" s="12"/>
      <c r="F52" s="67">
        <f t="shared" si="37"/>
        <v>-7858184.0603441242</v>
      </c>
      <c r="G52" s="67">
        <f t="shared" si="38"/>
        <v>-11566025.488147518</v>
      </c>
      <c r="H52" s="67">
        <f t="shared" si="39"/>
        <v>-15802240.940102585</v>
      </c>
      <c r="J52" s="67">
        <f t="shared" si="40"/>
        <v>-4427480.1075166557</v>
      </c>
      <c r="K52" s="67">
        <f t="shared" si="41"/>
        <v>-5694454.7668794459</v>
      </c>
      <c r="L52" s="67">
        <f t="shared" si="42"/>
        <v>-7266409.9250789853</v>
      </c>
      <c r="N52" s="67">
        <f t="shared" si="43"/>
        <v>-2747640.7357647805</v>
      </c>
      <c r="O52" s="67">
        <f t="shared" si="44"/>
        <v>-4809357.9214010229</v>
      </c>
      <c r="P52" s="67">
        <f t="shared" si="45"/>
        <v>-7106871.250185811</v>
      </c>
      <c r="R52" s="67">
        <f t="shared" si="46"/>
        <v>-683063.21706268773</v>
      </c>
      <c r="S52" s="67">
        <f t="shared" si="47"/>
        <v>-1062212.7998670496</v>
      </c>
      <c r="T52" s="67">
        <f t="shared" si="48"/>
        <v>-1428959.7648377884</v>
      </c>
      <c r="V52" s="67" cm="1">
        <f t="array" ref="V52">_xlfn.LET(_xlpm.hours,_xlfn._TRO_TRAILING(Sites!$EL:$EN),_xlpm.type,ISNUMBER(SEARCH('JV1'!$R$17,_xlfn._TRO_TRAILING(Sites!$H:$H))),
_xlpm.states,ISNUMBER(SEARCH($V$19,_xlfn._TRO_TRAILING(Sites!$I:$I))),
_xlpm.years,ISNUMBER(SEARCH(V$20,Sites!$R$3:$T$3)),
SUM(_xlfn._xlws.FILTER(_xlfn._xlws.FILTER(_xlpm.hours,_xlpm.states,0),_xlpm.years),0))</f>
        <v>-2213740.0537583278</v>
      </c>
      <c r="W52" s="67" cm="1">
        <f t="array" ref="W52">_xlfn.LET(_xlpm.hours,_xlfn._TRO_TRAILING(Sites!$EL:$EN),_xlpm.type,ISNUMBER(SEARCH('JV1'!$R$17,_xlfn._TRO_TRAILING(Sites!$H:$H))),
_xlpm.states,ISNUMBER(SEARCH($V$19,_xlfn._TRO_TRAILING(Sites!$I:$I))),
_xlpm.years,ISNUMBER(SEARCH(W$20,Sites!$R$3:$T$3)),
SUM(_xlfn._xlws.FILTER(_xlfn._xlws.FILTER(_xlpm.hours,_xlpm.states,0),_xlpm.years),0))</f>
        <v>-2847227.3834397229</v>
      </c>
      <c r="X52" s="67" cm="1">
        <f t="array" ref="X52">_xlfn.LET(_xlpm.hours,_xlfn._TRO_TRAILING(Sites!$EL:$EN),_xlpm.type,ISNUMBER(SEARCH('JV1'!$R$17,_xlfn._TRO_TRAILING(Sites!$H:$H))),
_xlpm.states,ISNUMBER(SEARCH($V$19,_xlfn._TRO_TRAILING(Sites!$I:$I))),
_xlpm.years,ISNUMBER(SEARCH(X$20,Sites!$R$3:$T$3)),
SUM(_xlfn._xlws.FILTER(_xlfn._xlws.FILTER(_xlpm.hours,_xlpm.states,0),_xlpm.years),0))</f>
        <v>-3633204.9625394926</v>
      </c>
      <c r="Z52" s="67" cm="1">
        <f t="array" ref="Z52">_xlfn.LET(_xlpm.hours,_xlfn._TRO_TRAILING(Sites!$EL:$EN),_xlpm.type,ISNUMBER(SEARCH('JV1'!$R$17,_xlfn._TRO_TRAILING(Sites!$H:$H))),
_xlpm.states,ISNUMBER(SEARCH($Z$19,_xlfn._TRO_TRAILING(Sites!$I:$I))),
_xlpm.years,ISNUMBER(SEARCH(Z$20,Sites!$R$3:$T$3)),
SUM(_xlfn._xlws.FILTER(_xlfn._xlws.FILTER(_xlpm.hours,_xlpm.states,0),_xlpm.years),0))</f>
        <v>-1373820.3678823903</v>
      </c>
      <c r="AA52" s="67" cm="1">
        <f t="array" ref="AA52">_xlfn.LET(_xlpm.hours,_xlfn._TRO_TRAILING(Sites!$EL:$EN),_xlpm.type,ISNUMBER(SEARCH('JV1'!$R$17,_xlfn._TRO_TRAILING(Sites!$H:$H))),
_xlpm.states,ISNUMBER(SEARCH($Z$19,_xlfn._TRO_TRAILING(Sites!$I:$I))),
_xlpm.years,ISNUMBER(SEARCH(AA$20,Sites!$R$3:$T$3)),
SUM(_xlfn._xlws.FILTER(_xlfn._xlws.FILTER(_xlpm.hours,_xlpm.states,0),_xlpm.years),0))</f>
        <v>-2404678.9607005115</v>
      </c>
      <c r="AB52" s="67" cm="1">
        <f t="array" ref="AB52">_xlfn.LET(_xlpm.hours,_xlfn._TRO_TRAILING(Sites!$EL:$EN),_xlpm.type,ISNUMBER(SEARCH('JV1'!$R$17,_xlfn._TRO_TRAILING(Sites!$H:$H))),
_xlpm.states,ISNUMBER(SEARCH($Z$19,_xlfn._TRO_TRAILING(Sites!$I:$I))),
_xlpm.years,ISNUMBER(SEARCH(AB$20,Sites!$R$3:$T$3)),
SUM(_xlfn._xlws.FILTER(_xlfn._xlws.FILTER(_xlpm.hours,_xlpm.states,0),_xlpm.years),0))</f>
        <v>-3553435.6250929055</v>
      </c>
      <c r="AD52" s="67" cm="1">
        <f t="array" ref="AD52">_xlfn.LET(_xlpm.hours,_xlfn._TRO_TRAILING(Sites!$EL:$EN),_xlpm.type,ISNUMBER(SEARCH('JV1'!$R$17,_xlfn._TRO_TRAILING(Sites!$H:$H))),
_xlpm.states,ISNUMBER(SEARCH($AD$19,_xlfn._TRO_TRAILING(Sites!$I:$I))),
_xlpm.years,ISNUMBER(SEARCH(AD$20,Sites!$R$3:$T$3)),
SUM(_xlfn._xlws.FILTER(_xlfn._xlws.FILTER(_xlpm.hours,_xlpm.states,0),_xlpm.years),0))</f>
        <v>-341531.60853134387</v>
      </c>
      <c r="AE52" s="67" cm="1">
        <f t="array" ref="AE52">_xlfn.LET(_xlpm.hours,_xlfn._TRO_TRAILING(Sites!$EL:$EN),_xlpm.type,ISNUMBER(SEARCH('JV1'!$R$17,_xlfn._TRO_TRAILING(Sites!$H:$H))),
_xlpm.states,ISNUMBER(SEARCH($AD$19,_xlfn._TRO_TRAILING(Sites!$I:$I))),
_xlpm.years,ISNUMBER(SEARCH(AE$20,Sites!$R$3:$T$3)),
SUM(_xlfn._xlws.FILTER(_xlfn._xlws.FILTER(_xlpm.hours,_xlpm.states,0),_xlpm.years),0))</f>
        <v>-531106.39993352478</v>
      </c>
      <c r="AF52" s="67" cm="1">
        <f t="array" ref="AF52">_xlfn.LET(_xlpm.hours,_xlfn._TRO_TRAILING(Sites!$EL:$EN),_xlpm.type,ISNUMBER(SEARCH('JV1'!$R$17,_xlfn._TRO_TRAILING(Sites!$H:$H))),
_xlpm.states,ISNUMBER(SEARCH($AD$19,_xlfn._TRO_TRAILING(Sites!$I:$I))),
_xlpm.years,ISNUMBER(SEARCH(AF$20,Sites!$R$3:$T$3)),
SUM(_xlfn._xlws.FILTER(_xlfn._xlws.FILTER(_xlpm.hours,_xlpm.states,0),_xlpm.years),0))</f>
        <v>-714479.88241889421</v>
      </c>
      <c r="AH52" s="67" cm="1">
        <f t="array" ref="AH52">_xlfn.LET(_xlpm.hours,_xlfn._TRO_TRAILING(Sites!$EL:$EN),_xlpm.type,ISNUMBER(SEARCH('JV1'!$R$17,_xlfn._TRO_TRAILING(Sites!$H:$H))),
_xlpm.states,ISNUMBER(SEARCH($V$19,_xlfn._TRO_TRAILING(Sites!$I:$I))),
_xlpm.years,ISNUMBER(SEARCH(AH$20,Sites!$R$3:$T$3)),
SUM(_xlfn._xlws.FILTER(_xlfn._xlws.FILTER(_xlpm.hours,_xlpm.states,0),_xlpm.years),0))</f>
        <v>-2213740.0537583278</v>
      </c>
      <c r="AI52" s="67" cm="1">
        <f t="array" ref="AI52">_xlfn.LET(_xlpm.hours,_xlfn._TRO_TRAILING(Sites!$EL:$EN),_xlpm.type,ISNUMBER(SEARCH('JV1'!$R$17,_xlfn._TRO_TRAILING(Sites!$H:$H))),
_xlpm.states,ISNUMBER(SEARCH($V$19,_xlfn._TRO_TRAILING(Sites!$I:$I))),
_xlpm.years,ISNUMBER(SEARCH(AI$20,Sites!$R$3:$T$3)),
SUM(_xlfn._xlws.FILTER(_xlfn._xlws.FILTER(_xlpm.hours,_xlpm.states,0),_xlpm.years),0))</f>
        <v>-2847227.3834397229</v>
      </c>
      <c r="AJ52" s="67" cm="1">
        <f t="array" ref="AJ52">_xlfn.LET(_xlpm.hours,_xlfn._TRO_TRAILING(Sites!$EL:$EN),_xlpm.type,ISNUMBER(SEARCH('JV1'!$R$17,_xlfn._TRO_TRAILING(Sites!$H:$H))),
_xlpm.states,ISNUMBER(SEARCH($V$19,_xlfn._TRO_TRAILING(Sites!$I:$I))),
_xlpm.years,ISNUMBER(SEARCH(AJ$20,Sites!$R$3:$T$3)),
SUM(_xlfn._xlws.FILTER(_xlfn._xlws.FILTER(_xlpm.hours,_xlpm.states,0),_xlpm.years),0))</f>
        <v>-3633204.9625394926</v>
      </c>
      <c r="AL52" s="67" cm="1">
        <f t="array" ref="AL52">_xlfn.LET(_xlpm.hours,_xlfn._TRO_TRAILING(Sites!$EL:$EN),_xlpm.type,ISNUMBER(SEARCH('JV1'!$R$17,_xlfn._TRO_TRAILING(Sites!$H:$H))),
_xlpm.states,ISNUMBER(SEARCH($Z$19,_xlfn._TRO_TRAILING(Sites!$I:$I))),
_xlpm.years,ISNUMBER(SEARCH(AL$20,Sites!$R$3:$T$3)),
SUM(_xlfn._xlws.FILTER(_xlfn._xlws.FILTER(_xlpm.hours,_xlpm.states,0),_xlpm.years),0))</f>
        <v>-1373820.3678823903</v>
      </c>
      <c r="AM52" s="67" cm="1">
        <f t="array" ref="AM52">_xlfn.LET(_xlpm.hours,_xlfn._TRO_TRAILING(Sites!$EL:$EN),_xlpm.type,ISNUMBER(SEARCH('JV1'!$R$17,_xlfn._TRO_TRAILING(Sites!$H:$H))),
_xlpm.states,ISNUMBER(SEARCH($Z$19,_xlfn._TRO_TRAILING(Sites!$I:$I))),
_xlpm.years,ISNUMBER(SEARCH(AM$20,Sites!$R$3:$T$3)),
SUM(_xlfn._xlws.FILTER(_xlfn._xlws.FILTER(_xlpm.hours,_xlpm.states,0),_xlpm.years),0))</f>
        <v>-2404678.9607005115</v>
      </c>
      <c r="AN52" s="67" cm="1">
        <f t="array" ref="AN52">_xlfn.LET(_xlpm.hours,_xlfn._TRO_TRAILING(Sites!$EL:$EN),_xlpm.type,ISNUMBER(SEARCH('JV1'!$R$17,_xlfn._TRO_TRAILING(Sites!$H:$H))),
_xlpm.states,ISNUMBER(SEARCH($Z$19,_xlfn._TRO_TRAILING(Sites!$I:$I))),
_xlpm.years,ISNUMBER(SEARCH(AN$20,Sites!$R$3:$T$3)),
SUM(_xlfn._xlws.FILTER(_xlfn._xlws.FILTER(_xlpm.hours,_xlpm.states,0),_xlpm.years),0))</f>
        <v>-3553435.6250929055</v>
      </c>
      <c r="AP52" s="67" cm="1">
        <f t="array" ref="AP52">_xlfn.LET(_xlpm.hours,_xlfn._TRO_TRAILING(Sites!$EL:$EN),_xlpm.type,ISNUMBER(SEARCH('JV1'!$R$17,_xlfn._TRO_TRAILING(Sites!$H:$H))),
_xlpm.states,ISNUMBER(SEARCH($AD$19,_xlfn._TRO_TRAILING(Sites!$I:$I))),
_xlpm.years,ISNUMBER(SEARCH(AP$20,Sites!$R$3:$T$3)),
SUM(_xlfn._xlws.FILTER(_xlfn._xlws.FILTER(_xlpm.hours,_xlpm.states,0),_xlpm.years),0))</f>
        <v>-341531.60853134387</v>
      </c>
      <c r="AQ52" s="67" cm="1">
        <f t="array" ref="AQ52">_xlfn.LET(_xlpm.hours,_xlfn._TRO_TRAILING(Sites!$EL:$EN),_xlpm.type,ISNUMBER(SEARCH('JV1'!$R$17,_xlfn._TRO_TRAILING(Sites!$H:$H))),
_xlpm.states,ISNUMBER(SEARCH($AD$19,_xlfn._TRO_TRAILING(Sites!$I:$I))),
_xlpm.years,ISNUMBER(SEARCH(AQ$20,Sites!$R$3:$T$3)),
SUM(_xlfn._xlws.FILTER(_xlfn._xlws.FILTER(_xlpm.hours,_xlpm.states,0),_xlpm.years),0))</f>
        <v>-531106.39993352478</v>
      </c>
      <c r="AR52" s="67" cm="1">
        <f t="array" ref="AR52">_xlfn.LET(_xlpm.hours,_xlfn._TRO_TRAILING(Sites!$EL:$EN),_xlpm.type,ISNUMBER(SEARCH('JV1'!$R$17,_xlfn._TRO_TRAILING(Sites!$H:$H))),
_xlpm.states,ISNUMBER(SEARCH($AD$19,_xlfn._TRO_TRAILING(Sites!$I:$I))),
_xlpm.years,ISNUMBER(SEARCH(AR$20,Sites!$R$3:$T$3)),
SUM(_xlfn._xlws.FILTER(_xlfn._xlws.FILTER(_xlpm.hours,_xlpm.states,0),_xlpm.years),0))</f>
        <v>-714479.88241889421</v>
      </c>
    </row>
    <row r="53" spans="2:46" x14ac:dyDescent="0.25">
      <c r="J53" s="67"/>
      <c r="K53" s="67"/>
      <c r="L53" s="67"/>
      <c r="N53" s="67"/>
      <c r="O53" s="67"/>
      <c r="P53" s="67"/>
      <c r="R53" s="67"/>
      <c r="S53" s="67"/>
      <c r="T53" s="67"/>
    </row>
    <row r="54" spans="2:46" x14ac:dyDescent="0.25">
      <c r="B54" s="1" t="s">
        <v>336</v>
      </c>
      <c r="F54" s="13">
        <f>F32-F45-F51+F52</f>
        <v>-5119978.2562050475</v>
      </c>
      <c r="G54" s="13">
        <f>G32-G45-G51+G52</f>
        <v>-4727476.4541440755</v>
      </c>
      <c r="H54" s="13">
        <f>H32-H45-H51+H52</f>
        <v>-9218788.5310764089</v>
      </c>
      <c r="J54" s="13">
        <f>J32-J45-J51+J52</f>
        <v>-2502295.3569622282</v>
      </c>
      <c r="K54" s="13">
        <f>K32-K45-K51</f>
        <v>3005546.386975728</v>
      </c>
      <c r="L54" s="13">
        <f>L32-L45-L51</f>
        <v>2126593.8448607028</v>
      </c>
      <c r="N54" s="13">
        <f>N32-N45-N51+N52</f>
        <v>-2345336.9490205711</v>
      </c>
      <c r="O54" s="13">
        <f>O32-O45-O51</f>
        <v>3021255.7679364844</v>
      </c>
      <c r="P54" s="13">
        <f>P32-P45-P51</f>
        <v>3493732.2707084604</v>
      </c>
      <c r="R54" s="13">
        <f>R32-R45-R51+R52</f>
        <v>-272345.95022224705</v>
      </c>
      <c r="S54" s="13">
        <f>S32-S45-S51</f>
        <v>811746.87909122184</v>
      </c>
      <c r="T54" s="13">
        <f>T32-T45-T51</f>
        <v>963126.29345700797</v>
      </c>
      <c r="V54" s="13">
        <f>V32-V45-V51+V52</f>
        <v>-736978.04552071588</v>
      </c>
      <c r="W54" s="13">
        <f>W32-W45-W51+W52</f>
        <v>-906258.8273801934</v>
      </c>
      <c r="X54" s="13">
        <f>X32-X45-X51+X52</f>
        <v>-1950564.4052692791</v>
      </c>
      <c r="Z54" s="13">
        <f>Z32-Z45-Z51+Z52</f>
        <v>579265.34205156588</v>
      </c>
      <c r="AA54" s="13">
        <f>AA32-AA45-AA51+AA52</f>
        <v>570964.62023049081</v>
      </c>
      <c r="AB54" s="13">
        <f>AB32-AB45-AB51+AB52</f>
        <v>-127237.83256229991</v>
      </c>
      <c r="AD54" s="13">
        <f>AD32-AD45-AD51+AD52</f>
        <v>69185.65830909682</v>
      </c>
      <c r="AE54" s="13">
        <f>AE32-AE45-AE51+AE52</f>
        <v>280640.47915769706</v>
      </c>
      <c r="AF54" s="13">
        <f>AF32-AF45-AF51+AF52</f>
        <v>248646.41103811376</v>
      </c>
      <c r="AH54" s="13">
        <f>AH32-AH45-AH51+AH52</f>
        <v>-1765317.31144151</v>
      </c>
      <c r="AI54" s="13">
        <f>AI32-AI45-AI51+AI52</f>
        <v>-1782649.5525235324</v>
      </c>
      <c r="AJ54" s="13">
        <f>AJ32-AJ45-AJ51+AJ52</f>
        <v>-3189251.6749490076</v>
      </c>
      <c r="AL54" s="13">
        <f>AL32-AL45-AL51+AL52</f>
        <v>-2924602.2910721358</v>
      </c>
      <c r="AM54" s="13">
        <f>AM32-AM45-AM51+AM52</f>
        <v>-2359066.7736950275</v>
      </c>
      <c r="AN54" s="13">
        <f>AN32-AN45-AN51+AN52</f>
        <v>-3485901.1469150414</v>
      </c>
      <c r="AP54" s="13">
        <f>AP32-AP45-AP51+AP52</f>
        <v>-341531.60853134387</v>
      </c>
      <c r="AQ54" s="13">
        <f>AQ32-AQ45-AQ51+AQ52</f>
        <v>-531106.39993352478</v>
      </c>
      <c r="AR54" s="13">
        <f>AR32-AR45-AR51+AR52</f>
        <v>-714479.88241889421</v>
      </c>
    </row>
    <row r="55" spans="2:46" x14ac:dyDescent="0.25">
      <c r="B55" t="s">
        <v>337</v>
      </c>
      <c r="E55" s="67"/>
      <c r="F55" s="149">
        <f>SUM($F54:F$54)</f>
        <v>-5119978.2562050475</v>
      </c>
      <c r="G55" s="149">
        <f>SUM($F54:G$54)</f>
        <v>-9847454.7103491239</v>
      </c>
      <c r="H55" s="149">
        <f>SUM($F54:H$54)</f>
        <v>-19066243.241425533</v>
      </c>
      <c r="J55" s="149">
        <f>SUM($J54:J$54)</f>
        <v>-2502295.3569622282</v>
      </c>
      <c r="K55" s="149">
        <f>SUM($J54:K$54)</f>
        <v>503251.03001349978</v>
      </c>
      <c r="L55" s="149">
        <f>SUM($J54:L$54)</f>
        <v>2629844.8748742025</v>
      </c>
      <c r="N55" s="149">
        <f>SUM($N54:N$54)</f>
        <v>-2345336.9490205711</v>
      </c>
      <c r="O55" s="149">
        <f>SUM($N54:O$54)</f>
        <v>675918.81891591335</v>
      </c>
      <c r="P55" s="149">
        <f>SUM($N54:P$54)</f>
        <v>4169651.0896243737</v>
      </c>
      <c r="R55" s="149">
        <f>SUM($R54:R$54)</f>
        <v>-272345.95022224705</v>
      </c>
      <c r="S55" s="149">
        <f>SUM($R54:S$54)</f>
        <v>539400.92886897479</v>
      </c>
      <c r="T55" s="149">
        <f>SUM($R54:T$54)</f>
        <v>1502527.2223259828</v>
      </c>
      <c r="V55" s="149">
        <f>SUM($V54:V$54)</f>
        <v>-736978.04552071588</v>
      </c>
      <c r="W55" s="149">
        <f>SUM($V54:W$54)</f>
        <v>-1643236.8729009093</v>
      </c>
      <c r="X55" s="149">
        <f>SUM($V54:X$54)</f>
        <v>-3593801.2781701884</v>
      </c>
      <c r="Z55" s="149">
        <f>SUM($Z54:Z$54)</f>
        <v>579265.34205156588</v>
      </c>
      <c r="AA55" s="149">
        <f>SUM($Z54:AA$54)</f>
        <v>1150229.9622820567</v>
      </c>
      <c r="AB55" s="149">
        <f>SUM($Z54:AB$54)</f>
        <v>1022992.1297197568</v>
      </c>
      <c r="AD55" s="149">
        <f>SUM($AD54:AD$54)</f>
        <v>69185.65830909682</v>
      </c>
      <c r="AE55" s="149">
        <f>SUM($AD54:AE$54)</f>
        <v>349826.13746679388</v>
      </c>
      <c r="AF55" s="149">
        <f>SUM($AD54:AF$54)</f>
        <v>598472.54850490764</v>
      </c>
      <c r="AH55" s="149">
        <f>SUM($AH54:AH$54)</f>
        <v>-1765317.31144151</v>
      </c>
      <c r="AI55" s="149">
        <f>SUM($AH54:AI$54)</f>
        <v>-3547966.8639650424</v>
      </c>
      <c r="AJ55" s="149">
        <f>SUM($AH54:AJ$54)</f>
        <v>-6737218.53891405</v>
      </c>
      <c r="AL55" s="149">
        <f>SUM($AL54:AL$54)</f>
        <v>-2924602.2910721358</v>
      </c>
      <c r="AM55" s="149">
        <f>SUM($AL54:AM$54)</f>
        <v>-5283669.0647671632</v>
      </c>
      <c r="AN55" s="149">
        <f>SUM($AL54:AN$54)</f>
        <v>-8769570.2116822042</v>
      </c>
      <c r="AP55" s="149">
        <f>SUM($AP$54:AP$54)</f>
        <v>-341531.60853134387</v>
      </c>
      <c r="AQ55" s="149">
        <f>SUM($AP$54:AQ$54)</f>
        <v>-872638.00846486865</v>
      </c>
      <c r="AR55" s="149">
        <f>SUM($AP$54:AR$54)</f>
        <v>-1587117.8908837629</v>
      </c>
    </row>
    <row r="56" spans="2:46" x14ac:dyDescent="0.25">
      <c r="E56" s="111"/>
      <c r="F56" s="12"/>
      <c r="G56" s="12"/>
      <c r="H56" s="12"/>
      <c r="J56" s="12"/>
      <c r="K56" s="111"/>
      <c r="L56" s="111"/>
      <c r="M56" s="12"/>
      <c r="N56" s="12"/>
      <c r="O56" s="111"/>
      <c r="P56" s="111"/>
      <c r="Q56" s="12"/>
      <c r="R56" s="12"/>
      <c r="S56" s="111"/>
      <c r="T56" s="111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</row>
    <row r="59" spans="2:46" x14ac:dyDescent="0.25">
      <c r="J59" s="67"/>
      <c r="K59" s="67"/>
      <c r="L59" s="67"/>
      <c r="N59" s="67"/>
      <c r="O59" s="67"/>
      <c r="P59" s="67"/>
      <c r="R59" s="67"/>
      <c r="S59" s="67"/>
      <c r="T59" s="67"/>
    </row>
    <row r="60" spans="2:46" x14ac:dyDescent="0.25">
      <c r="J60" s="67"/>
      <c r="K60" s="67"/>
      <c r="L60" s="67"/>
      <c r="N60" s="67"/>
      <c r="O60" s="67"/>
      <c r="P60" s="67"/>
      <c r="R60" s="67"/>
      <c r="S60" s="67"/>
      <c r="T60" s="67"/>
    </row>
    <row r="65" spans="6:6" x14ac:dyDescent="0.25">
      <c r="F65" s="121"/>
    </row>
  </sheetData>
  <printOptions horizontalCentered="1" verticalCentered="1"/>
  <pageMargins left="0" right="0" top="0" bottom="0" header="0" footer="0"/>
  <pageSetup paperSize="3" scale="9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868D1-4276-4385-BDE9-D0D54B30CDD1}">
  <sheetPr>
    <tabColor theme="9" tint="0.79998168889431442"/>
    <pageSetUpPr fitToPage="1"/>
  </sheetPr>
  <dimension ref="A1:AR73"/>
  <sheetViews>
    <sheetView workbookViewId="0">
      <pane xSplit="4" ySplit="25" topLeftCell="E59" activePane="bottomRight" state="frozen"/>
      <selection pane="topRight" activeCell="E1" sqref="E1"/>
      <selection pane="bottomLeft" activeCell="A26" sqref="A26"/>
      <selection pane="bottomRight" activeCell="E73" sqref="E73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1.5703125" bestFit="1" customWidth="1"/>
    <col min="5" max="16" width="14.28515625" customWidth="1"/>
    <col min="17" max="40" width="14.28515625" customWidth="1" outlineLevel="1"/>
    <col min="42" max="42" width="14.28515625" customWidth="1"/>
    <col min="43" max="44" width="14.28515625" customWidth="1" outlineLevel="1"/>
  </cols>
  <sheetData>
    <row r="1" spans="1:44" x14ac:dyDescent="0.25">
      <c r="A1" s="82"/>
      <c r="B1" s="3"/>
      <c r="C1" s="3"/>
      <c r="D1" s="55" t="s">
        <v>56</v>
      </c>
      <c r="E1" s="176">
        <f>SUM(Monthly!E1,MS:META!E1)</f>
        <v>460</v>
      </c>
      <c r="F1" s="176">
        <f>SUM(Monthly!F1,MS:META!F1)</f>
        <v>551</v>
      </c>
      <c r="G1" s="176">
        <f>SUM(Monthly!G1,MS:META!G1)</f>
        <v>649</v>
      </c>
      <c r="H1" s="176">
        <f>SUM(Monthly!H1,MS:META!H1)</f>
        <v>749</v>
      </c>
      <c r="I1" s="176">
        <f>SUM(Monthly!I1,MS:META!I1)</f>
        <v>843</v>
      </c>
      <c r="J1" s="176">
        <f>SUM(Monthly!J1,MS:META!J1)</f>
        <v>944</v>
      </c>
      <c r="K1" s="176">
        <f>SUM(Monthly!K1,MS:META!K1)</f>
        <v>987</v>
      </c>
      <c r="L1" s="176">
        <f>SUM(Monthly!L1,MS:META!L1)</f>
        <v>1022</v>
      </c>
      <c r="M1" s="176">
        <f>SUM(Monthly!M1,MS:META!M1)</f>
        <v>1062</v>
      </c>
      <c r="N1" s="176">
        <f>SUM(Monthly!N1,MS:META!N1)</f>
        <v>1127</v>
      </c>
      <c r="O1" s="176">
        <f>SUM(Monthly!O1,MS:META!O1)</f>
        <v>1199</v>
      </c>
      <c r="P1" s="176">
        <f>SUM(Monthly!P1,MS:META!P1)</f>
        <v>1273</v>
      </c>
      <c r="Q1" s="53">
        <f>SUM(Monthly!Q1,MS:META!Q1)</f>
        <v>1367</v>
      </c>
      <c r="R1" s="53">
        <f>SUM(Monthly!R1,MS:META!R1)</f>
        <v>1456</v>
      </c>
      <c r="S1" s="53">
        <f>SUM(Monthly!S1,MS:META!S1)</f>
        <v>1548</v>
      </c>
      <c r="T1" s="53">
        <f>SUM(Monthly!T1,MS:META!T1)</f>
        <v>1623</v>
      </c>
      <c r="U1" s="53">
        <f>SUM(Monthly!U1,MS:META!U1)</f>
        <v>1691</v>
      </c>
      <c r="V1" s="53">
        <f>SUM(Monthly!V1,MS:META!V1)</f>
        <v>1757</v>
      </c>
      <c r="W1" s="53">
        <f>SUM(Monthly!W1,MS:META!W1)</f>
        <v>1811</v>
      </c>
      <c r="X1" s="53">
        <f>SUM(Monthly!X1,MS:META!X1)</f>
        <v>1867</v>
      </c>
      <c r="Y1" s="53">
        <f>SUM(Monthly!Y1,MS:META!Y1)</f>
        <v>1915</v>
      </c>
      <c r="Z1" s="53">
        <f>SUM(Monthly!Z1,MS:META!Z1)</f>
        <v>1969</v>
      </c>
      <c r="AA1" s="53">
        <f>SUM(Monthly!AA1,MS:META!AA1)</f>
        <v>2022</v>
      </c>
      <c r="AB1" s="53">
        <f>SUM(Monthly!AB1,MS:META!AB1)</f>
        <v>2072</v>
      </c>
      <c r="AC1" s="53">
        <f>SUM(Monthly!AC1,MS:META!AC1)</f>
        <v>2140</v>
      </c>
      <c r="AD1" s="53">
        <f>SUM(Monthly!AD1,MS:META!AD1)</f>
        <v>2205</v>
      </c>
      <c r="AE1" s="53">
        <f>SUM(Monthly!AE1,MS:META!AE1)</f>
        <v>2269</v>
      </c>
      <c r="AF1" s="53">
        <f>SUM(Monthly!AF1,MS:META!AF1)</f>
        <v>2330</v>
      </c>
      <c r="AG1" s="53">
        <f>SUM(Monthly!AG1,MS:META!AG1)</f>
        <v>2389</v>
      </c>
      <c r="AH1" s="53">
        <f>SUM(Monthly!AH1,MS:META!AH1)</f>
        <v>2456</v>
      </c>
      <c r="AI1" s="53">
        <f>SUM(Monthly!AI1,MS:META!AI1)</f>
        <v>2509</v>
      </c>
      <c r="AJ1" s="53">
        <f>SUM(Monthly!AJ1,MS:META!AJ1)</f>
        <v>2564</v>
      </c>
      <c r="AK1" s="53">
        <f>SUM(Monthly!AK1,MS:META!AK1)</f>
        <v>2616</v>
      </c>
      <c r="AL1" s="53">
        <f>SUM(Monthly!AL1,MS:META!AL1)</f>
        <v>2667</v>
      </c>
      <c r="AM1" s="53">
        <f>SUM(Monthly!AM1,MS:META!AM1)</f>
        <v>2717</v>
      </c>
      <c r="AN1" s="53">
        <f>SUM(Monthly!AN1,MS:META!AN1)</f>
        <v>2762</v>
      </c>
      <c r="AP1" s="53" cm="1">
        <f t="array" ref="AP1">SUM(_xlfn._xlws.FILTER($E1:$AN1,$E$25:$AN$25=DATE(AP$25,12,1),0))</f>
        <v>1273</v>
      </c>
      <c r="AQ1" s="53" cm="1">
        <f t="array" ref="AQ1">SUM(_xlfn._xlws.FILTER($E1:$AN1,$E$25:$AN$25=DATE(AQ$25,12,1),0))</f>
        <v>2072</v>
      </c>
      <c r="AR1" s="53" cm="1">
        <f t="array" ref="AR1">SUM(_xlfn._xlws.FILTER($E1:$AN1,$E$25:$AN$25=DATE(AR$25,12,1),0))</f>
        <v>2762</v>
      </c>
    </row>
    <row r="2" spans="1:44" x14ac:dyDescent="0.25">
      <c r="B2" s="1" t="s">
        <v>329</v>
      </c>
      <c r="C2" s="3"/>
      <c r="D2" s="3"/>
      <c r="E2" s="5"/>
      <c r="F2" s="159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P2" s="5"/>
      <c r="AQ2" s="5"/>
      <c r="AR2" s="5"/>
    </row>
    <row r="3" spans="1:44" hidden="1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P3" s="69"/>
      <c r="AQ3" s="69"/>
      <c r="AR3" s="69"/>
    </row>
    <row r="4" spans="1:44" hidden="1" outlineLevel="1" x14ac:dyDescent="0.25">
      <c r="B4" s="39"/>
      <c r="C4" s="3"/>
      <c r="D4" s="3"/>
      <c r="E4" s="69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P4" s="5"/>
      <c r="AQ4" s="5"/>
      <c r="AR4" s="5"/>
    </row>
    <row r="5" spans="1:44" hidden="1" outlineLevel="1" x14ac:dyDescent="0.25">
      <c r="B5" s="39"/>
      <c r="C5" s="3"/>
      <c r="D5" s="3"/>
      <c r="E5" s="69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P5" s="5"/>
      <c r="AQ5" s="5"/>
      <c r="AR5" s="5"/>
    </row>
    <row r="6" spans="1:44" hidden="1" outlineLevel="1" x14ac:dyDescent="0.25">
      <c r="B6" s="96"/>
      <c r="C6" s="3"/>
      <c r="D6" s="3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P6" s="5"/>
      <c r="AQ6" s="5"/>
      <c r="AR6" s="5"/>
    </row>
    <row r="7" spans="1:44" hidden="1" outlineLevel="1" x14ac:dyDescent="0.25">
      <c r="B7" s="39"/>
      <c r="C7" s="3"/>
      <c r="D7" s="3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P7" s="69"/>
      <c r="AQ7" s="69"/>
      <c r="AR7" s="69"/>
    </row>
    <row r="8" spans="1:44" hidden="1" outlineLevel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P8" s="69"/>
      <c r="AQ8" s="69"/>
      <c r="AR8" s="69"/>
    </row>
    <row r="9" spans="1:44" hidden="1" outlineLevel="1" x14ac:dyDescent="0.25">
      <c r="B9" s="96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P9" s="5"/>
      <c r="AQ9" s="5"/>
      <c r="AR9" s="5"/>
    </row>
    <row r="10" spans="1:44" collapsed="1" x14ac:dyDescent="0.25">
      <c r="B10" s="55" t="s">
        <v>461</v>
      </c>
      <c r="C10" s="3"/>
      <c r="D10" s="3"/>
      <c r="E10" s="69">
        <f>SUM(Monthly!E10,MS:META!E10)</f>
        <v>98.353858784893276</v>
      </c>
      <c r="F10" s="69">
        <f>SUM(Monthly!F10,MS:META!F10)</f>
        <v>120.90623973727421</v>
      </c>
      <c r="G10" s="69">
        <f>SUM(Monthly!G10,MS:META!G10)</f>
        <v>127.8110016420361</v>
      </c>
      <c r="H10" s="69">
        <f>SUM(Monthly!H10,MS:META!H10)</f>
        <v>137.07766830870281</v>
      </c>
      <c r="I10" s="69">
        <f>SUM(Monthly!I10,MS:META!I10)</f>
        <v>149.8919540229885</v>
      </c>
      <c r="J10" s="69">
        <f>SUM(Monthly!J10,MS:META!J10)</f>
        <v>161.60623973727422</v>
      </c>
      <c r="K10" s="69">
        <f>SUM(Monthly!K10,MS:META!K10)</f>
        <v>109.87290640394089</v>
      </c>
      <c r="L10" s="69">
        <f>SUM(Monthly!L10,MS:META!L10)</f>
        <v>118.63004926108374</v>
      </c>
      <c r="M10" s="69">
        <f>SUM(Monthly!M10,MS:META!M10)</f>
        <v>121.36338259441708</v>
      </c>
      <c r="N10" s="69">
        <f>SUM(Monthly!N10,MS:META!N10)</f>
        <v>149.2633825944171</v>
      </c>
      <c r="O10" s="69">
        <f>SUM(Monthly!O10,MS:META!O10)</f>
        <v>160.26814449917896</v>
      </c>
      <c r="P10" s="69">
        <f>SUM(Monthly!P10,MS:META!P10)</f>
        <v>167.51576354679804</v>
      </c>
      <c r="Q10" s="69">
        <f>SUM(Monthly!Q10,MS:META!Q10)+SUM(MS:META!Q10)</f>
        <v>288.78243021346475</v>
      </c>
      <c r="R10" s="69">
        <f>SUM(Monthly!R10,MS:META!R10)+SUM(MS:META!R10)</f>
        <v>303.3110016420361</v>
      </c>
      <c r="S10" s="69">
        <f>SUM(Monthly!S10,MS:META!S10)+SUM(MS:META!S10)</f>
        <v>317.82528735632184</v>
      </c>
      <c r="T10" s="69">
        <f>SUM(Monthly!T10,MS:META!T10)+SUM(MS:META!T10)</f>
        <v>291.79195402298853</v>
      </c>
      <c r="U10" s="69">
        <f>SUM(Monthly!U10,MS:META!U10)+SUM(MS:META!U10)</f>
        <v>298.2776683087028</v>
      </c>
      <c r="V10" s="69">
        <f>SUM(Monthly!V10,MS:META!V10)+SUM(MS:META!V10)</f>
        <v>305.63004926108374</v>
      </c>
      <c r="W10" s="69">
        <f>SUM(Monthly!W10,MS:META!W10)+SUM(MS:META!W10)</f>
        <v>279.57766830870281</v>
      </c>
      <c r="X10" s="69">
        <f>SUM(Monthly!X10,MS:META!X10)+SUM(MS:META!X10)</f>
        <v>287.88719211822661</v>
      </c>
      <c r="Y10" s="69">
        <f>SUM(Monthly!Y10,MS:META!Y10)+SUM(MS:META!Y10)</f>
        <v>296.44433497536943</v>
      </c>
      <c r="Z10" s="69">
        <f>SUM(Monthly!Z10,MS:META!Z10)+SUM(MS:META!Z10)</f>
        <v>303.7443349753695</v>
      </c>
      <c r="AA10" s="69">
        <f>SUM(Monthly!AA10,MS:META!AA10)+SUM(MS:META!AA10)</f>
        <v>305.58719211822665</v>
      </c>
      <c r="AB10" s="69">
        <f>SUM(Monthly!AB10,MS:META!AB10)+SUM(MS:META!AB10)</f>
        <v>310.37290640394087</v>
      </c>
      <c r="AC10" s="69">
        <f>SUM(Monthly!AC10,MS:META!AC10)+SUM(MS:META!AC10)</f>
        <v>365.70623973727419</v>
      </c>
      <c r="AD10" s="69">
        <f>SUM(Monthly!AD10,MS:META!AD10)+SUM(MS:META!AD10)</f>
        <v>364.59195402298849</v>
      </c>
      <c r="AE10" s="69">
        <f>SUM(Monthly!AE10,MS:META!AE10)+SUM(MS:META!AE10)</f>
        <v>374.3110016420361</v>
      </c>
      <c r="AF10" s="69">
        <f>SUM(Monthly!AF10,MS:META!AF10)+SUM(MS:META!AF10)</f>
        <v>380.49195402298847</v>
      </c>
      <c r="AG10" s="69">
        <f>SUM(Monthly!AG10,MS:META!AG10)+SUM(MS:META!AG10)</f>
        <v>389.59195402298855</v>
      </c>
      <c r="AH10" s="69">
        <f>SUM(Monthly!AH10,MS:META!AH10)+SUM(MS:META!AH10)</f>
        <v>402.69195402298851</v>
      </c>
      <c r="AI10" s="69">
        <f>SUM(Monthly!AI10,MS:META!AI10)+SUM(MS:META!AI10)</f>
        <v>378.21576354679803</v>
      </c>
      <c r="AJ10" s="69">
        <f>SUM(Monthly!AJ10,MS:META!AJ10)+SUM(MS:META!AJ10)</f>
        <v>386.88243021346472</v>
      </c>
      <c r="AK10" s="69">
        <f>SUM(Monthly!AK10,MS:META!AK10)+SUM(MS:META!AK10)</f>
        <v>386.45862068965522</v>
      </c>
      <c r="AL10" s="69">
        <f>SUM(Monthly!AL10,MS:META!AL10)+SUM(MS:META!AL10)</f>
        <v>399.37290640394087</v>
      </c>
      <c r="AM10" s="69">
        <f>SUM(Monthly!AM10,MS:META!AM10)+SUM(MS:META!AM10)</f>
        <v>396.89195402298856</v>
      </c>
      <c r="AN10" s="69">
        <f>SUM(Monthly!AN10,MS:META!AN10)+SUM(MS:META!AN10)</f>
        <v>398.12528735632185</v>
      </c>
      <c r="AP10" s="69" cm="1">
        <f t="array" ref="AP10">SUM(_xlfn._xlws.FILTER($E10:$AN10,YEAR($E$25:$AN$25)=AP$25,0))</f>
        <v>1622.5605911330051</v>
      </c>
      <c r="AQ10" s="69" cm="1">
        <f t="array" ref="AQ10">SUM(_xlfn._xlws.FILTER($E10:$AN10,YEAR($E$25:$AN$25)=AQ$25,0))</f>
        <v>3589.2320197044332</v>
      </c>
      <c r="AR10" s="69" cm="1">
        <f t="array" ref="AR10">SUM(_xlfn._xlws.FILTER($E10:$AN10,YEAR($E$25:$AN$25)=AR$25,0))</f>
        <v>4623.3320197044332</v>
      </c>
    </row>
    <row r="11" spans="1:44" x14ac:dyDescent="0.25">
      <c r="B11" s="55" t="s">
        <v>462</v>
      </c>
      <c r="C11" s="3"/>
      <c r="D11" s="3"/>
      <c r="E11" s="69">
        <f>SUM(Monthly!E11,MS:META!E11)</f>
        <v>28.766666666666669</v>
      </c>
      <c r="F11" s="69">
        <f>SUM(Monthly!F11,MS:META!F11)</f>
        <v>37.1</v>
      </c>
      <c r="G11" s="69">
        <f>SUM(Monthly!G11,MS:META!G11)</f>
        <v>45.533333333333331</v>
      </c>
      <c r="H11" s="69">
        <f>SUM(Monthly!H11,MS:META!H11)</f>
        <v>54.300000000000004</v>
      </c>
      <c r="I11" s="69">
        <f>SUM(Monthly!I11,MS:META!I11)</f>
        <v>63.300000000000004</v>
      </c>
      <c r="J11" s="69">
        <f>SUM(Monthly!J11,MS:META!J11)</f>
        <v>72.400000000000006</v>
      </c>
      <c r="K11" s="69">
        <f>SUM(Monthly!K11,MS:META!K11)</f>
        <v>77.966666666666669</v>
      </c>
      <c r="L11" s="69">
        <f>SUM(Monthly!L11,MS:META!L11)</f>
        <v>80.866666666666674</v>
      </c>
      <c r="M11" s="69">
        <f>SUM(Monthly!M11,MS:META!M11)</f>
        <v>83.600000000000009</v>
      </c>
      <c r="N11" s="69">
        <f>SUM(Monthly!N11,MS:META!N11)</f>
        <v>88.7</v>
      </c>
      <c r="O11" s="69">
        <f>SUM(Monthly!O11,MS:META!O11)</f>
        <v>94.23333333333332</v>
      </c>
      <c r="P11" s="69">
        <f>SUM(Monthly!P11,MS:META!P11)</f>
        <v>100.00000000000001</v>
      </c>
      <c r="Q11" s="69">
        <f>SUM(Monthly!Q11,MS:META!Q11)+SUM(MS:META!Q11)</f>
        <v>164.26666666666668</v>
      </c>
      <c r="R11" s="69">
        <f>SUM(Monthly!R11,MS:META!R11)+SUM(MS:META!R11)</f>
        <v>177.06666666666666</v>
      </c>
      <c r="S11" s="69">
        <f>SUM(Monthly!S11,MS:META!S11)+SUM(MS:META!S11)</f>
        <v>189.86666666666667</v>
      </c>
      <c r="T11" s="69">
        <f>SUM(Monthly!T11,MS:META!T11)+SUM(MS:META!T11)</f>
        <v>199.23333333333335</v>
      </c>
      <c r="U11" s="69">
        <f>SUM(Monthly!U11,MS:META!U11)+SUM(MS:META!U11)</f>
        <v>208.63333333333333</v>
      </c>
      <c r="V11" s="69">
        <f>SUM(Monthly!V11,MS:META!V11)+SUM(MS:META!V11)</f>
        <v>217.7</v>
      </c>
      <c r="W11" s="69">
        <f>SUM(Monthly!W11,MS:META!W11)+SUM(MS:META!W11)</f>
        <v>223.53333333333336</v>
      </c>
      <c r="X11" s="69">
        <f>SUM(Monthly!X11,MS:META!X11)+SUM(MS:META!X11)</f>
        <v>229.90000000000003</v>
      </c>
      <c r="Y11" s="69">
        <f>SUM(Monthly!Y11,MS:META!Y11)+SUM(MS:META!Y11)</f>
        <v>236.2</v>
      </c>
      <c r="Z11" s="69">
        <f>SUM(Monthly!Z11,MS:META!Z11)+SUM(MS:META!Z11)</f>
        <v>242.90000000000003</v>
      </c>
      <c r="AA11" s="69">
        <f>SUM(Monthly!AA11,MS:META!AA11)+SUM(MS:META!AA11)</f>
        <v>249.40000000000003</v>
      </c>
      <c r="AB11" s="69">
        <f>SUM(Monthly!AB11,MS:META!AB11)+SUM(MS:META!AB11)</f>
        <v>255.89999999999998</v>
      </c>
      <c r="AC11" s="69">
        <f>SUM(Monthly!AC11,MS:META!AC11)+SUM(MS:META!AC11)</f>
        <v>266.83333333333331</v>
      </c>
      <c r="AD11" s="69">
        <f>SUM(Monthly!AD11,MS:META!AD11)+SUM(MS:META!AD11)</f>
        <v>276.43333333333334</v>
      </c>
      <c r="AE11" s="69">
        <f>SUM(Monthly!AE11,MS:META!AE11)+SUM(MS:META!AE11)</f>
        <v>286.06666666666666</v>
      </c>
      <c r="AF11" s="69">
        <f>SUM(Monthly!AF11,MS:META!AF11)+SUM(MS:META!AF11)</f>
        <v>295.33333333333337</v>
      </c>
      <c r="AG11" s="69">
        <f>SUM(Monthly!AG11,MS:META!AG11)+SUM(MS:META!AG11)</f>
        <v>304.43333333333328</v>
      </c>
      <c r="AH11" s="69">
        <f>SUM(Monthly!AH11,MS:META!AH11)+SUM(MS:META!AH11)</f>
        <v>313.93333333333334</v>
      </c>
      <c r="AI11" s="69">
        <f>SUM(Monthly!AI11,MS:META!AI11)+SUM(MS:META!AI11)</f>
        <v>319.60000000000002</v>
      </c>
      <c r="AJ11" s="69">
        <f>SUM(Monthly!AJ11,MS:META!AJ11)+SUM(MS:META!AJ11)</f>
        <v>325.86666666666673</v>
      </c>
      <c r="AK11" s="69">
        <f>SUM(Monthly!AK11,MS:META!AK11)+SUM(MS:META!AK11)</f>
        <v>331.90000000000003</v>
      </c>
      <c r="AL11" s="69">
        <f>SUM(Monthly!AL11,MS:META!AL11)+SUM(MS:META!AL11)</f>
        <v>338.30000000000007</v>
      </c>
      <c r="AM11" s="69">
        <f>SUM(Monthly!AM11,MS:META!AM11)+SUM(MS:META!AM11)</f>
        <v>343.5333333333333</v>
      </c>
      <c r="AN11" s="69">
        <f>SUM(Monthly!AN11,MS:META!AN11)+SUM(MS:META!AN11)</f>
        <v>348.36666666666667</v>
      </c>
      <c r="AP11" s="69" cm="1">
        <f t="array" ref="AP11">SUM(_xlfn._xlws.FILTER($E11:$AN11,YEAR($E$25:$AN$25)=AP$25,0))</f>
        <v>826.76666666666677</v>
      </c>
      <c r="AQ11" s="69" cm="1">
        <f t="array" ref="AQ11">SUM(_xlfn._xlws.FILTER($E11:$AN11,YEAR($E$25:$AN$25)=AQ$25,0))</f>
        <v>2594.6000000000004</v>
      </c>
      <c r="AR11" s="69" cm="1">
        <f t="array" ref="AR11">SUM(_xlfn._xlws.FILTER($E11:$AN11,YEAR($E$25:$AN$25)=AR$25,0))</f>
        <v>3750.6000000000004</v>
      </c>
    </row>
    <row r="12" spans="1:44" x14ac:dyDescent="0.25">
      <c r="B12" s="55" t="s">
        <v>463</v>
      </c>
      <c r="C12" s="3"/>
      <c r="D12" s="3"/>
      <c r="E12" s="69">
        <f>E1+E11</f>
        <v>488.76666666666665</v>
      </c>
      <c r="F12" s="69">
        <f t="shared" ref="F12:AN12" si="0">F1+F11</f>
        <v>588.1</v>
      </c>
      <c r="G12" s="69">
        <f t="shared" si="0"/>
        <v>694.5333333333333</v>
      </c>
      <c r="H12" s="69">
        <f t="shared" si="0"/>
        <v>803.3</v>
      </c>
      <c r="I12" s="69">
        <f t="shared" si="0"/>
        <v>906.3</v>
      </c>
      <c r="J12" s="69">
        <f t="shared" si="0"/>
        <v>1016.4</v>
      </c>
      <c r="K12" s="69">
        <f t="shared" si="0"/>
        <v>1064.9666666666667</v>
      </c>
      <c r="L12" s="69">
        <f t="shared" si="0"/>
        <v>1102.8666666666668</v>
      </c>
      <c r="M12" s="69">
        <f t="shared" si="0"/>
        <v>1145.5999999999999</v>
      </c>
      <c r="N12" s="69">
        <f t="shared" si="0"/>
        <v>1215.7</v>
      </c>
      <c r="O12" s="69">
        <f t="shared" si="0"/>
        <v>1293.2333333333333</v>
      </c>
      <c r="P12" s="69">
        <f t="shared" si="0"/>
        <v>1373</v>
      </c>
      <c r="Q12" s="69">
        <f t="shared" si="0"/>
        <v>1531.2666666666667</v>
      </c>
      <c r="R12" s="69">
        <f t="shared" si="0"/>
        <v>1633.0666666666666</v>
      </c>
      <c r="S12" s="69">
        <f t="shared" si="0"/>
        <v>1737.8666666666668</v>
      </c>
      <c r="T12" s="69">
        <f t="shared" si="0"/>
        <v>1822.2333333333333</v>
      </c>
      <c r="U12" s="69">
        <f t="shared" si="0"/>
        <v>1899.6333333333332</v>
      </c>
      <c r="V12" s="69">
        <f t="shared" si="0"/>
        <v>1974.7</v>
      </c>
      <c r="W12" s="69">
        <f t="shared" si="0"/>
        <v>2034.5333333333333</v>
      </c>
      <c r="X12" s="69">
        <f t="shared" si="0"/>
        <v>2096.9</v>
      </c>
      <c r="Y12" s="69">
        <f t="shared" si="0"/>
        <v>2151.1999999999998</v>
      </c>
      <c r="Z12" s="69">
        <f t="shared" si="0"/>
        <v>2211.9</v>
      </c>
      <c r="AA12" s="69">
        <f t="shared" si="0"/>
        <v>2271.4</v>
      </c>
      <c r="AB12" s="69">
        <f t="shared" si="0"/>
        <v>2327.9</v>
      </c>
      <c r="AC12" s="69">
        <f t="shared" si="0"/>
        <v>2406.8333333333335</v>
      </c>
      <c r="AD12" s="69">
        <f t="shared" si="0"/>
        <v>2481.4333333333334</v>
      </c>
      <c r="AE12" s="69">
        <f t="shared" si="0"/>
        <v>2555.0666666666666</v>
      </c>
      <c r="AF12" s="69">
        <f t="shared" si="0"/>
        <v>2625.3333333333335</v>
      </c>
      <c r="AG12" s="69">
        <f t="shared" si="0"/>
        <v>2693.4333333333334</v>
      </c>
      <c r="AH12" s="69">
        <f t="shared" si="0"/>
        <v>2769.9333333333334</v>
      </c>
      <c r="AI12" s="69">
        <f t="shared" si="0"/>
        <v>2828.6</v>
      </c>
      <c r="AJ12" s="69">
        <f t="shared" si="0"/>
        <v>2889.8666666666668</v>
      </c>
      <c r="AK12" s="69">
        <f t="shared" si="0"/>
        <v>2947.9</v>
      </c>
      <c r="AL12" s="69">
        <f t="shared" si="0"/>
        <v>3005.3</v>
      </c>
      <c r="AM12" s="69">
        <f t="shared" si="0"/>
        <v>3060.5333333333333</v>
      </c>
      <c r="AN12" s="69">
        <f t="shared" si="0"/>
        <v>3110.3666666666668</v>
      </c>
      <c r="AP12" s="69">
        <f>AP1+AP11</f>
        <v>2099.7666666666669</v>
      </c>
      <c r="AQ12" s="69">
        <f t="shared" ref="AQ12:AR12" si="1">AQ1+AQ11</f>
        <v>4666.6000000000004</v>
      </c>
      <c r="AR12" s="69">
        <f t="shared" si="1"/>
        <v>6512.6</v>
      </c>
    </row>
    <row r="13" spans="1:44" hidden="1" outlineLevel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P13" s="5"/>
      <c r="AQ13" s="5"/>
      <c r="AR13" s="5"/>
    </row>
    <row r="14" spans="1:44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P14" s="5"/>
      <c r="AQ14" s="5"/>
      <c r="AR14" s="5"/>
    </row>
    <row r="15" spans="1:44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P15" s="5"/>
      <c r="AQ15" s="5"/>
      <c r="AR15" s="5"/>
    </row>
    <row r="16" spans="1:44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P16" s="5"/>
      <c r="AQ16" s="5"/>
      <c r="AR16" s="5"/>
    </row>
    <row r="17" spans="2:44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P17" s="5"/>
      <c r="AQ17" s="5"/>
      <c r="AR17" s="5"/>
    </row>
    <row r="18" spans="2:44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P18" s="5"/>
      <c r="AQ18" s="5"/>
      <c r="AR18" s="5"/>
    </row>
    <row r="19" spans="2:44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P19" s="5"/>
      <c r="AQ19" s="5"/>
      <c r="AR19" s="5"/>
    </row>
    <row r="20" spans="2:44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P20" s="5"/>
      <c r="AQ20" s="5"/>
      <c r="AR20" s="5"/>
    </row>
    <row r="21" spans="2:44" collapsed="1" x14ac:dyDescent="0.25">
      <c r="B21" s="3"/>
      <c r="D21" s="55"/>
      <c r="E21" s="60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P21" s="109" cm="1">
        <f t="array" ref="AP21">SUM(_xlfn._xlws.FILTER($E21:$AN21,$E$25:$AN$25=DATE(AP$25,12,1),0))</f>
        <v>0</v>
      </c>
      <c r="AQ21" s="109" cm="1">
        <f t="array" ref="AQ21">SUM(_xlfn._xlws.FILTER($E21:$AN21,$E$25:$AN$25=DATE(AQ$25,12,1),0))</f>
        <v>0</v>
      </c>
      <c r="AR21" s="109" cm="1">
        <f t="array" ref="AR21">SUM(_xlfn._xlws.FILTER($E21:$AN21,$E$25:$AN$25=DATE(AR$25,12,1),0))</f>
        <v>0</v>
      </c>
    </row>
    <row r="22" spans="2:44" collapsed="1" x14ac:dyDescent="0.25">
      <c r="B22" s="2" t="s">
        <v>464</v>
      </c>
      <c r="D22" s="55"/>
      <c r="E22" s="60" cm="1">
        <f t="array" ref="E22:AN22">_xlfn.BYCOL($E$26:$AN$30,_xlfn.LAMBDA(_xlpm.a,SUM(_xlpm.a)))/$E$23:$AN$23</f>
        <v>121.13642723688285</v>
      </c>
      <c r="F22" s="109">
        <v>128.23691812117767</v>
      </c>
      <c r="G22" s="109">
        <v>134.07234301287309</v>
      </c>
      <c r="H22" s="109">
        <v>139.09913977691016</v>
      </c>
      <c r="I22" s="109">
        <v>142.76623672834896</v>
      </c>
      <c r="J22" s="109">
        <v>145.50114062619488</v>
      </c>
      <c r="K22" s="109">
        <v>145.47919816881628</v>
      </c>
      <c r="L22" s="109">
        <v>146.05103318375851</v>
      </c>
      <c r="M22" s="109">
        <v>146.69967976771881</v>
      </c>
      <c r="N22" s="109">
        <v>147.60788465914922</v>
      </c>
      <c r="O22" s="109">
        <v>148.43778304738007</v>
      </c>
      <c r="P22" s="109">
        <v>149.10213022695751</v>
      </c>
      <c r="Q22" s="109">
        <v>154.62034410593617</v>
      </c>
      <c r="R22" s="109">
        <v>155.41144351720774</v>
      </c>
      <c r="S22" s="109">
        <v>156.24238944816472</v>
      </c>
      <c r="T22" s="109">
        <v>156.74361606367552</v>
      </c>
      <c r="U22" s="109">
        <v>157.08165281882333</v>
      </c>
      <c r="V22" s="109">
        <v>157.28273444126307</v>
      </c>
      <c r="W22" s="109">
        <v>157.21193867955739</v>
      </c>
      <c r="X22" s="109">
        <v>157.24760519715807</v>
      </c>
      <c r="Y22" s="109">
        <v>157.24480388530725</v>
      </c>
      <c r="Z22" s="109">
        <v>157.30780472091072</v>
      </c>
      <c r="AA22" s="109">
        <v>157.3855669040716</v>
      </c>
      <c r="AB22" s="109">
        <v>157.60634173208032</v>
      </c>
      <c r="AC22" s="109">
        <v>157.94090070995145</v>
      </c>
      <c r="AD22" s="109">
        <v>158.22725537025295</v>
      </c>
      <c r="AE22" s="109">
        <v>158.58604581767042</v>
      </c>
      <c r="AF22" s="109">
        <v>158.88358498450239</v>
      </c>
      <c r="AG22" s="109">
        <v>159.10391186751656</v>
      </c>
      <c r="AH22" s="109">
        <v>159.16275549819497</v>
      </c>
      <c r="AI22" s="109">
        <v>159.0812059711638</v>
      </c>
      <c r="AJ22" s="109">
        <v>159.06116423377767</v>
      </c>
      <c r="AK22" s="109">
        <v>159.1150478163332</v>
      </c>
      <c r="AL22" s="109">
        <v>159.2759971196804</v>
      </c>
      <c r="AM22" s="109">
        <v>159.43771847181895</v>
      </c>
      <c r="AN22" s="109">
        <v>159.58161720505282</v>
      </c>
      <c r="AP22" s="109" cm="1">
        <f t="array" ref="AP22">SUM(_xlfn._xlws.FILTER($E22:$AN22,$E$25:$AN$25=DATE(AP$25,12,1),0))</f>
        <v>149.10213022695751</v>
      </c>
      <c r="AQ22" s="109" cm="1">
        <f t="array" ref="AQ22">SUM(_xlfn._xlws.FILTER($E22:$AN22,$E$25:$AN$25=DATE(AQ$25,12,1),0))</f>
        <v>157.60634173208032</v>
      </c>
      <c r="AR22" s="109" cm="1">
        <f t="array" ref="AR22">SUM(_xlfn._xlws.FILTER($E22:$AN22,$E$25:$AN$25=DATE(AR$25,12,1),0))</f>
        <v>159.58161720505282</v>
      </c>
    </row>
    <row r="23" spans="2:44" x14ac:dyDescent="0.25">
      <c r="B23" s="2" t="s">
        <v>55</v>
      </c>
      <c r="C23" s="3"/>
      <c r="D23" s="3"/>
      <c r="E23" s="53">
        <f>SUM(Monthly!E23,MS:META!E23)</f>
        <v>32343.520000000004</v>
      </c>
      <c r="F23" s="53">
        <f>SUM(Monthly!F23,MS:META!F23)</f>
        <v>37682.186666666661</v>
      </c>
      <c r="G23" s="53">
        <f>SUM(Monthly!G23,MS:META!G23)</f>
        <v>43702.559999999998</v>
      </c>
      <c r="H23" s="53">
        <f>SUM(Monthly!H23,MS:META!H23)</f>
        <v>49877.666666666664</v>
      </c>
      <c r="I23" s="53">
        <f>SUM(Monthly!I23,MS:META!I23)</f>
        <v>55527.56</v>
      </c>
      <c r="J23" s="53">
        <f>SUM(Monthly!J23,MS:META!J23)</f>
        <v>61699</v>
      </c>
      <c r="K23" s="53">
        <f>SUM(Monthly!K23,MS:META!K23)</f>
        <v>65518.64</v>
      </c>
      <c r="L23" s="53">
        <f>SUM(Monthly!L23,MS:META!L23)</f>
        <v>68442.880000000005</v>
      </c>
      <c r="M23" s="53">
        <f>SUM(Monthly!M23,MS:META!M23)</f>
        <v>71785.41333333333</v>
      </c>
      <c r="N23" s="53">
        <f>SUM(Monthly!N23,MS:META!N23)</f>
        <v>76632.159999999989</v>
      </c>
      <c r="O23" s="53">
        <f>SUM(Monthly!O23,MS:META!O23)</f>
        <v>82109.133333333317</v>
      </c>
      <c r="P23" s="53">
        <f>SUM(Monthly!P23,MS:META!P23)</f>
        <v>87687.453333333338</v>
      </c>
      <c r="Q23" s="53">
        <f>SUM(Monthly!Q23,MS:META!Q23)</f>
        <v>94298.306666666656</v>
      </c>
      <c r="R23" s="53">
        <f>SUM(Monthly!R23,MS:META!R23)</f>
        <v>100279.22666666665</v>
      </c>
      <c r="S23" s="53">
        <f>SUM(Monthly!S23,MS:META!S23)</f>
        <v>106626.66666666664</v>
      </c>
      <c r="T23" s="53">
        <f>SUM(Monthly!T23,MS:META!T23)</f>
        <v>112096.45333333329</v>
      </c>
      <c r="U23" s="53">
        <f>SUM(Monthly!U23,MS:META!U23)</f>
        <v>116831.14666666664</v>
      </c>
      <c r="V23" s="53">
        <f>SUM(Monthly!V23,MS:META!V23)</f>
        <v>121359.62666666665</v>
      </c>
      <c r="W23" s="53">
        <f>SUM(Monthly!W23,MS:META!W23)</f>
        <v>125588.90666666663</v>
      </c>
      <c r="X23" s="53">
        <f>SUM(Monthly!X23,MS:META!X23)</f>
        <v>130028.21333333333</v>
      </c>
      <c r="Y23" s="53">
        <f>SUM(Monthly!Y23,MS:META!Y23)</f>
        <v>133787.5733333333</v>
      </c>
      <c r="Z23" s="53">
        <f>SUM(Monthly!Z23,MS:META!Z23)</f>
        <v>137856.69333333333</v>
      </c>
      <c r="AA23" s="53">
        <f>SUM(Monthly!AA23,MS:META!AA23)</f>
        <v>141874.18666666662</v>
      </c>
      <c r="AB23" s="53">
        <f>SUM(Monthly!AB23,MS:META!AB23)</f>
        <v>145736.79999999996</v>
      </c>
      <c r="AC23" s="53">
        <f>SUM(Monthly!AC23,MS:META!AC23)</f>
        <v>150368.5333333333</v>
      </c>
      <c r="AD23" s="53">
        <f>SUM(Monthly!AD23,MS:META!AD23)</f>
        <v>154845.38666666663</v>
      </c>
      <c r="AE23" s="53">
        <f>SUM(Monthly!AE23,MS:META!AE23)</f>
        <v>159217.22666666663</v>
      </c>
      <c r="AF23" s="53">
        <f>SUM(Monthly!AF23,MS:META!AF23)</f>
        <v>163487.57333333333</v>
      </c>
      <c r="AG23" s="53">
        <f>SUM(Monthly!AG23,MS:META!AG23)</f>
        <v>167494.50666666665</v>
      </c>
      <c r="AH23" s="53">
        <f>SUM(Monthly!AH23,MS:META!AH23)</f>
        <v>172181.3866666666</v>
      </c>
      <c r="AI23" s="53">
        <f>SUM(Monthly!AI23,MS:META!AI23)</f>
        <v>176359.03999999998</v>
      </c>
      <c r="AJ23" s="53">
        <f>SUM(Monthly!AJ23,MS:META!AJ23)</f>
        <v>180800.1066666666</v>
      </c>
      <c r="AK23" s="53">
        <f>SUM(Monthly!AK23,MS:META!AK23)</f>
        <v>184926.1333333333</v>
      </c>
      <c r="AL23" s="53">
        <f>SUM(Monthly!AL23,MS:META!AL23)</f>
        <v>188840.37333333326</v>
      </c>
      <c r="AM23" s="53">
        <f>SUM(Monthly!AM23,MS:META!AM23)</f>
        <v>192863.14666666655</v>
      </c>
      <c r="AN23" s="53">
        <f>SUM(Monthly!AN23,MS:META!AN23)</f>
        <v>196627.78666666656</v>
      </c>
      <c r="AP23" s="53" cm="1">
        <f t="array" ref="AP23">SUM(_xlfn._xlws.FILTER($E23:$AN23,$E$25:$AN$25=DATE(AP$25,12,1),0))</f>
        <v>87687.453333333338</v>
      </c>
      <c r="AQ23" s="53" cm="1">
        <f t="array" ref="AQ23">SUM(_xlfn._xlws.FILTER($E23:$AN23,$E$25:$AN$25=DATE(AQ$25,12,1),0))</f>
        <v>145736.79999999996</v>
      </c>
      <c r="AR23" s="53" cm="1">
        <f t="array" ref="AR23">SUM(_xlfn._xlws.FILTER($E23:$AN23,$E$25:$AN$25=DATE(AR$25,12,1),0))</f>
        <v>196627.78666666656</v>
      </c>
    </row>
    <row r="24" spans="2:44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P24" s="5"/>
      <c r="AQ24" s="5"/>
      <c r="AR24" s="5"/>
    </row>
    <row r="25" spans="2:44" x14ac:dyDescent="0.25">
      <c r="B25" s="1" t="s">
        <v>21</v>
      </c>
      <c r="E25" s="38" cm="1">
        <f t="array" ref="E25:AN25">DATE(Base!BJ4,_xlfn.SEQUENCE(1,COUNTA(Base!$BJ$4:$BL$4)*12,1),1)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P25" s="167">
        <v>2026</v>
      </c>
      <c r="AQ25" s="167">
        <v>2027</v>
      </c>
      <c r="AR25" s="167">
        <v>2028</v>
      </c>
    </row>
    <row r="26" spans="2:44" x14ac:dyDescent="0.25">
      <c r="B26" s="39" t="s">
        <v>449</v>
      </c>
      <c r="E26" s="12">
        <f>SUM(Monthly!E26,MS:META!E26)</f>
        <v>3060477.9542271993</v>
      </c>
      <c r="F26" s="12">
        <f>SUM(Monthly!F26,MS:META!F26)</f>
        <v>3823869.527859333</v>
      </c>
      <c r="G26" s="12">
        <f>SUM(Monthly!G26,MS:META!G26)</f>
        <v>4678298.4410378663</v>
      </c>
      <c r="H26" s="12">
        <f>SUM(Monthly!H26,MS:META!H26)</f>
        <v>5579113.9135627998</v>
      </c>
      <c r="I26" s="12">
        <f>SUM(Monthly!I26,MS:META!I26)</f>
        <v>6406897.3402043991</v>
      </c>
      <c r="J26" s="12">
        <f>SUM(Monthly!J26,MS:META!J26)</f>
        <v>7280225.8739374653</v>
      </c>
      <c r="K26" s="12">
        <f>SUM(Monthly!K26,MS:META!K26)</f>
        <v>7721622.477963333</v>
      </c>
      <c r="L26" s="12">
        <f>SUM(Monthly!L26,MS:META!L26)</f>
        <v>8098092.2838157341</v>
      </c>
      <c r="M26" s="12">
        <f>SUM(Monthly!M26,MS:META!M26)</f>
        <v>8531881.6742154658</v>
      </c>
      <c r="N26" s="12">
        <f>SUM(Monthly!N26,MS:META!N26)</f>
        <v>9169142.2450090665</v>
      </c>
      <c r="O26" s="12">
        <f>SUM(Monthly!O26,MS:META!O26)</f>
        <v>9883228.2432103995</v>
      </c>
      <c r="P26" s="12">
        <f>SUM(Monthly!P26,MS:META!P26)</f>
        <v>10604694.113180263</v>
      </c>
      <c r="Q26" s="12">
        <f>SUM(Monthly!Q26,MS:META!Q26)</f>
        <v>11837387.172553211</v>
      </c>
      <c r="R26" s="12">
        <f>SUM(Monthly!R26,MS:META!R26)</f>
        <v>12663351.631369485</v>
      </c>
      <c r="S26" s="12">
        <f>SUM(Monthly!S26,MS:META!S26)</f>
        <v>13547382.835482683</v>
      </c>
      <c r="T26" s="12">
        <f>SUM(Monthly!T26,MS:META!T26)</f>
        <v>14292344.838340553</v>
      </c>
      <c r="U26" s="12">
        <f>SUM(Monthly!U26,MS:META!U26)</f>
        <v>14932478.440471385</v>
      </c>
      <c r="V26" s="12">
        <f>SUM(Monthly!V26,MS:META!V26)</f>
        <v>15533923.026955752</v>
      </c>
      <c r="W26" s="12">
        <f>SUM(Monthly!W26,MS:META!W26)</f>
        <v>16061875.406496245</v>
      </c>
      <c r="X26" s="12">
        <f>SUM(Monthly!X26,MS:META!X26)</f>
        <v>16629618.843262967</v>
      </c>
      <c r="Y26" s="12">
        <f>SUM(Monthly!Y26,MS:META!Y26)</f>
        <v>17106626.008847333</v>
      </c>
      <c r="Z26" s="12">
        <f>SUM(Monthly!Z26,MS:META!Z26)</f>
        <v>17632557.288631704</v>
      </c>
      <c r="AA26" s="12">
        <f>SUM(Monthly!AA26,MS:META!AA26)</f>
        <v>18154170.074489571</v>
      </c>
      <c r="AB26" s="12">
        <f>SUM(Monthly!AB26,MS:META!AB26)</f>
        <v>18676371.905675482</v>
      </c>
      <c r="AC26" s="12">
        <f>SUM(Monthly!AC26,MS:META!AC26)</f>
        <v>19318724.75496589</v>
      </c>
      <c r="AD26" s="12">
        <f>SUM(Monthly!AD26,MS:META!AD26)</f>
        <v>19936615.547156304</v>
      </c>
      <c r="AE26" s="12">
        <f>SUM(Monthly!AE26,MS:META!AE26)</f>
        <v>20554356.534472622</v>
      </c>
      <c r="AF26" s="12">
        <f>SUM(Monthly!AF26,MS:META!AF26)</f>
        <v>21151588.703538865</v>
      </c>
      <c r="AG26" s="12">
        <f>SUM(Monthly!AG26,MS:META!AG26)</f>
        <v>21705891.510042947</v>
      </c>
      <c r="AH26" s="12">
        <f>SUM(Monthly!AH26,MS:META!AH26)</f>
        <v>22322494.837883171</v>
      </c>
      <c r="AI26" s="12">
        <f>SUM(Monthly!AI26,MS:META!AI26)</f>
        <v>22846943.657011151</v>
      </c>
      <c r="AJ26" s="12">
        <f>SUM(Monthly!AJ26,MS:META!AJ26)</f>
        <v>23414321.838701297</v>
      </c>
      <c r="AK26" s="12">
        <f>SUM(Monthly!AK26,MS:META!AK26)</f>
        <v>23955216.863535326</v>
      </c>
      <c r="AL26" s="12">
        <f>SUM(Monthly!AL26,MS:META!AL26)</f>
        <v>24488957.361172736</v>
      </c>
      <c r="AM26" s="12">
        <f>SUM(Monthly!AM26,MS:META!AM26)</f>
        <v>25036878.761476811</v>
      </c>
      <c r="AN26" s="12">
        <f>SUM(Monthly!AN26,MS:META!AN26)</f>
        <v>25548316.469409723</v>
      </c>
      <c r="AP26" s="12" cm="1">
        <f t="array" ref="AP26">SUM(_xlfn._xlws.FILTER($E26:$AN26,YEAR($E$25:$AN$25)=AP$25,0))</f>
        <v>84837544.088223323</v>
      </c>
      <c r="AQ26" s="12" cm="1">
        <f t="array" ref="AQ26">SUM(_xlfn._xlws.FILTER($E26:$AN26,YEAR($E$25:$AN$25)=AQ$25,0))</f>
        <v>187068087.47257635</v>
      </c>
      <c r="AR26" s="12" cm="1">
        <f t="array" ref="AR26">SUM(_xlfn._xlws.FILTER($E26:$AN26,YEAR($E$25:$AN$25)=AR$25,0))</f>
        <v>270280306.83936685</v>
      </c>
    </row>
    <row r="27" spans="2:44" x14ac:dyDescent="0.25">
      <c r="B27" s="39" t="s">
        <v>450</v>
      </c>
      <c r="E27" s="12">
        <f>SUM(Monthly!E27,MS:META!E27)</f>
        <v>122734.33660799998</v>
      </c>
      <c r="F27" s="12">
        <f>SUM(Monthly!F27,MS:META!F27)</f>
        <v>134368.754208</v>
      </c>
      <c r="G27" s="12">
        <f>SUM(Monthly!G27,MS:META!G27)</f>
        <v>151820.38060799998</v>
      </c>
      <c r="H27" s="12">
        <f>SUM(Monthly!H27,MS:META!H27)</f>
        <v>168692.12727466665</v>
      </c>
      <c r="I27" s="12">
        <f>SUM(Monthly!I27,MS:META!I27)</f>
        <v>182011.92727466667</v>
      </c>
      <c r="J27" s="12">
        <f>SUM(Monthly!J27,MS:META!J27)</f>
        <v>199463.55367466665</v>
      </c>
      <c r="K27" s="12">
        <f>SUM(Monthly!K27,MS:META!K27)</f>
        <v>224090.25572266662</v>
      </c>
      <c r="L27" s="12">
        <f>SUM(Monthly!L27,MS:META!L27)</f>
        <v>244205.84212266668</v>
      </c>
      <c r="M27" s="12">
        <f>SUM(Monthly!M27,MS:META!M27)</f>
        <v>266985.38852266665</v>
      </c>
      <c r="N27" s="12">
        <f>SUM(Monthly!N27,MS:META!N27)</f>
        <v>293521.95600000001</v>
      </c>
      <c r="O27" s="12">
        <f>SUM(Monthly!O27,MS:META!O27)</f>
        <v>324600.9940159999</v>
      </c>
      <c r="P27" s="12">
        <f>SUM(Monthly!P27,MS:META!P27)</f>
        <v>355680.03203200002</v>
      </c>
      <c r="Q27" s="12">
        <f>SUM(Monthly!Q27,MS:META!Q27)</f>
        <v>398361.84214943997</v>
      </c>
      <c r="R27" s="12">
        <f>SUM(Monthly!R27,MS:META!R27)</f>
        <v>424369.22158175992</v>
      </c>
      <c r="S27" s="12">
        <f>SUM(Monthly!S27,MS:META!S27)</f>
        <v>453636.75193823996</v>
      </c>
      <c r="T27" s="12">
        <f>SUM(Monthly!T27,MS:META!T27)</f>
        <v>482904.28229472</v>
      </c>
      <c r="U27" s="12">
        <f>SUM(Monthly!U27,MS:META!U27)</f>
        <v>505265.46132053336</v>
      </c>
      <c r="V27" s="12">
        <f>SUM(Monthly!V27,MS:META!V27)</f>
        <v>526301.35527701338</v>
      </c>
      <c r="W27" s="12">
        <f>SUM(Monthly!W27,MS:META!W27)</f>
        <v>554336.90922549332</v>
      </c>
      <c r="X27" s="12">
        <f>SUM(Monthly!X27,MS:META!X27)</f>
        <v>581893.10503029346</v>
      </c>
      <c r="Y27" s="12">
        <f>SUM(Monthly!Y27,MS:META!Y27)</f>
        <v>605672.87778677337</v>
      </c>
      <c r="Z27" s="12">
        <f>SUM(Monthly!Z27,MS:META!Z27)</f>
        <v>629452.6505432534</v>
      </c>
      <c r="AA27" s="12">
        <f>SUM(Monthly!AA27,MS:META!AA27)</f>
        <v>653232.42329973343</v>
      </c>
      <c r="AB27" s="12">
        <f>SUM(Monthly!AB27,MS:META!AB27)</f>
        <v>675500.29366421339</v>
      </c>
      <c r="AC27" s="12">
        <f>SUM(Monthly!AC27,MS:META!AC27)</f>
        <v>695024.28522869339</v>
      </c>
      <c r="AD27" s="12">
        <f>SUM(Monthly!AD27,MS:META!AD27)</f>
        <v>714548.2767931734</v>
      </c>
      <c r="AE27" s="12">
        <f>SUM(Monthly!AE27,MS:META!AE27)</f>
        <v>733555.99623349344</v>
      </c>
      <c r="AF27" s="12">
        <f>SUM(Monthly!AF27,MS:META!AF27)</f>
        <v>753079.98779797333</v>
      </c>
      <c r="AG27" s="12">
        <f>SUM(Monthly!AG27,MS:META!AG27)</f>
        <v>769860.10056245339</v>
      </c>
      <c r="AH27" s="12">
        <f>SUM(Monthly!AH27,MS:META!AH27)</f>
        <v>791928.53876725328</v>
      </c>
      <c r="AI27" s="12">
        <f>SUM(Monthly!AI27,MS:META!AI27)</f>
        <v>817257.12789621344</v>
      </c>
      <c r="AJ27" s="12">
        <f>SUM(Monthly!AJ27,MS:META!AJ27)</f>
        <v>845329.59582517319</v>
      </c>
      <c r="AK27" s="12">
        <f>SUM(Monthly!AK27,MS:META!AK27)</f>
        <v>869146.28256213316</v>
      </c>
      <c r="AL27" s="12">
        <f>SUM(Monthly!AL27,MS:META!AL27)</f>
        <v>891414.15292661323</v>
      </c>
      <c r="AM27" s="12">
        <f>SUM(Monthly!AM27,MS:META!AM27)</f>
        <v>916425.90209109324</v>
      </c>
      <c r="AN27" s="12">
        <f>SUM(Monthly!AN27,MS:META!AN27)</f>
        <v>941437.65125557338</v>
      </c>
      <c r="AP27" s="12" cm="1">
        <f t="array" ref="AP27">SUM(_xlfn._xlws.FILTER($E27:$AN27,YEAR($E$25:$AN$25)=AP$25,0))</f>
        <v>2668175.548064</v>
      </c>
      <c r="AQ27" s="12" cm="1">
        <f t="array" ref="AQ27">SUM(_xlfn._xlws.FILTER($E27:$AN27,YEAR($E$25:$AN$25)=AQ$25,0))</f>
        <v>6490927.1741114669</v>
      </c>
      <c r="AR27" s="12" cm="1">
        <f t="array" ref="AR27">SUM(_xlfn._xlws.FILTER($E27:$AN27,YEAR($E$25:$AN$25)=AR$25,0))</f>
        <v>9739007.8979398403</v>
      </c>
    </row>
    <row r="28" spans="2:44" x14ac:dyDescent="0.25">
      <c r="B28" s="39" t="s">
        <v>451</v>
      </c>
      <c r="E28" s="12">
        <f>SUM(Monthly!E28,MS:META!E28)</f>
        <v>595966.96015479986</v>
      </c>
      <c r="F28" s="12">
        <f>SUM(Monthly!F28,MS:META!F28)</f>
        <v>702117.4545995997</v>
      </c>
      <c r="G28" s="12">
        <f>SUM(Monthly!G28,MS:META!G28)</f>
        <v>821668.85465079988</v>
      </c>
      <c r="H28" s="12">
        <f>SUM(Monthly!H28,MS:META!H28)</f>
        <v>945890.00550199975</v>
      </c>
      <c r="I28" s="12">
        <f>SUM(Monthly!I28,MS:META!I28)</f>
        <v>1059767.7389831997</v>
      </c>
      <c r="J28" s="12">
        <f>SUM(Monthly!J28,MS:META!J28)</f>
        <v>1182187.8539327995</v>
      </c>
      <c r="K28" s="12">
        <f>SUM(Monthly!K28,MS:META!K28)</f>
        <v>1256029.5350199998</v>
      </c>
      <c r="L28" s="12">
        <f>SUM(Monthly!L28,MS:META!L28)</f>
        <v>1311992.0182615996</v>
      </c>
      <c r="M28" s="12">
        <f>SUM(Monthly!M28,MS:META!M28)</f>
        <v>1376376.2982111995</v>
      </c>
      <c r="N28" s="12">
        <f>SUM(Monthly!N28,MS:META!N28)</f>
        <v>1470323.0015083996</v>
      </c>
      <c r="O28" s="12">
        <f>SUM(Monthly!O28,MS:META!O28)</f>
        <v>1576387.0814899998</v>
      </c>
      <c r="P28" s="12">
        <f>SUM(Monthly!P28,MS:META!P28)</f>
        <v>1684244.9000779993</v>
      </c>
      <c r="Q28" s="12">
        <f>SUM(Monthly!Q28,MS:META!Q28)</f>
        <v>1867449.1672293593</v>
      </c>
      <c r="R28" s="12">
        <f>SUM(Monthly!R28,MS:META!R28)</f>
        <v>1986909.7885909993</v>
      </c>
      <c r="S28" s="12">
        <f>SUM(Monthly!S28,MS:META!S28)</f>
        <v>2114673.0357835675</v>
      </c>
      <c r="T28" s="12">
        <f>SUM(Monthly!T28,MS:META!T28)</f>
        <v>2223868.8103303872</v>
      </c>
      <c r="U28" s="12">
        <f>SUM(Monthly!U28,MS:META!U28)</f>
        <v>2318245.3996976037</v>
      </c>
      <c r="V28" s="12">
        <f>SUM(Monthly!V28,MS:META!V28)</f>
        <v>2407663.0126555236</v>
      </c>
      <c r="W28" s="12">
        <f>SUM(Monthly!W28,MS:META!W28)</f>
        <v>2489030.5962302038</v>
      </c>
      <c r="X28" s="12">
        <f>SUM(Monthly!X28,MS:META!X28)</f>
        <v>2576407.8218939835</v>
      </c>
      <c r="Y28" s="12">
        <f>SUM(Monthly!Y28,MS:META!Y28)</f>
        <v>2649522.641201904</v>
      </c>
      <c r="Z28" s="12">
        <f>SUM(Monthly!Z28,MS:META!Z28)</f>
        <v>2729158.577969823</v>
      </c>
      <c r="AA28" s="12">
        <f>SUM(Monthly!AA28,MS:META!AA28)</f>
        <v>2807922.4710366428</v>
      </c>
      <c r="AB28" s="12">
        <f>SUM(Monthly!AB28,MS:META!AB28)</f>
        <v>2885351.4728570995</v>
      </c>
      <c r="AC28" s="12">
        <f>SUM(Monthly!AC28,MS:META!AC28)</f>
        <v>2978777.4859429072</v>
      </c>
      <c r="AD28" s="12">
        <f>SUM(Monthly!AD28,MS:META!AD28)</f>
        <v>3068942.9402987147</v>
      </c>
      <c r="AE28" s="12">
        <f>SUM(Monthly!AE28,MS:META!AE28)</f>
        <v>3157405.0525938426</v>
      </c>
      <c r="AF28" s="12">
        <f>SUM(Monthly!AF28,MS:META!AF28)</f>
        <v>3243958.4961120989</v>
      </c>
      <c r="AG28" s="12">
        <f>SUM(Monthly!AG28,MS:META!AG28)</f>
        <v>3324771.8926957073</v>
      </c>
      <c r="AH28" s="12">
        <f>SUM(Monthly!AH28,MS:META!AH28)</f>
        <v>3417798.1921183863</v>
      </c>
      <c r="AI28" s="12">
        <f>SUM(Monthly!AI28,MS:META!AI28)</f>
        <v>3499915.2170995465</v>
      </c>
      <c r="AJ28" s="12">
        <f>SUM(Monthly!AJ28,MS:META!AJ28)</f>
        <v>3587772.2890153546</v>
      </c>
      <c r="AK28" s="12">
        <f>SUM(Monthly!AK28,MS:META!AK28)</f>
        <v>3670637.1553944028</v>
      </c>
      <c r="AL28" s="12">
        <f>SUM(Monthly!AL28,MS:META!AL28)</f>
        <v>3749276.8461580109</v>
      </c>
      <c r="AM28" s="12">
        <f>SUM(Monthly!AM28,MS:META!AM28)</f>
        <v>3830090.2427416192</v>
      </c>
      <c r="AN28" s="12">
        <f>SUM(Monthly!AN28,MS:META!AN28)</f>
        <v>3905775.1571598751</v>
      </c>
      <c r="AP28" s="12" cm="1">
        <f t="array" ref="AP28">SUM(_xlfn._xlws.FILTER($E28:$AN28,YEAR($E$25:$AN$25)=AP$25,0))</f>
        <v>13982951.702392396</v>
      </c>
      <c r="AQ28" s="12" cm="1">
        <f t="array" ref="AQ28">SUM(_xlfn._xlws.FILTER($E28:$AN28,YEAR($E$25:$AN$25)=AQ$25,0))</f>
        <v>29056202.7954771</v>
      </c>
      <c r="AR28" s="12" cm="1">
        <f t="array" ref="AR28">SUM(_xlfn._xlws.FILTER($E28:$AN28,YEAR($E$25:$AN$25)=AR$25,0))</f>
        <v>41435120.967330463</v>
      </c>
    </row>
    <row r="29" spans="2:44" x14ac:dyDescent="0.25">
      <c r="B29" s="39" t="s">
        <v>453</v>
      </c>
      <c r="E29" s="12">
        <f>SUM(Monthly!E29,MS:META!E29)</f>
        <v>51393.207311999991</v>
      </c>
      <c r="F29" s="12">
        <f>SUM(Monthly!F29,MS:META!F29)</f>
        <v>65568.257287999993</v>
      </c>
      <c r="G29" s="12">
        <f>SUM(Monthly!G29,MS:META!G29)</f>
        <v>80804.212132000001</v>
      </c>
      <c r="H29" s="12">
        <f>SUM(Monthly!H29,MS:META!H29)</f>
        <v>96593.350395999994</v>
      </c>
      <c r="I29" s="12">
        <f>SUM(Monthly!I29,MS:META!I29)</f>
        <v>111440.54568000001</v>
      </c>
      <c r="J29" s="12">
        <f>SUM(Monthly!J29,MS:META!J29)</f>
        <v>127086.99137999999</v>
      </c>
      <c r="K29" s="12">
        <f>SUM(Monthly!K29,MS:META!K29)</f>
        <v>132790.66716799999</v>
      </c>
      <c r="L29" s="12">
        <f>SUM(Monthly!L29,MS:META!L29)</f>
        <v>137798.266</v>
      </c>
      <c r="M29" s="12">
        <f>SUM(Monthly!M29,MS:META!M29)</f>
        <v>143542.09369999997</v>
      </c>
      <c r="N29" s="12">
        <f>SUM(Monthly!N29,MS:META!N29)</f>
        <v>153147.94899999996</v>
      </c>
      <c r="O29" s="12">
        <f>SUM(Monthly!O29,MS:META!O29)</f>
        <v>163782.624148</v>
      </c>
      <c r="P29" s="12">
        <f>SUM(Monthly!P29,MS:META!P29)</f>
        <v>174589.99101999999</v>
      </c>
      <c r="Q29" s="12">
        <f>SUM(Monthly!Q29,MS:META!Q29)</f>
        <v>194503.56875603992</v>
      </c>
      <c r="R29" s="12">
        <f>SUM(Monthly!R29,MS:META!R29)</f>
        <v>208388.08345683999</v>
      </c>
      <c r="S29" s="12">
        <f>SUM(Monthly!S29,MS:META!S29)</f>
        <v>222841.41159119993</v>
      </c>
      <c r="T29" s="12">
        <f>SUM(Monthly!T29,MS:META!T29)</f>
        <v>234406.43007783999</v>
      </c>
      <c r="U29" s="12">
        <f>SUM(Monthly!U29,MS:META!U29)</f>
        <v>244846.76285220002</v>
      </c>
      <c r="V29" s="12">
        <f>SUM(Monthly!V29,MS:META!V29)</f>
        <v>254873.86050824</v>
      </c>
      <c r="W29" s="12">
        <f>SUM(Monthly!W29,MS:META!W29)</f>
        <v>262736.82280763995</v>
      </c>
      <c r="X29" s="12">
        <f>SUM(Monthly!X29,MS:META!X29)</f>
        <v>270969.43670235999</v>
      </c>
      <c r="Y29" s="12">
        <f>SUM(Monthly!Y29,MS:META!Y29)</f>
        <v>277986.78783840005</v>
      </c>
      <c r="Z29" s="12">
        <f>SUM(Monthly!Z29,MS:META!Z29)</f>
        <v>286007.38781444001</v>
      </c>
      <c r="AA29" s="12">
        <f>SUM(Monthly!AA29,MS:META!AA29)</f>
        <v>293893.82722107996</v>
      </c>
      <c r="AB29" s="12">
        <f>SUM(Monthly!AB29,MS:META!AB29)</f>
        <v>301560.86999039998</v>
      </c>
      <c r="AC29" s="12">
        <f>SUM(Monthly!AC29,MS:META!AC29)</f>
        <v>312158.84044139995</v>
      </c>
      <c r="AD29" s="12">
        <f>SUM(Monthly!AD29,MS:META!AD29)</f>
        <v>322255.18647239998</v>
      </c>
      <c r="AE29" s="12">
        <f>SUM(Monthly!AE29,MS:META!AE29)</f>
        <v>332328.14447056007</v>
      </c>
      <c r="AF29" s="12">
        <f>SUM(Monthly!AF29,MS:META!AF29)</f>
        <v>341900.57192107994</v>
      </c>
      <c r="AG29" s="12">
        <f>SUM(Monthly!AG29,MS:META!AG29)</f>
        <v>351059.76425327995</v>
      </c>
      <c r="AH29" s="12">
        <f>SUM(Monthly!AH29,MS:META!AH29)</f>
        <v>361164.71525859996</v>
      </c>
      <c r="AI29" s="12">
        <f>SUM(Monthly!AI29,MS:META!AI29)</f>
        <v>368851.02733796003</v>
      </c>
      <c r="AJ29" s="12">
        <f>SUM(Monthly!AJ29,MS:META!AJ29)</f>
        <v>376950.57453564001</v>
      </c>
      <c r="AK29" s="12">
        <f>SUM(Monthly!AK29,MS:META!AK29)</f>
        <v>384706.13498995994</v>
      </c>
      <c r="AL29" s="12">
        <f>SUM(Monthly!AL29,MS:META!AL29)</f>
        <v>392527.66220215999</v>
      </c>
      <c r="AM29" s="12">
        <f>SUM(Monthly!AM29,MS:META!AM29)</f>
        <v>400181.98127435998</v>
      </c>
      <c r="AN29" s="12">
        <f>SUM(Monthly!AN29,MS:META!AN29)</f>
        <v>407079.07848487992</v>
      </c>
      <c r="AP29" s="12" cm="1">
        <f t="array" ref="AP29">SUM(_xlfn._xlws.FILTER($E29:$AN29,YEAR($E$25:$AN$25)=AP$25,0))</f>
        <v>1438538.1552239999</v>
      </c>
      <c r="AQ29" s="12" cm="1">
        <f t="array" ref="AQ29">SUM(_xlfn._xlws.FILTER($E29:$AN29,YEAR($E$25:$AN$25)=AQ$25,0))</f>
        <v>3053015.2496166797</v>
      </c>
      <c r="AR29" s="12" cm="1">
        <f t="array" ref="AR29">SUM(_xlfn._xlws.FILTER($E29:$AN29,YEAR($E$25:$AN$25)=AR$25,0))</f>
        <v>4351163.68164228</v>
      </c>
    </row>
    <row r="30" spans="2:44" x14ac:dyDescent="0.25">
      <c r="B30" s="39" t="s">
        <v>452</v>
      </c>
      <c r="E30" s="12">
        <f>SUM(Monthly!E30,MS:META!E30)</f>
        <v>87405.998762666655</v>
      </c>
      <c r="F30" s="12">
        <f>SUM(Monthly!F30,MS:META!F30)</f>
        <v>106323.49224533331</v>
      </c>
      <c r="G30" s="12">
        <f>SUM(Monthly!G30,MS:META!G30)</f>
        <v>126712.726432</v>
      </c>
      <c r="H30" s="12">
        <f>SUM(Monthly!H30,MS:META!H30)</f>
        <v>147651.13067733333</v>
      </c>
      <c r="I30" s="12">
        <f>SUM(Monthly!I30,MS:META!I30)</f>
        <v>167343.22376533336</v>
      </c>
      <c r="J30" s="12">
        <f>SUM(Monthly!J30,MS:META!J30)</f>
        <v>188310.60257066664</v>
      </c>
      <c r="K30" s="12">
        <f>SUM(Monthly!K30,MS:META!K30)</f>
        <v>197066.27643733332</v>
      </c>
      <c r="L30" s="12">
        <f>SUM(Monthly!L30,MS:META!L30)</f>
        <v>204064.92787199997</v>
      </c>
      <c r="M30" s="12">
        <f>SUM(Monthly!M30,MS:META!M30)</f>
        <v>212111.69334399997</v>
      </c>
      <c r="N30" s="12">
        <f>SUM(Monthly!N30,MS:META!N30)</f>
        <v>225375.88294399998</v>
      </c>
      <c r="O30" s="12">
        <f>SUM(Monthly!O30,MS:META!O30)</f>
        <v>240098.77707733333</v>
      </c>
      <c r="P30" s="12">
        <f>SUM(Monthly!P30,MS:META!P30)</f>
        <v>255177.04986666667</v>
      </c>
      <c r="Q30" s="12">
        <f>SUM(Monthly!Q30,MS:META!Q30)</f>
        <v>282734.87471903994</v>
      </c>
      <c r="R30" s="12">
        <f>SUM(Monthly!R30,MS:META!R30)</f>
        <v>301520.64605685335</v>
      </c>
      <c r="S30" s="12">
        <f>SUM(Monthly!S30,MS:META!S30)</f>
        <v>321071.14409727993</v>
      </c>
      <c r="T30" s="12">
        <f>SUM(Monthly!T30,MS:META!T30)</f>
        <v>336879.08233621327</v>
      </c>
      <c r="U30" s="12">
        <f>SUM(Monthly!U30,MS:META!U30)</f>
        <v>351193.55477663991</v>
      </c>
      <c r="V30" s="12">
        <f>SUM(Monthly!V30,MS:META!V30)</f>
        <v>365012.67750762659</v>
      </c>
      <c r="W30" s="12">
        <f>SUM(Monthly!W30,MS:META!W30)</f>
        <v>376095.75895306666</v>
      </c>
      <c r="X30" s="12">
        <f>SUM(Monthly!X30,MS:META!X30)</f>
        <v>387735.94784224004</v>
      </c>
      <c r="Y30" s="12">
        <f>SUM(Monthly!Y30,MS:META!Y30)</f>
        <v>397592.41541674657</v>
      </c>
      <c r="Z30" s="12">
        <f>SUM(Monthly!Z30,MS:META!Z30)</f>
        <v>408757.88939125329</v>
      </c>
      <c r="AA30" s="12">
        <f>SUM(Monthly!AA30,MS:META!AA30)</f>
        <v>419730.50154037331</v>
      </c>
      <c r="AB30" s="12">
        <f>SUM(Monthly!AB30,MS:META!AB30)</f>
        <v>430259.36155263998</v>
      </c>
      <c r="AC30" s="12">
        <f>SUM(Monthly!AC30,MS:META!AC30)</f>
        <v>444656.22652213334</v>
      </c>
      <c r="AD30" s="12">
        <f>SUM(Monthly!AD30,MS:META!AD30)</f>
        <v>458398.58829162654</v>
      </c>
      <c r="AE30" s="12">
        <f>SUM(Monthly!AE30,MS:META!AE30)</f>
        <v>471984.67535189335</v>
      </c>
      <c r="AF30" s="12">
        <f>SUM(Monthly!AF30,MS:META!AF30)</f>
        <v>484963.99224672001</v>
      </c>
      <c r="AG30" s="12">
        <f>SUM(Monthly!AG30,MS:META!AG30)</f>
        <v>497447.95943210664</v>
      </c>
      <c r="AH30" s="12">
        <f>SUM(Monthly!AH30,MS:META!AH30)</f>
        <v>511477.66333941335</v>
      </c>
      <c r="AI30" s="12">
        <f>SUM(Monthly!AI30,MS:META!AI30)</f>
        <v>522441.73777183995</v>
      </c>
      <c r="AJ30" s="12">
        <f>SUM(Monthly!AJ30,MS:META!AJ30)</f>
        <v>533901.16191370669</v>
      </c>
      <c r="AK30" s="12">
        <f>SUM(Monthly!AK30,MS:META!AK30)</f>
        <v>544824.11134111998</v>
      </c>
      <c r="AL30" s="12">
        <f>SUM(Monthly!AL30,MS:META!AL30)</f>
        <v>555562.73665983998</v>
      </c>
      <c r="AM30" s="12">
        <f>SUM(Monthly!AM30,MS:META!AM30)</f>
        <v>566083.19424522668</v>
      </c>
      <c r="AN30" s="12">
        <f>SUM(Monthly!AN30,MS:META!AN30)</f>
        <v>575571.82740672014</v>
      </c>
      <c r="AP30" s="12" cm="1">
        <f t="array" ref="AP30">SUM(_xlfn._xlws.FILTER($E30:$AN30,YEAR($E$25:$AN$25)=AP$25,0))</f>
        <v>2157641.7819946664</v>
      </c>
      <c r="AQ30" s="12" cm="1">
        <f t="array" ref="AQ30">SUM(_xlfn._xlws.FILTER($E30:$AN30,YEAR($E$25:$AN$25)=AQ$25,0))</f>
        <v>4378583.8541899724</v>
      </c>
      <c r="AR30" s="12" cm="1">
        <f t="array" ref="AR30">SUM(_xlfn._xlws.FILTER($E30:$AN30,YEAR($E$25:$AN$25)=AR$25,0))</f>
        <v>6167313.8745223461</v>
      </c>
    </row>
    <row r="31" spans="2:44" x14ac:dyDescent="0.25">
      <c r="B31" s="39" t="s">
        <v>473</v>
      </c>
      <c r="E31" s="12">
        <f>SUM(Monthly!E31,MS:META!E31)</f>
        <v>0</v>
      </c>
      <c r="F31" s="12">
        <f>SUM(Monthly!F31,MS:META!F31)</f>
        <v>0</v>
      </c>
      <c r="G31" s="12">
        <f>SUM(Monthly!G31,MS:META!G31)</f>
        <v>0</v>
      </c>
      <c r="H31" s="12">
        <f>SUM(Monthly!H31,MS:META!H31)</f>
        <v>0</v>
      </c>
      <c r="I31" s="12">
        <f>SUM(Monthly!I31,MS:META!I31)</f>
        <v>0</v>
      </c>
      <c r="J31" s="12">
        <f>SUM(Monthly!J31,MS:META!J31)</f>
        <v>0</v>
      </c>
      <c r="K31" s="12">
        <f>SUM(Monthly!K31,MS:META!K31)</f>
        <v>0</v>
      </c>
      <c r="L31" s="12">
        <f>SUM(Monthly!L31,MS:META!L31)</f>
        <v>0</v>
      </c>
      <c r="M31" s="12">
        <f>SUM(Monthly!M31,MS:META!M31)</f>
        <v>0</v>
      </c>
      <c r="N31" s="12">
        <f>SUM(Monthly!N31,MS:META!N31)</f>
        <v>0</v>
      </c>
      <c r="O31" s="12">
        <f>SUM(Monthly!O31,MS:META!O31)</f>
        <v>0</v>
      </c>
      <c r="P31" s="12">
        <f>SUM(Monthly!P31,MS:META!P31)</f>
        <v>0</v>
      </c>
      <c r="Q31" s="12">
        <f>SUM(Monthly!Q31,MS:META!Q31)</f>
        <v>0</v>
      </c>
      <c r="R31" s="12">
        <f>SUM(Monthly!R31,MS:META!R31)</f>
        <v>0</v>
      </c>
      <c r="S31" s="12">
        <f>SUM(Monthly!S31,MS:META!S31)</f>
        <v>0</v>
      </c>
      <c r="T31" s="12">
        <f>SUM(Monthly!T31,MS:META!T31)</f>
        <v>0</v>
      </c>
      <c r="U31" s="12">
        <f>SUM(Monthly!U31,MS:META!U31)</f>
        <v>0</v>
      </c>
      <c r="V31" s="12">
        <f>SUM(Monthly!V31,MS:META!V31)</f>
        <v>0</v>
      </c>
      <c r="W31" s="12">
        <f>SUM(Monthly!W31,MS:META!W31)</f>
        <v>0</v>
      </c>
      <c r="X31" s="12">
        <f>SUM(Monthly!X31,MS:META!X31)</f>
        <v>0</v>
      </c>
      <c r="Y31" s="12">
        <f>SUM(Monthly!Y31,MS:META!Y31)</f>
        <v>0</v>
      </c>
      <c r="Z31" s="12">
        <f>SUM(Monthly!Z31,MS:META!Z31)</f>
        <v>0</v>
      </c>
      <c r="AA31" s="12">
        <f>SUM(Monthly!AA31,MS:META!AA31)</f>
        <v>0</v>
      </c>
      <c r="AB31" s="12">
        <f>SUM(Monthly!AB31,MS:META!AB31)</f>
        <v>0</v>
      </c>
      <c r="AC31" s="12">
        <f>SUM(Monthly!AC31,MS:META!AC31)</f>
        <v>0</v>
      </c>
      <c r="AD31" s="12">
        <f>SUM(Monthly!AD31,MS:META!AD31)</f>
        <v>0</v>
      </c>
      <c r="AE31" s="12">
        <f>SUM(Monthly!AE31,MS:META!AE31)</f>
        <v>0</v>
      </c>
      <c r="AF31" s="12">
        <f>SUM(Monthly!AF31,MS:META!AF31)</f>
        <v>0</v>
      </c>
      <c r="AG31" s="12">
        <f>SUM(Monthly!AG31,MS:META!AG31)</f>
        <v>0</v>
      </c>
      <c r="AH31" s="12">
        <f>SUM(Monthly!AH31,MS:META!AH31)</f>
        <v>0</v>
      </c>
      <c r="AI31" s="12">
        <f>SUM(Monthly!AI31,MS:META!AI31)</f>
        <v>0</v>
      </c>
      <c r="AJ31" s="12">
        <f>SUM(Monthly!AJ31,MS:META!AJ31)</f>
        <v>0</v>
      </c>
      <c r="AK31" s="12">
        <f>SUM(Monthly!AK31,MS:META!AK31)</f>
        <v>0</v>
      </c>
      <c r="AL31" s="12">
        <f>SUM(Monthly!AL31,MS:META!AL31)</f>
        <v>0</v>
      </c>
      <c r="AM31" s="12">
        <f>SUM(Monthly!AM31,MS:META!AM31)</f>
        <v>0</v>
      </c>
      <c r="AN31" s="12">
        <f>SUM(Monthly!AN31,MS:META!AN31)</f>
        <v>0</v>
      </c>
      <c r="AP31" s="12" cm="1">
        <f t="array" ref="AP31">SUM(_xlfn._xlws.FILTER($E31:$AN31,YEAR($E$25:$AN$25)=AP$25,0))</f>
        <v>0</v>
      </c>
      <c r="AQ31" s="12" cm="1">
        <f t="array" ref="AQ31">SUM(_xlfn._xlws.FILTER($E31:$AN31,YEAR($E$25:$AN$25)=AQ$25,0))</f>
        <v>0</v>
      </c>
      <c r="AR31" s="12" cm="1">
        <f t="array" ref="AR31">SUM(_xlfn._xlws.FILTER($E31:$AN31,YEAR($E$25:$AN$25)=AR$25,0))</f>
        <v>0</v>
      </c>
    </row>
    <row r="32" spans="2:44" x14ac:dyDescent="0.25">
      <c r="B32" s="39" t="s">
        <v>474</v>
      </c>
      <c r="E32" s="12">
        <f>SUM(Monthly!E32,MS:META!E32)</f>
        <v>0</v>
      </c>
      <c r="F32" s="12">
        <f>SUM(Monthly!F32,MS:META!F32)</f>
        <v>0</v>
      </c>
      <c r="G32" s="12">
        <f>SUM(Monthly!G32,MS:META!G32)</f>
        <v>0</v>
      </c>
      <c r="H32" s="12">
        <f>SUM(Monthly!H32,MS:META!H32)</f>
        <v>0</v>
      </c>
      <c r="I32" s="12">
        <f>SUM(Monthly!I32,MS:META!I32)</f>
        <v>0</v>
      </c>
      <c r="J32" s="12">
        <f>SUM(Monthly!J32,MS:META!J32)</f>
        <v>0</v>
      </c>
      <c r="K32" s="12">
        <f>SUM(Monthly!K32,MS:META!K32)</f>
        <v>0</v>
      </c>
      <c r="L32" s="12">
        <f>SUM(Monthly!L32,MS:META!L32)</f>
        <v>0</v>
      </c>
      <c r="M32" s="12">
        <f>SUM(Monthly!M32,MS:META!M32)</f>
        <v>0</v>
      </c>
      <c r="N32" s="12">
        <f>SUM(Monthly!N32,MS:META!N32)</f>
        <v>0</v>
      </c>
      <c r="O32" s="12">
        <f>SUM(Monthly!O32,MS:META!O32)</f>
        <v>0</v>
      </c>
      <c r="P32" s="12">
        <f>SUM(Monthly!P32,MS:META!P32)</f>
        <v>0</v>
      </c>
      <c r="Q32" s="12">
        <f>SUM(Monthly!Q32,MS:META!Q32)</f>
        <v>0</v>
      </c>
      <c r="R32" s="12">
        <f>SUM(Monthly!R32,MS:META!R32)</f>
        <v>0</v>
      </c>
      <c r="S32" s="12">
        <f>SUM(Monthly!S32,MS:META!S32)</f>
        <v>0</v>
      </c>
      <c r="T32" s="12">
        <f>SUM(Monthly!T32,MS:META!T32)</f>
        <v>0</v>
      </c>
      <c r="U32" s="12">
        <f>SUM(Monthly!U32,MS:META!U32)</f>
        <v>0</v>
      </c>
      <c r="V32" s="12">
        <f>SUM(Monthly!V32,MS:META!V32)</f>
        <v>0</v>
      </c>
      <c r="W32" s="12">
        <f>SUM(Monthly!W32,MS:META!W32)</f>
        <v>0</v>
      </c>
      <c r="X32" s="12">
        <f>SUM(Monthly!X32,MS:META!X32)</f>
        <v>0</v>
      </c>
      <c r="Y32" s="12">
        <f>SUM(Monthly!Y32,MS:META!Y32)</f>
        <v>0</v>
      </c>
      <c r="Z32" s="12">
        <f>SUM(Monthly!Z32,MS:META!Z32)</f>
        <v>0</v>
      </c>
      <c r="AA32" s="12">
        <f>SUM(Monthly!AA32,MS:META!AA32)</f>
        <v>0</v>
      </c>
      <c r="AB32" s="12">
        <f>SUM(Monthly!AB32,MS:META!AB32)</f>
        <v>0</v>
      </c>
      <c r="AC32" s="12">
        <f>SUM(Monthly!AC32,MS:META!AC32)</f>
        <v>0</v>
      </c>
      <c r="AD32" s="12">
        <f>SUM(Monthly!AD32,MS:META!AD32)</f>
        <v>0</v>
      </c>
      <c r="AE32" s="12">
        <f>SUM(Monthly!AE32,MS:META!AE32)</f>
        <v>0</v>
      </c>
      <c r="AF32" s="12">
        <f>SUM(Monthly!AF32,MS:META!AF32)</f>
        <v>0</v>
      </c>
      <c r="AG32" s="12">
        <f>SUM(Monthly!AG32,MS:META!AG32)</f>
        <v>0</v>
      </c>
      <c r="AH32" s="12">
        <f>SUM(Monthly!AH32,MS:META!AH32)</f>
        <v>0</v>
      </c>
      <c r="AI32" s="12">
        <f>SUM(Monthly!AI32,MS:META!AI32)</f>
        <v>0</v>
      </c>
      <c r="AJ32" s="12">
        <f>SUM(Monthly!AJ32,MS:META!AJ32)</f>
        <v>0</v>
      </c>
      <c r="AK32" s="12">
        <f>SUM(Monthly!AK32,MS:META!AK32)</f>
        <v>0</v>
      </c>
      <c r="AL32" s="12">
        <f>SUM(Monthly!AL32,MS:META!AL32)</f>
        <v>0</v>
      </c>
      <c r="AM32" s="12">
        <f>SUM(Monthly!AM32,MS:META!AM32)</f>
        <v>0</v>
      </c>
      <c r="AN32" s="12">
        <f>SUM(Monthly!AN32,MS:META!AN32)</f>
        <v>0</v>
      </c>
      <c r="AP32" s="12" cm="1">
        <f t="array" ref="AP32">SUM(_xlfn._xlws.FILTER($E32:$AN32,YEAR($E$25:$AN$25)=AP$25,0))</f>
        <v>0</v>
      </c>
      <c r="AQ32" s="12" cm="1">
        <f t="array" ref="AQ32">SUM(_xlfn._xlws.FILTER($E32:$AN32,YEAR($E$25:$AN$25)=AQ$25,0))</f>
        <v>0</v>
      </c>
      <c r="AR32" s="12" cm="1">
        <f t="array" ref="AR32">SUM(_xlfn._xlws.FILTER($E32:$AN32,YEAR($E$25:$AN$25)=AR$25,0))</f>
        <v>0</v>
      </c>
    </row>
    <row r="33" spans="2:44" x14ac:dyDescent="0.25">
      <c r="B33" s="39" t="s">
        <v>475</v>
      </c>
      <c r="E33" s="12">
        <f>SUM(Monthly!E33,MS:META!E33)</f>
        <v>151666.41186666666</v>
      </c>
      <c r="F33" s="12">
        <f>SUM(Monthly!F33,MS:META!F33)</f>
        <v>151666.41186666666</v>
      </c>
      <c r="G33" s="12">
        <f>SUM(Monthly!G33,MS:META!G33)</f>
        <v>203489.3952</v>
      </c>
      <c r="H33" s="12">
        <f>SUM(Monthly!H33,MS:META!H33)</f>
        <v>229400.88686666667</v>
      </c>
      <c r="I33" s="12">
        <f>SUM(Monthly!I33,MS:META!I33)</f>
        <v>229400.88686666667</v>
      </c>
      <c r="J33" s="12">
        <f>SUM(Monthly!J33,MS:META!J33)</f>
        <v>253162.47320000001</v>
      </c>
      <c r="K33" s="12">
        <f>SUM(Monthly!K33,MS:META!K33)</f>
        <v>303707.06123333331</v>
      </c>
      <c r="L33" s="12">
        <f>SUM(Monthly!L33,MS:META!L33)</f>
        <v>303707.06123333331</v>
      </c>
      <c r="M33" s="12">
        <f>SUM(Monthly!M33,MS:META!M33)</f>
        <v>329618.55290000001</v>
      </c>
      <c r="N33" s="12">
        <f>SUM(Monthly!N33,MS:META!N33)</f>
        <v>329618.55290000001</v>
      </c>
      <c r="O33" s="12">
        <f>SUM(Monthly!O33,MS:META!O33)</f>
        <v>355530.04456666665</v>
      </c>
      <c r="P33" s="12">
        <f>SUM(Monthly!P33,MS:META!P33)</f>
        <v>355530.04456666665</v>
      </c>
      <c r="Q33" s="12">
        <f>SUM(Monthly!Q33,MS:META!Q33)</f>
        <v>366195.94590366667</v>
      </c>
      <c r="R33" s="12">
        <f>SUM(Monthly!R33,MS:META!R33)</f>
        <v>366195.94590366667</v>
      </c>
      <c r="S33" s="12">
        <f>SUM(Monthly!S33,MS:META!S33)</f>
        <v>392884.78232033335</v>
      </c>
      <c r="T33" s="12">
        <f>SUM(Monthly!T33,MS:META!T33)</f>
        <v>392884.78232033335</v>
      </c>
      <c r="U33" s="12">
        <f>SUM(Monthly!U33,MS:META!U33)</f>
        <v>392884.78232033335</v>
      </c>
      <c r="V33" s="12">
        <f>SUM(Monthly!V33,MS:META!V33)</f>
        <v>392884.78232033335</v>
      </c>
      <c r="W33" s="12">
        <f>SUM(Monthly!W33,MS:META!W33)</f>
        <v>444048.0526603334</v>
      </c>
      <c r="X33" s="12">
        <f>SUM(Monthly!X33,MS:META!X33)</f>
        <v>496574.61960166675</v>
      </c>
      <c r="Y33" s="12">
        <f>SUM(Monthly!Y33,MS:META!Y33)</f>
        <v>496574.61960166675</v>
      </c>
      <c r="Z33" s="12">
        <f>SUM(Monthly!Z33,MS:META!Z33)</f>
        <v>496574.61960166675</v>
      </c>
      <c r="AA33" s="12">
        <f>SUM(Monthly!AA33,MS:META!AA33)</f>
        <v>523263.45601833344</v>
      </c>
      <c r="AB33" s="12">
        <f>SUM(Monthly!AB33,MS:META!AB33)</f>
        <v>549952.29243500007</v>
      </c>
      <c r="AC33" s="12">
        <f>SUM(Monthly!AC33,MS:META!AC33)</f>
        <v>549952.29243500007</v>
      </c>
      <c r="AD33" s="12">
        <f>SUM(Monthly!AD33,MS:META!AD33)</f>
        <v>549952.29243500007</v>
      </c>
      <c r="AE33" s="12">
        <f>SUM(Monthly!AE33,MS:META!AE33)</f>
        <v>549952.29243500007</v>
      </c>
      <c r="AF33" s="12">
        <f>SUM(Monthly!AF33,MS:META!AF33)</f>
        <v>549952.29243500007</v>
      </c>
      <c r="AG33" s="12">
        <f>SUM(Monthly!AG33,MS:META!AG33)</f>
        <v>549952.29243500007</v>
      </c>
      <c r="AH33" s="12">
        <f>SUM(Monthly!AH33,MS:META!AH33)</f>
        <v>600264.45688299998</v>
      </c>
      <c r="AI33" s="12">
        <f>SUM(Monthly!AI33,MS:META!AI33)</f>
        <v>626953.29329966661</v>
      </c>
      <c r="AJ33" s="12">
        <f>SUM(Monthly!AJ33,MS:META!AJ33)</f>
        <v>653642.12971633323</v>
      </c>
      <c r="AK33" s="12">
        <f>SUM(Monthly!AK33,MS:META!AK33)</f>
        <v>680330.96613299986</v>
      </c>
      <c r="AL33" s="12">
        <f>SUM(Monthly!AL33,MS:META!AL33)</f>
        <v>707019.80254966649</v>
      </c>
      <c r="AM33" s="12">
        <f>SUM(Monthly!AM33,MS:META!AM33)</f>
        <v>733708.63896633312</v>
      </c>
      <c r="AN33" s="12">
        <f>SUM(Monthly!AN33,MS:META!AN33)</f>
        <v>733708.63896633312</v>
      </c>
      <c r="AP33" s="12" cm="1">
        <f t="array" ref="AP33">SUM(_xlfn._xlws.FILTER($E33:$AN33,YEAR($E$25:$AN$25)=AP$25,0))</f>
        <v>3196497.7832666668</v>
      </c>
      <c r="AQ33" s="12" cm="1">
        <f t="array" ref="AQ33">SUM(_xlfn._xlws.FILTER($E33:$AN33,YEAR($E$25:$AN$25)=AQ$25,0))</f>
        <v>5310918.681007334</v>
      </c>
      <c r="AR33" s="12" cm="1">
        <f t="array" ref="AR33">SUM(_xlfn._xlws.FILTER($E33:$AN33,YEAR($E$25:$AN$25)=AR$25,0))</f>
        <v>7485389.3886893326</v>
      </c>
    </row>
    <row r="34" spans="2:44" x14ac:dyDescent="0.25">
      <c r="B34" s="39" t="s">
        <v>476</v>
      </c>
      <c r="E34" s="12">
        <f>SUM(Monthly!E34,MS:META!E34)</f>
        <v>0</v>
      </c>
      <c r="F34" s="12">
        <f>SUM(Monthly!F34,MS:META!F34)</f>
        <v>0</v>
      </c>
      <c r="G34" s="12">
        <f>SUM(Monthly!G34,MS:META!G34)</f>
        <v>0</v>
      </c>
      <c r="H34" s="12">
        <f>SUM(Monthly!H34,MS:META!H34)</f>
        <v>0</v>
      </c>
      <c r="I34" s="12">
        <f>SUM(Monthly!I34,MS:META!I34)</f>
        <v>0</v>
      </c>
      <c r="J34" s="12">
        <f>SUM(Monthly!J34,MS:META!J34)</f>
        <v>0</v>
      </c>
      <c r="K34" s="12">
        <f>SUM(Monthly!K34,MS:META!K34)</f>
        <v>0</v>
      </c>
      <c r="L34" s="12">
        <f>SUM(Monthly!L34,MS:META!L34)</f>
        <v>0</v>
      </c>
      <c r="M34" s="12">
        <f>SUM(Monthly!M34,MS:META!M34)</f>
        <v>0</v>
      </c>
      <c r="N34" s="12">
        <f>SUM(Monthly!N34,MS:META!N34)</f>
        <v>0</v>
      </c>
      <c r="O34" s="12">
        <f>SUM(Monthly!O34,MS:META!O34)</f>
        <v>0</v>
      </c>
      <c r="P34" s="12">
        <f>SUM(Monthly!P34,MS:META!P34)</f>
        <v>0</v>
      </c>
      <c r="Q34" s="12">
        <f>SUM(Monthly!Q34,MS:META!Q34)</f>
        <v>0</v>
      </c>
      <c r="R34" s="12">
        <f>SUM(Monthly!R34,MS:META!R34)</f>
        <v>0</v>
      </c>
      <c r="S34" s="12">
        <f>SUM(Monthly!S34,MS:META!S34)</f>
        <v>0</v>
      </c>
      <c r="T34" s="12">
        <f>SUM(Monthly!T34,MS:META!T34)</f>
        <v>0</v>
      </c>
      <c r="U34" s="12">
        <f>SUM(Monthly!U34,MS:META!U34)</f>
        <v>0</v>
      </c>
      <c r="V34" s="12">
        <f>SUM(Monthly!V34,MS:META!V34)</f>
        <v>0</v>
      </c>
      <c r="W34" s="12">
        <f>SUM(Monthly!W34,MS:META!W34)</f>
        <v>0</v>
      </c>
      <c r="X34" s="12">
        <f>SUM(Monthly!X34,MS:META!X34)</f>
        <v>0</v>
      </c>
      <c r="Y34" s="12">
        <f>SUM(Monthly!Y34,MS:META!Y34)</f>
        <v>0</v>
      </c>
      <c r="Z34" s="12">
        <f>SUM(Monthly!Z34,MS:META!Z34)</f>
        <v>0</v>
      </c>
      <c r="AA34" s="12">
        <f>SUM(Monthly!AA34,MS:META!AA34)</f>
        <v>0</v>
      </c>
      <c r="AB34" s="12">
        <f>SUM(Monthly!AB34,MS:META!AB34)</f>
        <v>0</v>
      </c>
      <c r="AC34" s="12">
        <f>SUM(Monthly!AC34,MS:META!AC34)</f>
        <v>0</v>
      </c>
      <c r="AD34" s="12">
        <f>SUM(Monthly!AD34,MS:META!AD34)</f>
        <v>0</v>
      </c>
      <c r="AE34" s="12">
        <f>SUM(Monthly!AE34,MS:META!AE34)</f>
        <v>0</v>
      </c>
      <c r="AF34" s="12">
        <f>SUM(Monthly!AF34,MS:META!AF34)</f>
        <v>0</v>
      </c>
      <c r="AG34" s="12">
        <f>SUM(Monthly!AG34,MS:META!AG34)</f>
        <v>0</v>
      </c>
      <c r="AH34" s="12">
        <f>SUM(Monthly!AH34,MS:META!AH34)</f>
        <v>0</v>
      </c>
      <c r="AI34" s="12">
        <f>SUM(Monthly!AI34,MS:META!AI34)</f>
        <v>0</v>
      </c>
      <c r="AJ34" s="12">
        <f>SUM(Monthly!AJ34,MS:META!AJ34)</f>
        <v>0</v>
      </c>
      <c r="AK34" s="12">
        <f>SUM(Monthly!AK34,MS:META!AK34)</f>
        <v>0</v>
      </c>
      <c r="AL34" s="12">
        <f>SUM(Monthly!AL34,MS:META!AL34)</f>
        <v>0</v>
      </c>
      <c r="AM34" s="12">
        <f>SUM(Monthly!AM34,MS:META!AM34)</f>
        <v>0</v>
      </c>
      <c r="AN34" s="12">
        <f>SUM(Monthly!AN34,MS:META!AN34)</f>
        <v>0</v>
      </c>
      <c r="AP34" s="12" cm="1">
        <f t="array" ref="AP34">SUM(_xlfn._xlws.FILTER($E34:$AN34,YEAR($E$25:$AN$25)=AP$25,0))</f>
        <v>0</v>
      </c>
      <c r="AQ34" s="12" cm="1">
        <f t="array" ref="AQ34">SUM(_xlfn._xlws.FILTER($E34:$AN34,YEAR($E$25:$AN$25)=AQ$25,0))</f>
        <v>0</v>
      </c>
      <c r="AR34" s="12" cm="1">
        <f t="array" ref="AR34">SUM(_xlfn._xlws.FILTER($E34:$AN34,YEAR($E$25:$AN$25)=AR$25,0))</f>
        <v>0</v>
      </c>
    </row>
    <row r="35" spans="2:44" x14ac:dyDescent="0.25">
      <c r="B35" s="39" t="s">
        <v>107</v>
      </c>
      <c r="E35" s="12">
        <f>SUM(Monthly!E35,MS:META!E35)</f>
        <v>-488357.38427176001</v>
      </c>
      <c r="F35" s="12">
        <f>SUM(Monthly!F35,MS:META!F35)</f>
        <v>-598069.66776803182</v>
      </c>
      <c r="G35" s="12">
        <f>SUM(Monthly!G35,MS:META!G35)</f>
        <v>-727535.28120728</v>
      </c>
      <c r="H35" s="12">
        <f>SUM(Monthly!H35,MS:META!H35)</f>
        <v>-860080.96971353609</v>
      </c>
      <c r="I35" s="12">
        <f>SUM(Monthly!I35,MS:META!I35)</f>
        <v>-978823.3995329116</v>
      </c>
      <c r="J35" s="12">
        <f>SUM(Monthly!J35,MS:META!J35)</f>
        <v>-1107652.4818434718</v>
      </c>
      <c r="K35" s="12">
        <f>SUM(Monthly!K35,MS:META!K35)</f>
        <v>-1180236.7528253596</v>
      </c>
      <c r="L35" s="12">
        <f>SUM(Monthly!L35,MS:META!L35)</f>
        <v>-1235983.2479166398</v>
      </c>
      <c r="M35" s="12">
        <f>SUM(Monthly!M35,MS:META!M35)</f>
        <v>-1303261.8841071997</v>
      </c>
      <c r="N35" s="12">
        <f>SUM(Monthly!N35,MS:META!N35)</f>
        <v>-1396935.5504833758</v>
      </c>
      <c r="O35" s="12">
        <f>SUM(Monthly!O35,MS:META!O35)</f>
        <v>-1505235.3317410075</v>
      </c>
      <c r="P35" s="12">
        <f>SUM(Monthly!P35,MS:META!P35)</f>
        <v>-1611589.9356892318</v>
      </c>
      <c r="Q35" s="12">
        <f>SUM(Monthly!Q35,MS:META!Q35)</f>
        <v>-1793595.9085572902</v>
      </c>
      <c r="R35" s="12">
        <f>SUM(Monthly!R35,MS:META!R35)</f>
        <v>-1914088.2380351527</v>
      </c>
      <c r="S35" s="12">
        <f>SUM(Monthly!S35,MS:META!S35)</f>
        <v>-2046298.7953455972</v>
      </c>
      <c r="T35" s="12">
        <f>SUM(Monthly!T35,MS:META!T35)</f>
        <v>-2155594.5870840061</v>
      </c>
      <c r="U35" s="12">
        <f>SUM(Monthly!U35,MS:META!U35)</f>
        <v>-2249389.7281726431</v>
      </c>
      <c r="V35" s="12">
        <f>SUM(Monthly!V35,MS:META!V35)</f>
        <v>-2337679.0458269385</v>
      </c>
      <c r="W35" s="12">
        <f>SUM(Monthly!W35,MS:META!W35)</f>
        <v>-2422574.825564757</v>
      </c>
      <c r="X35" s="12">
        <f>SUM(Monthly!X35,MS:META!X35)</f>
        <v>-2513183.9729200206</v>
      </c>
      <c r="Y35" s="12">
        <f>SUM(Monthly!Y35,MS:META!Y35)</f>
        <v>-2584077.0420831386</v>
      </c>
      <c r="Z35" s="12">
        <f>SUM(Monthly!Z35,MS:META!Z35)</f>
        <v>-2661901.0096742562</v>
      </c>
      <c r="AA35" s="12">
        <f>SUM(Monthly!AA35,MS:META!AA35)</f>
        <v>-2742265.5304326876</v>
      </c>
      <c r="AB35" s="12">
        <f>SUM(Monthly!AB35,MS:META!AB35)</f>
        <v>-2822279.5435409802</v>
      </c>
      <c r="AC35" s="12">
        <f>SUM(Monthly!AC35,MS:META!AC35)</f>
        <v>-2915915.2662643236</v>
      </c>
      <c r="AD35" s="12">
        <f>SUM(Monthly!AD35,MS:META!AD35)</f>
        <v>-3006085.5397736658</v>
      </c>
      <c r="AE35" s="12">
        <f>SUM(Monthly!AE35,MS:META!AE35)</f>
        <v>-3095949.9234668887</v>
      </c>
      <c r="AF35" s="12">
        <f>SUM(Monthly!AF35,MS:META!AF35)</f>
        <v>-3183053.2852862086</v>
      </c>
      <c r="AG35" s="12">
        <f>SUM(Monthly!AG35,MS:META!AG35)</f>
        <v>-3263878.0223305793</v>
      </c>
      <c r="AH35" s="12">
        <f>SUM(Monthly!AH35,MS:META!AH35)</f>
        <v>-3360615.408509979</v>
      </c>
      <c r="AI35" s="12">
        <f>SUM(Monthly!AI35,MS:META!AI35)</f>
        <v>-3441883.4472499657</v>
      </c>
      <c r="AJ35" s="12">
        <f>SUM(Monthly!AJ35,MS:META!AJ35)</f>
        <v>-3529430.1107649007</v>
      </c>
      <c r="AK35" s="12">
        <f>SUM(Monthly!AK35,MS:META!AK35)</f>
        <v>-3612583.3816747125</v>
      </c>
      <c r="AL35" s="12">
        <f>SUM(Monthly!AL35,MS:META!AL35)</f>
        <v>-3694171.0274002831</v>
      </c>
      <c r="AM35" s="12">
        <f>SUM(Monthly!AM35,MS:META!AM35)</f>
        <v>-3778004.2464954536</v>
      </c>
      <c r="AN35" s="12">
        <f>SUM(Monthly!AN35,MS:META!AN35)</f>
        <v>-3853426.6587219718</v>
      </c>
      <c r="AP35" s="12" cm="1">
        <f t="array" ref="AP35">SUM(_xlfn._xlws.FILTER($E35:$AN35,YEAR($E$25:$AN$25)=AP$25,0))</f>
        <v>-12993761.887099804</v>
      </c>
      <c r="AQ35" s="12" cm="1">
        <f t="array" ref="AQ35">SUM(_xlfn._xlws.FILTER($E35:$AN35,YEAR($E$25:$AN$25)=AQ$25,0))</f>
        <v>-28242928.227237463</v>
      </c>
      <c r="AR35" s="12" cm="1">
        <f t="array" ref="AR35">SUM(_xlfn._xlws.FILTER($E35:$AN35,YEAR($E$25:$AN$25)=AR$25,0))</f>
        <v>-40734996.317938931</v>
      </c>
    </row>
    <row r="36" spans="2:44" x14ac:dyDescent="0.25">
      <c r="B36" s="39" t="s">
        <v>320</v>
      </c>
      <c r="C36" s="4"/>
      <c r="E36" s="12">
        <f>SUM(Monthly!E36,MS:META!E36)</f>
        <v>0</v>
      </c>
      <c r="F36" s="12">
        <f>SUM(Monthly!F36,MS:META!F36)</f>
        <v>0</v>
      </c>
      <c r="G36" s="12">
        <f>SUM(Monthly!G36,MS:META!G36)</f>
        <v>0</v>
      </c>
      <c r="H36" s="12">
        <f>SUM(Monthly!H36,MS:META!H36)</f>
        <v>0</v>
      </c>
      <c r="I36" s="12">
        <f>SUM(Monthly!I36,MS:META!I36)</f>
        <v>0</v>
      </c>
      <c r="J36" s="12">
        <f>SUM(Monthly!J36,MS:META!J36)</f>
        <v>0</v>
      </c>
      <c r="K36" s="12">
        <f>SUM(Monthly!K36,MS:META!K36)</f>
        <v>0</v>
      </c>
      <c r="L36" s="12">
        <f>SUM(Monthly!L36,MS:META!L36)</f>
        <v>0</v>
      </c>
      <c r="M36" s="12">
        <f>SUM(Monthly!M36,MS:META!M36)</f>
        <v>0</v>
      </c>
      <c r="N36" s="12">
        <f>SUM(Monthly!N36,MS:META!N36)</f>
        <v>0</v>
      </c>
      <c r="O36" s="12">
        <f>SUM(Monthly!O36,MS:META!O36)</f>
        <v>0</v>
      </c>
      <c r="P36" s="12">
        <f>SUM(Monthly!P36,MS:META!P36)</f>
        <v>0</v>
      </c>
      <c r="Q36" s="12">
        <f>SUM(Monthly!Q36,MS:META!Q36)</f>
        <v>0</v>
      </c>
      <c r="R36" s="12">
        <f>SUM(Monthly!R36,MS:META!R36)</f>
        <v>0</v>
      </c>
      <c r="S36" s="12">
        <f>SUM(Monthly!S36,MS:META!S36)</f>
        <v>0</v>
      </c>
      <c r="T36" s="12">
        <f>SUM(Monthly!T36,MS:META!T36)</f>
        <v>0</v>
      </c>
      <c r="U36" s="12">
        <f>SUM(Monthly!U36,MS:META!U36)</f>
        <v>0</v>
      </c>
      <c r="V36" s="12">
        <f>SUM(Monthly!V36,MS:META!V36)</f>
        <v>0</v>
      </c>
      <c r="W36" s="12">
        <f>SUM(Monthly!W36,MS:META!W36)</f>
        <v>0</v>
      </c>
      <c r="X36" s="12">
        <f>SUM(Monthly!X36,MS:META!X36)</f>
        <v>0</v>
      </c>
      <c r="Y36" s="12">
        <f>SUM(Monthly!Y36,MS:META!Y36)</f>
        <v>0</v>
      </c>
      <c r="Z36" s="12">
        <f>SUM(Monthly!Z36,MS:META!Z36)</f>
        <v>0</v>
      </c>
      <c r="AA36" s="12">
        <f>SUM(Monthly!AA36,MS:META!AA36)</f>
        <v>0</v>
      </c>
      <c r="AB36" s="12">
        <f>SUM(Monthly!AB36,MS:META!AB36)</f>
        <v>0</v>
      </c>
      <c r="AC36" s="12">
        <f>SUM(Monthly!AC36,MS:META!AC36)</f>
        <v>0</v>
      </c>
      <c r="AD36" s="12">
        <f>SUM(Monthly!AD36,MS:META!AD36)</f>
        <v>0</v>
      </c>
      <c r="AE36" s="12">
        <f>SUM(Monthly!AE36,MS:META!AE36)</f>
        <v>0</v>
      </c>
      <c r="AF36" s="12">
        <f>SUM(Monthly!AF36,MS:META!AF36)</f>
        <v>0</v>
      </c>
      <c r="AG36" s="12">
        <f>SUM(Monthly!AG36,MS:META!AG36)</f>
        <v>0</v>
      </c>
      <c r="AH36" s="12">
        <f>SUM(Monthly!AH36,MS:META!AH36)</f>
        <v>0</v>
      </c>
      <c r="AI36" s="12">
        <f>SUM(Monthly!AI36,MS:META!AI36)</f>
        <v>0</v>
      </c>
      <c r="AJ36" s="12">
        <f>SUM(Monthly!AJ36,MS:META!AJ36)</f>
        <v>0</v>
      </c>
      <c r="AK36" s="12">
        <f>SUM(Monthly!AK36,MS:META!AK36)</f>
        <v>0</v>
      </c>
      <c r="AL36" s="12">
        <f>SUM(Monthly!AL36,MS:META!AL36)</f>
        <v>0</v>
      </c>
      <c r="AM36" s="12">
        <f>SUM(Monthly!AM36,MS:META!AM36)</f>
        <v>0</v>
      </c>
      <c r="AN36" s="12">
        <f>SUM(Monthly!AN36,MS:META!AN36)</f>
        <v>0</v>
      </c>
      <c r="AP36" s="12" cm="1">
        <f t="array" ref="AP36">SUM(_xlfn._xlws.FILTER($E36:$AN36,YEAR($E$25:$AN$25)=AP$25,0))</f>
        <v>0</v>
      </c>
      <c r="AQ36" s="12" cm="1">
        <f t="array" ref="AQ36">SUM(_xlfn._xlws.FILTER($E36:$AN36,YEAR($E$25:$AN$25)=AQ$25,0))</f>
        <v>0</v>
      </c>
      <c r="AR36" s="12" cm="1">
        <f t="array" ref="AR36">SUM(_xlfn._xlws.FILTER($E36:$AN36,YEAR($E$25:$AN$25)=AR$25,0))</f>
        <v>0</v>
      </c>
    </row>
    <row r="37" spans="2:44" x14ac:dyDescent="0.25">
      <c r="B37" s="1" t="s">
        <v>331</v>
      </c>
      <c r="C37" s="15"/>
      <c r="E37" s="13">
        <f>SUM(E26:E36)</f>
        <v>3581287.4846595726</v>
      </c>
      <c r="F37" s="13">
        <f t="shared" ref="F37:AP37" si="2">SUM(F26:F36)</f>
        <v>4385844.230298901</v>
      </c>
      <c r="G37" s="13">
        <f t="shared" si="2"/>
        <v>5335258.7288533868</v>
      </c>
      <c r="H37" s="13">
        <f t="shared" si="2"/>
        <v>6307260.4445659295</v>
      </c>
      <c r="I37" s="13">
        <f t="shared" si="2"/>
        <v>7178038.2632413544</v>
      </c>
      <c r="J37" s="13">
        <f t="shared" si="2"/>
        <v>8122784.866852127</v>
      </c>
      <c r="K37" s="13">
        <f t="shared" si="2"/>
        <v>8655069.5207193065</v>
      </c>
      <c r="L37" s="13">
        <f t="shared" si="2"/>
        <v>9063877.1513886973</v>
      </c>
      <c r="M37" s="13">
        <f t="shared" si="2"/>
        <v>9557253.8167861309</v>
      </c>
      <c r="N37" s="13">
        <f t="shared" si="2"/>
        <v>10244194.03687809</v>
      </c>
      <c r="O37" s="13">
        <f t="shared" si="2"/>
        <v>11038392.432767393</v>
      </c>
      <c r="P37" s="13">
        <f t="shared" si="2"/>
        <v>11818326.195054363</v>
      </c>
      <c r="Q37" s="13">
        <f t="shared" si="2"/>
        <v>13153036.662753468</v>
      </c>
      <c r="R37" s="13">
        <f t="shared" si="2"/>
        <v>14036647.078924451</v>
      </c>
      <c r="S37" s="13">
        <f t="shared" si="2"/>
        <v>15006191.165867709</v>
      </c>
      <c r="T37" s="13">
        <f t="shared" si="2"/>
        <v>15807693.63861604</v>
      </c>
      <c r="U37" s="13">
        <f t="shared" si="2"/>
        <v>16495524.673266048</v>
      </c>
      <c r="V37" s="13">
        <f t="shared" si="2"/>
        <v>17142979.669397552</v>
      </c>
      <c r="W37" s="13">
        <f t="shared" si="2"/>
        <v>17765548.72080823</v>
      </c>
      <c r="X37" s="13">
        <f t="shared" si="2"/>
        <v>18430015.801413491</v>
      </c>
      <c r="Y37" s="13">
        <f t="shared" si="2"/>
        <v>18949898.308609687</v>
      </c>
      <c r="Z37" s="13">
        <f t="shared" si="2"/>
        <v>19520607.404277887</v>
      </c>
      <c r="AA37" s="13">
        <f t="shared" si="2"/>
        <v>20109947.223173048</v>
      </c>
      <c r="AB37" s="13">
        <f t="shared" si="2"/>
        <v>20696716.652633857</v>
      </c>
      <c r="AC37" s="13">
        <f t="shared" si="2"/>
        <v>21383378.619271699</v>
      </c>
      <c r="AD37" s="13">
        <f t="shared" si="2"/>
        <v>22044627.291673556</v>
      </c>
      <c r="AE37" s="13">
        <f t="shared" si="2"/>
        <v>22703632.772090524</v>
      </c>
      <c r="AF37" s="13">
        <f t="shared" si="2"/>
        <v>23342390.758765526</v>
      </c>
      <c r="AG37" s="13">
        <f t="shared" si="2"/>
        <v>23935105.497090917</v>
      </c>
      <c r="AH37" s="13">
        <f t="shared" si="2"/>
        <v>24644512.99573984</v>
      </c>
      <c r="AI37" s="13">
        <f t="shared" si="2"/>
        <v>25240478.613166414</v>
      </c>
      <c r="AJ37" s="13">
        <f t="shared" si="2"/>
        <v>25882487.478942607</v>
      </c>
      <c r="AK37" s="13">
        <f t="shared" si="2"/>
        <v>26492278.132281221</v>
      </c>
      <c r="AL37" s="13">
        <f t="shared" si="2"/>
        <v>27090587.534268744</v>
      </c>
      <c r="AM37" s="13">
        <f t="shared" si="2"/>
        <v>27705364.47429999</v>
      </c>
      <c r="AN37" s="13">
        <f t="shared" si="2"/>
        <v>28258462.163961135</v>
      </c>
      <c r="AP37" s="13">
        <f t="shared" si="2"/>
        <v>95287587.172065243</v>
      </c>
      <c r="AQ37" s="13">
        <f t="shared" ref="AQ37:AR37" si="3">SUM(AQ26:AQ36)</f>
        <v>207114806.99974141</v>
      </c>
      <c r="AR37" s="13">
        <f t="shared" si="3"/>
        <v>298723306.33155221</v>
      </c>
    </row>
    <row r="39" spans="2:44" x14ac:dyDescent="0.25">
      <c r="B39" s="1" t="s">
        <v>132</v>
      </c>
    </row>
    <row r="40" spans="2:44" x14ac:dyDescent="0.25">
      <c r="B40" s="39" t="s">
        <v>23</v>
      </c>
      <c r="E40" s="12">
        <f>SUM(Monthly!E40,MS:META!E40)</f>
        <v>1673605.102330379</v>
      </c>
      <c r="F40" s="12">
        <f>SUM(Monthly!F40,MS:META!F40)</f>
        <v>1782003.7920076635</v>
      </c>
      <c r="G40" s="12">
        <f>SUM(Monthly!G40,MS:META!G40)</f>
        <v>1956899.7181218436</v>
      </c>
      <c r="H40" s="12">
        <f>SUM(Monthly!H40,MS:META!H40)</f>
        <v>2147484.8853817577</v>
      </c>
      <c r="I40" s="12">
        <f>SUM(Monthly!I40,MS:META!I40)</f>
        <v>2294659.1309691565</v>
      </c>
      <c r="J40" s="12">
        <f>SUM(Monthly!J40,MS:META!J40)</f>
        <v>2464878.0212687603</v>
      </c>
      <c r="K40" s="12">
        <f>SUM(Monthly!K40,MS:META!K40)</f>
        <v>2730832.7548028412</v>
      </c>
      <c r="L40" s="12">
        <f>SUM(Monthly!L40,MS:META!L40)</f>
        <v>2901516.7669109814</v>
      </c>
      <c r="M40" s="12">
        <f>SUM(Monthly!M40,MS:META!M40)</f>
        <v>3102855.5220785909</v>
      </c>
      <c r="N40" s="12">
        <f>SUM(Monthly!N40,MS:META!N40)</f>
        <v>3331178.5403349162</v>
      </c>
      <c r="O40" s="12">
        <f>SUM(Monthly!O40,MS:META!O40)</f>
        <v>3613973.6245384254</v>
      </c>
      <c r="P40" s="12">
        <f>SUM(Monthly!P40,MS:META!P40)</f>
        <v>3866403.7406134694</v>
      </c>
      <c r="Q40" s="12">
        <f>SUM(Monthly!Q40,MS:META!Q40)</f>
        <v>4527360.2515249057</v>
      </c>
      <c r="R40" s="12">
        <f>SUM(Monthly!R40,MS:META!R40)</f>
        <v>4751853.0394376703</v>
      </c>
      <c r="S40" s="12">
        <f>SUM(Monthly!S40,MS:META!S40)</f>
        <v>5022406.7111037457</v>
      </c>
      <c r="T40" s="12">
        <f>SUM(Monthly!T40,MS:META!T40)</f>
        <v>5259951.5031499369</v>
      </c>
      <c r="U40" s="12">
        <f>SUM(Monthly!U40,MS:META!U40)</f>
        <v>5437980.0838482901</v>
      </c>
      <c r="V40" s="12">
        <f>SUM(Monthly!V40,MS:META!V40)</f>
        <v>5615883.7838420998</v>
      </c>
      <c r="W40" s="12">
        <f>SUM(Monthly!W40,MS:META!W40)</f>
        <v>5881159.0211191522</v>
      </c>
      <c r="X40" s="12">
        <f>SUM(Monthly!X40,MS:META!X40)</f>
        <v>6167648.935453577</v>
      </c>
      <c r="Y40" s="12">
        <f>SUM(Monthly!Y40,MS:META!Y40)</f>
        <v>6376288.6537575992</v>
      </c>
      <c r="Z40" s="12">
        <f>SUM(Monthly!Z40,MS:META!Z40)</f>
        <v>6576051.6103745978</v>
      </c>
      <c r="AA40" s="12">
        <f>SUM(Monthly!AA40,MS:META!AA40)</f>
        <v>6800056.3292952059</v>
      </c>
      <c r="AB40" s="12">
        <f>SUM(Monthly!AB40,MS:META!AB40)</f>
        <v>7023744.9993149014</v>
      </c>
      <c r="AC40" s="12">
        <f>SUM(Monthly!AC40,MS:META!AC40)</f>
        <v>7946434.4260136215</v>
      </c>
      <c r="AD40" s="12">
        <f>SUM(Monthly!AD40,MS:META!AD40)</f>
        <v>8130714.1689346628</v>
      </c>
      <c r="AE40" s="12">
        <f>SUM(Monthly!AE40,MS:META!AE40)</f>
        <v>8318219.5569346109</v>
      </c>
      <c r="AF40" s="12">
        <f>SUM(Monthly!AF40,MS:META!AF40)</f>
        <v>8501588.6627849862</v>
      </c>
      <c r="AG40" s="12">
        <f>SUM(Monthly!AG40,MS:META!AG40)</f>
        <v>8657431.9517061859</v>
      </c>
      <c r="AH40" s="12">
        <f>SUM(Monthly!AH40,MS:META!AH40)</f>
        <v>8917432.0875350088</v>
      </c>
      <c r="AI40" s="12">
        <f>SUM(Monthly!AI40,MS:META!AI40)</f>
        <v>9201912.0456469785</v>
      </c>
      <c r="AJ40" s="12">
        <f>SUM(Monthly!AJ40,MS:META!AJ40)</f>
        <v>9471490.8439656962</v>
      </c>
      <c r="AK40" s="12">
        <f>SUM(Monthly!AK40,MS:META!AK40)</f>
        <v>9739759.1025727987</v>
      </c>
      <c r="AL40" s="12">
        <f>SUM(Monthly!AL40,MS:META!AL40)</f>
        <v>10001799.666647857</v>
      </c>
      <c r="AM40" s="12">
        <f>SUM(Monthly!AM40,MS:META!AM40)</f>
        <v>10273768.061034728</v>
      </c>
      <c r="AN40" s="12">
        <f>SUM(Monthly!AN40,MS:META!AN40)</f>
        <v>10519049.539397433</v>
      </c>
      <c r="AP40" s="12" cm="1">
        <f t="array" ref="AP40">SUM(_xlfn._xlws.FILTER($E40:$AN40,YEAR($E$25:$AN$25)=AP$25,0))</f>
        <v>31866291.59935879</v>
      </c>
      <c r="AQ40" s="12" cm="1">
        <f t="array" ref="AQ40">SUM(_xlfn._xlws.FILTER($E40:$AN40,YEAR($E$25:$AN$25)=AQ$25,0))</f>
        <v>69440384.92222169</v>
      </c>
      <c r="AR40" s="12" cm="1">
        <f t="array" ref="AR40">SUM(_xlfn._xlws.FILTER($E40:$AN40,YEAR($E$25:$AN$25)=AR$25,0))</f>
        <v>109679600.11317456</v>
      </c>
    </row>
    <row r="41" spans="2:44" x14ac:dyDescent="0.25">
      <c r="B41" s="39" t="s">
        <v>24</v>
      </c>
      <c r="E41" s="12">
        <f>SUM(Monthly!E41,MS:META!E41)</f>
        <v>329894.39999999997</v>
      </c>
      <c r="F41" s="12">
        <f>SUM(Monthly!F41,MS:META!F41)</f>
        <v>655142.40000000002</v>
      </c>
      <c r="G41" s="12">
        <f>SUM(Monthly!G41,MS:META!G41)</f>
        <v>985036.79999999993</v>
      </c>
      <c r="H41" s="12">
        <f>SUM(Monthly!H41,MS:META!H41)</f>
        <v>1314931.1999999997</v>
      </c>
      <c r="I41" s="12">
        <f>SUM(Monthly!I41,MS:META!I41)</f>
        <v>1640179.1999999997</v>
      </c>
      <c r="J41" s="12">
        <f>SUM(Monthly!J41,MS:META!J41)</f>
        <v>1970073.5999999999</v>
      </c>
      <c r="K41" s="12">
        <f>SUM(Monthly!K41,MS:META!K41)</f>
        <v>1988659.2</v>
      </c>
      <c r="L41" s="12">
        <f>SUM(Monthly!L41,MS:META!L41)</f>
        <v>2007244.8</v>
      </c>
      <c r="M41" s="12">
        <f>SUM(Monthly!M41,MS:META!M41)</f>
        <v>2025830.3999999997</v>
      </c>
      <c r="N41" s="12">
        <f>SUM(Monthly!N41,MS:META!N41)</f>
        <v>2146636.7999999998</v>
      </c>
      <c r="O41" s="12">
        <f>SUM(Monthly!O41,MS:META!O41)</f>
        <v>2272089.5999999996</v>
      </c>
      <c r="P41" s="12">
        <f>SUM(Monthly!P41,MS:META!P41)</f>
        <v>2392896</v>
      </c>
      <c r="Q41" s="12">
        <f>SUM(Monthly!Q41,MS:META!Q41)</f>
        <v>2615923.1999999997</v>
      </c>
      <c r="R41" s="12">
        <f>SUM(Monthly!R41,MS:META!R41)</f>
        <v>2843596.7999999998</v>
      </c>
      <c r="S41" s="12">
        <f>SUM(Monthly!S41,MS:META!S41)</f>
        <v>3071270.4</v>
      </c>
      <c r="T41" s="12">
        <f>SUM(Monthly!T41,MS:META!T41)</f>
        <v>3215308.7999999993</v>
      </c>
      <c r="U41" s="12">
        <f>SUM(Monthly!U41,MS:META!U41)</f>
        <v>3363993.5999999996</v>
      </c>
      <c r="V41" s="12">
        <f>SUM(Monthly!V41,MS:META!V41)</f>
        <v>3512678.3999999999</v>
      </c>
      <c r="W41" s="12">
        <f>SUM(Monthly!W41,MS:META!W41)</f>
        <v>3582374.4000000004</v>
      </c>
      <c r="X41" s="12">
        <f>SUM(Monthly!X41,MS:META!X41)</f>
        <v>3656716.7999999993</v>
      </c>
      <c r="Y41" s="12">
        <f>SUM(Monthly!Y41,MS:META!Y41)</f>
        <v>3721766.3999999994</v>
      </c>
      <c r="Z41" s="12">
        <f>SUM(Monthly!Z41,MS:META!Z41)</f>
        <v>3796108.8</v>
      </c>
      <c r="AA41" s="12">
        <f>SUM(Monthly!AA41,MS:META!AA41)</f>
        <v>3865804.7999999998</v>
      </c>
      <c r="AB41" s="12">
        <f>SUM(Monthly!AB41,MS:META!AB41)</f>
        <v>3935500.8</v>
      </c>
      <c r="AC41" s="12">
        <f>SUM(Monthly!AC41,MS:META!AC41)</f>
        <v>4112064</v>
      </c>
      <c r="AD41" s="12">
        <f>SUM(Monthly!AD41,MS:META!AD41)</f>
        <v>4265395.2</v>
      </c>
      <c r="AE41" s="12">
        <f>SUM(Monthly!AE41,MS:META!AE41)</f>
        <v>4423372.7999999998</v>
      </c>
      <c r="AF41" s="12">
        <f>SUM(Monthly!AF41,MS:META!AF41)</f>
        <v>4576704</v>
      </c>
      <c r="AG41" s="12">
        <f>SUM(Monthly!AG41,MS:META!AG41)</f>
        <v>4730035.2</v>
      </c>
      <c r="AH41" s="12">
        <f>SUM(Monthly!AH41,MS:META!AH41)</f>
        <v>4892659.1999999993</v>
      </c>
      <c r="AI41" s="12">
        <f>SUM(Monthly!AI41,MS:META!AI41)</f>
        <v>4962355.1999999993</v>
      </c>
      <c r="AJ41" s="12">
        <f>SUM(Monthly!AJ41,MS:META!AJ41)</f>
        <v>5045990.3999999994</v>
      </c>
      <c r="AK41" s="12">
        <f>SUM(Monthly!AK41,MS:META!AK41)</f>
        <v>5120332.8</v>
      </c>
      <c r="AL41" s="12">
        <f>SUM(Monthly!AL41,MS:META!AL41)</f>
        <v>5199321.5999999996</v>
      </c>
      <c r="AM41" s="12">
        <f>SUM(Monthly!AM41,MS:META!AM41)</f>
        <v>5255078.3999999994</v>
      </c>
      <c r="AN41" s="12">
        <f>SUM(Monthly!AN41,MS:META!AN41)</f>
        <v>5301542.3999999994</v>
      </c>
      <c r="AP41" s="12" cm="1">
        <f t="array" ref="AP41">SUM(_xlfn._xlws.FILTER($E41:$AN41,YEAR($E$25:$AN$25)=AP$25,0))</f>
        <v>19728614.399999999</v>
      </c>
      <c r="AQ41" s="12" cm="1">
        <f t="array" ref="AQ41">SUM(_xlfn._xlws.FILTER($E41:$AN41,YEAR($E$25:$AN$25)=AQ$25,0))</f>
        <v>41181043.199999996</v>
      </c>
      <c r="AR41" s="12" cm="1">
        <f t="array" ref="AR41">SUM(_xlfn._xlws.FILTER($E41:$AN41,YEAR($E$25:$AN$25)=AR$25,0))</f>
        <v>57884851.199999996</v>
      </c>
    </row>
    <row r="42" spans="2:44" x14ac:dyDescent="0.25">
      <c r="B42" s="39" t="s">
        <v>28</v>
      </c>
      <c r="E42" s="12">
        <f>SUM(Monthly!E42,MS:META!E42)</f>
        <v>77057.290000000008</v>
      </c>
      <c r="F42" s="12">
        <f>SUM(Monthly!F42,MS:META!F42)</f>
        <v>77057.290000000008</v>
      </c>
      <c r="G42" s="12">
        <f>SUM(Monthly!G42,MS:META!G42)</f>
        <v>107057.29000000001</v>
      </c>
      <c r="H42" s="12">
        <f>SUM(Monthly!H42,MS:META!H42)</f>
        <v>122057.29000000001</v>
      </c>
      <c r="I42" s="12">
        <f>SUM(Monthly!I42,MS:META!I42)</f>
        <v>122057.29000000001</v>
      </c>
      <c r="J42" s="12">
        <f>SUM(Monthly!J42,MS:META!J42)</f>
        <v>128770.29000000001</v>
      </c>
      <c r="K42" s="12">
        <f>SUM(Monthly!K42,MS:META!K42)</f>
        <v>158062.66</v>
      </c>
      <c r="L42" s="12">
        <f>SUM(Monthly!L42,MS:META!L42)</f>
        <v>158062.66</v>
      </c>
      <c r="M42" s="12">
        <f>SUM(Monthly!M42,MS:META!M42)</f>
        <v>173062.66</v>
      </c>
      <c r="N42" s="12">
        <f>SUM(Monthly!N42,MS:META!N42)</f>
        <v>179775.66</v>
      </c>
      <c r="O42" s="12">
        <f>SUM(Monthly!O42,MS:META!O42)</f>
        <v>194775.66</v>
      </c>
      <c r="P42" s="12">
        <f>SUM(Monthly!P42,MS:META!P42)</f>
        <v>194775.66</v>
      </c>
      <c r="Q42" s="12">
        <f>SUM(Monthly!Q42,MS:META!Q42)</f>
        <v>200618.92980000004</v>
      </c>
      <c r="R42" s="12">
        <f>SUM(Monthly!R42,MS:META!R42)</f>
        <v>200618.92980000004</v>
      </c>
      <c r="S42" s="12">
        <f>SUM(Monthly!S42,MS:META!S42)</f>
        <v>216068.92980000004</v>
      </c>
      <c r="T42" s="12">
        <f>SUM(Monthly!T42,MS:META!T42)</f>
        <v>216068.92980000004</v>
      </c>
      <c r="U42" s="12">
        <f>SUM(Monthly!U42,MS:META!U42)</f>
        <v>216068.92980000004</v>
      </c>
      <c r="V42" s="12">
        <f>SUM(Monthly!V42,MS:META!V42)</f>
        <v>216068.92980000004</v>
      </c>
      <c r="W42" s="12">
        <f>SUM(Monthly!W42,MS:META!W42)</f>
        <v>238433.31980000006</v>
      </c>
      <c r="X42" s="12">
        <f>SUM(Monthly!X42,MS:META!X42)</f>
        <v>268604.46090000006</v>
      </c>
      <c r="Y42" s="12">
        <f>SUM(Monthly!Y42,MS:META!Y42)</f>
        <v>268604.46090000006</v>
      </c>
      <c r="Z42" s="12">
        <f>SUM(Monthly!Z42,MS:META!Z42)</f>
        <v>268604.46090000006</v>
      </c>
      <c r="AA42" s="12">
        <f>SUM(Monthly!AA42,MS:META!AA42)</f>
        <v>284054.46090000006</v>
      </c>
      <c r="AB42" s="12">
        <f>SUM(Monthly!AB42,MS:META!AB42)</f>
        <v>299504.46090000006</v>
      </c>
      <c r="AC42" s="12">
        <f>SUM(Monthly!AC42,MS:META!AC42)</f>
        <v>308489.59472699993</v>
      </c>
      <c r="AD42" s="12">
        <f>SUM(Monthly!AD42,MS:META!AD42)</f>
        <v>308489.59472699993</v>
      </c>
      <c r="AE42" s="12">
        <f>SUM(Monthly!AE42,MS:META!AE42)</f>
        <v>308489.59472699993</v>
      </c>
      <c r="AF42" s="12">
        <f>SUM(Monthly!AF42,MS:META!AF42)</f>
        <v>308489.59472699993</v>
      </c>
      <c r="AG42" s="12">
        <f>SUM(Monthly!AG42,MS:META!AG42)</f>
        <v>308489.59472699993</v>
      </c>
      <c r="AH42" s="12">
        <f>SUM(Monthly!AH42,MS:META!AH42)</f>
        <v>330774.1917599999</v>
      </c>
      <c r="AI42" s="12">
        <f>SUM(Monthly!AI42,MS:META!AI42)</f>
        <v>346687.6917599999</v>
      </c>
      <c r="AJ42" s="12">
        <f>SUM(Monthly!AJ42,MS:META!AJ42)</f>
        <v>362601.1917599999</v>
      </c>
      <c r="AK42" s="12">
        <f>SUM(Monthly!AK42,MS:META!AK42)</f>
        <v>378514.6917599999</v>
      </c>
      <c r="AL42" s="12">
        <f>SUM(Monthly!AL42,MS:META!AL42)</f>
        <v>394428.1917599999</v>
      </c>
      <c r="AM42" s="12">
        <f>SUM(Monthly!AM42,MS:META!AM42)</f>
        <v>410341.6917599999</v>
      </c>
      <c r="AN42" s="12">
        <f>SUM(Monthly!AN42,MS:META!AN42)</f>
        <v>410341.6917599999</v>
      </c>
      <c r="AP42" s="12" cm="1">
        <f t="array" ref="AP42">SUM(_xlfn._xlws.FILTER($E42:$AN42,YEAR($E$25:$AN$25)=AP$25,0))</f>
        <v>1692571.7</v>
      </c>
      <c r="AQ42" s="12" cm="1">
        <f t="array" ref="AQ42">SUM(_xlfn._xlws.FILTER($E42:$AN42,YEAR($E$25:$AN$25)=AQ$25,0))</f>
        <v>2893319.2031000014</v>
      </c>
      <c r="AR42" s="12" cm="1">
        <f t="array" ref="AR42">SUM(_xlfn._xlws.FILTER($E42:$AN42,YEAR($E$25:$AN$25)=AR$25,0))</f>
        <v>4176137.3159549986</v>
      </c>
    </row>
    <row r="43" spans="2:44" x14ac:dyDescent="0.25">
      <c r="B43" s="39" t="s">
        <v>31</v>
      </c>
      <c r="E43" s="12">
        <f>SUM(Monthly!E43,MS:META!E43)</f>
        <v>37222.93</v>
      </c>
      <c r="F43" s="12">
        <f>SUM(Monthly!F43,MS:META!F43)</f>
        <v>37222.93</v>
      </c>
      <c r="G43" s="12">
        <f>SUM(Monthly!G43,MS:META!G43)</f>
        <v>54622.93</v>
      </c>
      <c r="H43" s="12">
        <f>SUM(Monthly!H43,MS:META!H43)</f>
        <v>63322.93</v>
      </c>
      <c r="I43" s="12">
        <f>SUM(Monthly!I43,MS:META!I43)</f>
        <v>63322.93</v>
      </c>
      <c r="J43" s="12">
        <f>SUM(Monthly!J43,MS:META!J43)</f>
        <v>68922.929999999993</v>
      </c>
      <c r="K43" s="12">
        <f>SUM(Monthly!K43,MS:META!K43)</f>
        <v>83322.929999999993</v>
      </c>
      <c r="L43" s="12">
        <f>SUM(Monthly!L43,MS:META!L43)</f>
        <v>83322.929999999993</v>
      </c>
      <c r="M43" s="12">
        <f>SUM(Monthly!M43,MS:META!M43)</f>
        <v>92022.93</v>
      </c>
      <c r="N43" s="12">
        <f>SUM(Monthly!N43,MS:META!N43)</f>
        <v>96622.93</v>
      </c>
      <c r="O43" s="12">
        <f>SUM(Monthly!O43,MS:META!O43)</f>
        <v>105322.93</v>
      </c>
      <c r="P43" s="12">
        <f>SUM(Monthly!P43,MS:META!P43)</f>
        <v>105322.93</v>
      </c>
      <c r="Q43" s="12">
        <f>SUM(Monthly!Q43,MS:META!Q43)</f>
        <v>109535.84719999999</v>
      </c>
      <c r="R43" s="12">
        <f>SUM(Monthly!R43,MS:META!R43)</f>
        <v>109535.84719999999</v>
      </c>
      <c r="S43" s="12">
        <f>SUM(Monthly!S43,MS:META!S43)</f>
        <v>118583.84719999999</v>
      </c>
      <c r="T43" s="12">
        <f>SUM(Monthly!T43,MS:META!T43)</f>
        <v>118583.84719999999</v>
      </c>
      <c r="U43" s="12">
        <f>SUM(Monthly!U43,MS:META!U43)</f>
        <v>118583.84719999999</v>
      </c>
      <c r="V43" s="12">
        <f>SUM(Monthly!V43,MS:META!V43)</f>
        <v>118583.84719999999</v>
      </c>
      <c r="W43" s="12">
        <f>SUM(Monthly!W43,MS:META!W43)</f>
        <v>132415.84719999999</v>
      </c>
      <c r="X43" s="12">
        <f>SUM(Monthly!X43,MS:META!X43)</f>
        <v>147391.84719999999</v>
      </c>
      <c r="Y43" s="12">
        <f>SUM(Monthly!Y43,MS:META!Y43)</f>
        <v>147391.84719999999</v>
      </c>
      <c r="Z43" s="12">
        <f>SUM(Monthly!Z43,MS:META!Z43)</f>
        <v>147391.84719999999</v>
      </c>
      <c r="AA43" s="12">
        <f>SUM(Monthly!AA43,MS:META!AA43)</f>
        <v>156439.84719999999</v>
      </c>
      <c r="AB43" s="12">
        <f>SUM(Monthly!AB43,MS:META!AB43)</f>
        <v>165487.84719999999</v>
      </c>
      <c r="AC43" s="12">
        <f>SUM(Monthly!AC43,MS:META!AC43)</f>
        <v>172107.36108799998</v>
      </c>
      <c r="AD43" s="12">
        <f>SUM(Monthly!AD43,MS:META!AD43)</f>
        <v>172107.36108799998</v>
      </c>
      <c r="AE43" s="12">
        <f>SUM(Monthly!AE43,MS:META!AE43)</f>
        <v>172107.36108799998</v>
      </c>
      <c r="AF43" s="12">
        <f>SUM(Monthly!AF43,MS:META!AF43)</f>
        <v>172107.36108799998</v>
      </c>
      <c r="AG43" s="12">
        <f>SUM(Monthly!AG43,MS:META!AG43)</f>
        <v>172107.36108799998</v>
      </c>
      <c r="AH43" s="12">
        <f>SUM(Monthly!AH43,MS:META!AH43)</f>
        <v>184329.44108799996</v>
      </c>
      <c r="AI43" s="12">
        <f>SUM(Monthly!AI43,MS:META!AI43)</f>
        <v>192657.76108799997</v>
      </c>
      <c r="AJ43" s="12">
        <f>SUM(Monthly!AJ43,MS:META!AJ43)</f>
        <v>200986.08108799998</v>
      </c>
      <c r="AK43" s="12">
        <f>SUM(Monthly!AK43,MS:META!AK43)</f>
        <v>209314.40108799998</v>
      </c>
      <c r="AL43" s="12">
        <f>SUM(Monthly!AL43,MS:META!AL43)</f>
        <v>217642.72108799999</v>
      </c>
      <c r="AM43" s="12">
        <f>SUM(Monthly!AM43,MS:META!AM43)</f>
        <v>225971.041088</v>
      </c>
      <c r="AN43" s="12">
        <f>SUM(Monthly!AN43,MS:META!AN43)</f>
        <v>225971.041088</v>
      </c>
      <c r="AP43" s="12" cm="1">
        <f t="array" ref="AP43">SUM(_xlfn._xlws.FILTER($E43:$AN43,YEAR($E$25:$AN$25)=AP$25,0))</f>
        <v>890575.15999999968</v>
      </c>
      <c r="AQ43" s="12" cm="1">
        <f t="array" ref="AQ43">SUM(_xlfn._xlws.FILTER($E43:$AN43,YEAR($E$25:$AN$25)=AQ$25,0))</f>
        <v>1589926.1663999998</v>
      </c>
      <c r="AR43" s="12" cm="1">
        <f t="array" ref="AR43">SUM(_xlfn._xlws.FILTER($E43:$AN43,YEAR($E$25:$AN$25)=AR$25,0))</f>
        <v>2317409.2930559996</v>
      </c>
    </row>
    <row r="44" spans="2:44" x14ac:dyDescent="0.25">
      <c r="B44" s="39" t="s">
        <v>34</v>
      </c>
      <c r="E44" s="12">
        <f>SUM(Monthly!E44,MS:META!E44)</f>
        <v>13679.764000000001</v>
      </c>
      <c r="F44" s="12">
        <f>SUM(Monthly!F44,MS:META!F44)</f>
        <v>14899.486800000001</v>
      </c>
      <c r="G44" s="12">
        <f>SUM(Monthly!G44,MS:META!G44)</f>
        <v>15667.710000000001</v>
      </c>
      <c r="H44" s="12">
        <f>SUM(Monthly!H44,MS:META!H44)</f>
        <v>17386.103999999999</v>
      </c>
      <c r="I44" s="12">
        <f>SUM(Monthly!I44,MS:META!I44)</f>
        <v>19097.7592</v>
      </c>
      <c r="J44" s="12">
        <f>SUM(Monthly!J44,MS:META!J44)</f>
        <v>20229.877600000003</v>
      </c>
      <c r="K44" s="12">
        <f>SUM(Monthly!K44,MS:META!K44)</f>
        <v>22460.420399999999</v>
      </c>
      <c r="L44" s="12">
        <f>SUM(Monthly!L44,MS:META!L44)</f>
        <v>23670.035000000003</v>
      </c>
      <c r="M44" s="12">
        <f>SUM(Monthly!M44,MS:META!M44)</f>
        <v>24394.456000000002</v>
      </c>
      <c r="N44" s="12">
        <f>SUM(Monthly!N44,MS:META!N44)</f>
        <v>26085.894800000005</v>
      </c>
      <c r="O44" s="12">
        <f>SUM(Monthly!O44,MS:META!O44)</f>
        <v>28316.437600000001</v>
      </c>
      <c r="P44" s="12">
        <f>SUM(Monthly!P44,MS:META!P44)</f>
        <v>29718.108</v>
      </c>
      <c r="Q44" s="12">
        <f>SUM(Monthly!Q44,MS:META!Q44)</f>
        <v>31327.333439999999</v>
      </c>
      <c r="R44" s="12">
        <f>SUM(Monthly!R44,MS:META!R44)</f>
        <v>32564.307567999997</v>
      </c>
      <c r="S44" s="12">
        <f>SUM(Monthly!S44,MS:META!S44)</f>
        <v>33913.41532800001</v>
      </c>
      <c r="T44" s="12">
        <f>SUM(Monthly!T44,MS:META!T44)</f>
        <v>34551.175360000001</v>
      </c>
      <c r="U44" s="12">
        <f>SUM(Monthly!U44,MS:META!U44)</f>
        <v>34684.334048000004</v>
      </c>
      <c r="V44" s="12">
        <f>SUM(Monthly!V44,MS:META!V44)</f>
        <v>35343.119136000008</v>
      </c>
      <c r="W44" s="12">
        <f>SUM(Monthly!W44,MS:META!W44)</f>
        <v>36776.327120000002</v>
      </c>
      <c r="X44" s="12">
        <f>SUM(Monthly!X44,MS:META!X44)</f>
        <v>38724.648975999997</v>
      </c>
      <c r="Y44" s="12">
        <f>SUM(Monthly!Y44,MS:META!Y44)</f>
        <v>40410.157632000002</v>
      </c>
      <c r="Z44" s="12">
        <f>SUM(Monthly!Z44,MS:META!Z44)</f>
        <v>41040.909312000003</v>
      </c>
      <c r="AA44" s="12">
        <f>SUM(Monthly!AA44,MS:META!AA44)</f>
        <v>42043.103648000018</v>
      </c>
      <c r="AB44" s="12">
        <f>SUM(Monthly!AB44,MS:META!AB44)</f>
        <v>43143.414912000007</v>
      </c>
      <c r="AC44" s="12">
        <f>SUM(Monthly!AC44,MS:META!AC44)</f>
        <v>45977.031792640002</v>
      </c>
      <c r="AD44" s="12">
        <f>SUM(Monthly!AD44,MS:META!AD44)</f>
        <v>46308.667009280005</v>
      </c>
      <c r="AE44" s="12">
        <f>SUM(Monthly!AE44,MS:META!AE44)</f>
        <v>46975.581785600014</v>
      </c>
      <c r="AF44" s="12">
        <f>SUM(Monthly!AF44,MS:META!AF44)</f>
        <v>47642.496561920008</v>
      </c>
      <c r="AG44" s="12">
        <f>SUM(Monthly!AG44,MS:META!AG44)</f>
        <v>48043.374296319998</v>
      </c>
      <c r="AH44" s="12">
        <f>SUM(Monthly!AH44,MS:META!AH44)</f>
        <v>49599.508774399997</v>
      </c>
      <c r="AI44" s="12">
        <f>SUM(Monthly!AI44,MS:META!AI44)</f>
        <v>52033.929925120021</v>
      </c>
      <c r="AJ44" s="12">
        <f>SUM(Monthly!AJ44,MS:META!AJ44)</f>
        <v>52977.814772480015</v>
      </c>
      <c r="AK44" s="12">
        <f>SUM(Monthly!AK44,MS:META!AK44)</f>
        <v>54333.510383359986</v>
      </c>
      <c r="AL44" s="12">
        <f>SUM(Monthly!AL44,MS:META!AL44)</f>
        <v>56326.966026240007</v>
      </c>
      <c r="AM44" s="12">
        <f>SUM(Monthly!AM44,MS:META!AM44)</f>
        <v>57653.506892800004</v>
      </c>
      <c r="AN44" s="12">
        <f>SUM(Monthly!AN44,MS:META!AN44)</f>
        <v>58867.073125119998</v>
      </c>
      <c r="AP44" s="12" cm="1">
        <f t="array" ref="AP44">SUM(_xlfn._xlws.FILTER($E44:$AN44,YEAR($E$25:$AN$25)=AP$25,0))</f>
        <v>255606.05340000003</v>
      </c>
      <c r="AQ44" s="12" cm="1">
        <f t="array" ref="AQ44">SUM(_xlfn._xlws.FILTER($E44:$AN44,YEAR($E$25:$AN$25)=AQ$25,0))</f>
        <v>444522.24648000003</v>
      </c>
      <c r="AR44" s="12" cm="1">
        <f t="array" ref="AR44">SUM(_xlfn._xlws.FILTER($E44:$AN44,YEAR($E$25:$AN$25)=AR$25,0))</f>
        <v>616739.46134528005</v>
      </c>
    </row>
    <row r="45" spans="2:44" x14ac:dyDescent="0.25">
      <c r="B45" s="39" t="s">
        <v>37</v>
      </c>
      <c r="E45" s="12">
        <f>SUM(Monthly!E45,MS:META!E45)</f>
        <v>46000</v>
      </c>
      <c r="F45" s="12">
        <f>SUM(Monthly!F45,MS:META!F45)</f>
        <v>46000</v>
      </c>
      <c r="G45" s="12">
        <f>SUM(Monthly!G45,MS:META!G45)</f>
        <v>61000</v>
      </c>
      <c r="H45" s="12">
        <f>SUM(Monthly!H45,MS:META!H45)</f>
        <v>68500</v>
      </c>
      <c r="I45" s="12">
        <f>SUM(Monthly!I45,MS:META!I45)</f>
        <v>68500</v>
      </c>
      <c r="J45" s="12">
        <f>SUM(Monthly!J45,MS:META!J45)</f>
        <v>74500</v>
      </c>
      <c r="K45" s="12">
        <f>SUM(Monthly!K45,MS:META!K45)</f>
        <v>86250</v>
      </c>
      <c r="L45" s="12">
        <f>SUM(Monthly!L45,MS:META!L45)</f>
        <v>86250</v>
      </c>
      <c r="M45" s="12">
        <f>SUM(Monthly!M45,MS:META!M45)</f>
        <v>93750</v>
      </c>
      <c r="N45" s="12">
        <f>SUM(Monthly!N45,MS:META!N45)</f>
        <v>98250</v>
      </c>
      <c r="O45" s="12">
        <f>SUM(Monthly!O45,MS:META!O45)</f>
        <v>105750</v>
      </c>
      <c r="P45" s="12">
        <f>SUM(Monthly!P45,MS:META!P45)</f>
        <v>105750</v>
      </c>
      <c r="Q45" s="12">
        <f>SUM(Monthly!Q45,MS:META!Q45)</f>
        <v>112455</v>
      </c>
      <c r="R45" s="12">
        <f>SUM(Monthly!R45,MS:META!R45)</f>
        <v>112455</v>
      </c>
      <c r="S45" s="12">
        <f>SUM(Monthly!S45,MS:META!S45)</f>
        <v>120105</v>
      </c>
      <c r="T45" s="12">
        <f>SUM(Monthly!T45,MS:META!T45)</f>
        <v>120105</v>
      </c>
      <c r="U45" s="12">
        <f>SUM(Monthly!U45,MS:META!U45)</f>
        <v>120105</v>
      </c>
      <c r="V45" s="12">
        <f>SUM(Monthly!V45,MS:META!V45)</f>
        <v>120105</v>
      </c>
      <c r="W45" s="12">
        <f>SUM(Monthly!W45,MS:META!W45)</f>
        <v>132855</v>
      </c>
      <c r="X45" s="12">
        <f>SUM(Monthly!X45,MS:META!X45)</f>
        <v>143820</v>
      </c>
      <c r="Y45" s="12">
        <f>SUM(Monthly!Y45,MS:META!Y45)</f>
        <v>143820</v>
      </c>
      <c r="Z45" s="12">
        <f>SUM(Monthly!Z45,MS:META!Z45)</f>
        <v>143820</v>
      </c>
      <c r="AA45" s="12">
        <f>SUM(Monthly!AA45,MS:META!AA45)</f>
        <v>150450</v>
      </c>
      <c r="AB45" s="12">
        <f>SUM(Monthly!AB45,MS:META!AB45)</f>
        <v>157080</v>
      </c>
      <c r="AC45" s="12">
        <f>SUM(Monthly!AC45,MS:META!AC45)</f>
        <v>160221.59999999998</v>
      </c>
      <c r="AD45" s="12">
        <f>SUM(Monthly!AD45,MS:META!AD45)</f>
        <v>160221.59999999998</v>
      </c>
      <c r="AE45" s="12">
        <f>SUM(Monthly!AE45,MS:META!AE45)</f>
        <v>160221.59999999998</v>
      </c>
      <c r="AF45" s="12">
        <f>SUM(Monthly!AF45,MS:META!AF45)</f>
        <v>160221.59999999998</v>
      </c>
      <c r="AG45" s="12">
        <f>SUM(Monthly!AG45,MS:META!AG45)</f>
        <v>160221.59999999998</v>
      </c>
      <c r="AH45" s="12">
        <f>SUM(Monthly!AH45,MS:META!AH45)</f>
        <v>170885.69999999998</v>
      </c>
      <c r="AI45" s="12">
        <f>SUM(Monthly!AI45,MS:META!AI45)</f>
        <v>177648.30000000002</v>
      </c>
      <c r="AJ45" s="12">
        <f>SUM(Monthly!AJ45,MS:META!AJ45)</f>
        <v>184410.90000000002</v>
      </c>
      <c r="AK45" s="12">
        <f>SUM(Monthly!AK45,MS:META!AK45)</f>
        <v>191173.50000000003</v>
      </c>
      <c r="AL45" s="12">
        <f>SUM(Monthly!AL45,MS:META!AL45)</f>
        <v>197936.10000000003</v>
      </c>
      <c r="AM45" s="12">
        <f>SUM(Monthly!AM45,MS:META!AM45)</f>
        <v>204698.70000000004</v>
      </c>
      <c r="AN45" s="12">
        <f>SUM(Monthly!AN45,MS:META!AN45)</f>
        <v>204698.70000000004</v>
      </c>
      <c r="AP45" s="12" cm="1">
        <f t="array" ref="AP45">SUM(_xlfn._xlws.FILTER($E45:$AN45,YEAR($E$25:$AN$25)=AP$25,0))</f>
        <v>940500</v>
      </c>
      <c r="AQ45" s="12" cm="1">
        <f t="array" ref="AQ45">SUM(_xlfn._xlws.FILTER($E45:$AN45,YEAR($E$25:$AN$25)=AQ$25,0))</f>
        <v>1577175</v>
      </c>
      <c r="AR45" s="12" cm="1">
        <f t="array" ref="AR45">SUM(_xlfn._xlws.FILTER($E45:$AN45,YEAR($E$25:$AN$25)=AR$25,0))</f>
        <v>2132559.9</v>
      </c>
    </row>
    <row r="46" spans="2:44" x14ac:dyDescent="0.25">
      <c r="B46" s="39" t="s">
        <v>40</v>
      </c>
      <c r="E46" s="12">
        <f>SUM(Monthly!E46,MS:META!E46)</f>
        <v>141826.5</v>
      </c>
      <c r="F46" s="12">
        <f>SUM(Monthly!F46,MS:META!F46)</f>
        <v>150224.5</v>
      </c>
      <c r="G46" s="12">
        <f>SUM(Monthly!G46,MS:META!G46)</f>
        <v>164262.5</v>
      </c>
      <c r="H46" s="12">
        <f>SUM(Monthly!H46,MS:META!H46)</f>
        <v>179705</v>
      </c>
      <c r="I46" s="12">
        <f>SUM(Monthly!I46,MS:META!I46)</f>
        <v>191582.5</v>
      </c>
      <c r="J46" s="12">
        <f>SUM(Monthly!J46,MS:META!J46)</f>
        <v>205167</v>
      </c>
      <c r="K46" s="12">
        <f>SUM(Monthly!K46,MS:META!K46)</f>
        <v>224461</v>
      </c>
      <c r="L46" s="12">
        <f>SUM(Monthly!L46,MS:META!L46)</f>
        <v>236784.5</v>
      </c>
      <c r="M46" s="12">
        <f>SUM(Monthly!M46,MS:META!M46)</f>
        <v>252212.5</v>
      </c>
      <c r="N46" s="12">
        <f>SUM(Monthly!N46,MS:META!N46)</f>
        <v>271094.5</v>
      </c>
      <c r="O46" s="12">
        <f>SUM(Monthly!O46,MS:META!O46)</f>
        <v>293386</v>
      </c>
      <c r="P46" s="12">
        <f>SUM(Monthly!P46,MS:META!P46)</f>
        <v>312076</v>
      </c>
      <c r="Q46" s="12">
        <f>SUM(Monthly!Q46,MS:META!Q46)</f>
        <v>337434.87</v>
      </c>
      <c r="R46" s="12">
        <f>SUM(Monthly!R46,MS:META!R46)</f>
        <v>355008.45000000019</v>
      </c>
      <c r="S46" s="12">
        <f>SUM(Monthly!S46,MS:META!S46)</f>
        <v>374439.45</v>
      </c>
      <c r="T46" s="12">
        <f>SUM(Monthly!T46,MS:META!T46)</f>
        <v>391248.54</v>
      </c>
      <c r="U46" s="12">
        <f>SUM(Monthly!U46,MS:META!U46)</f>
        <v>404276.99999999988</v>
      </c>
      <c r="V46" s="12">
        <f>SUM(Monthly!V46,MS:META!V46)</f>
        <v>418534.05</v>
      </c>
      <c r="W46" s="12">
        <f>SUM(Monthly!W46,MS:META!W46)</f>
        <v>438482.19000000006</v>
      </c>
      <c r="X46" s="12">
        <f>SUM(Monthly!X46,MS:META!X46)</f>
        <v>458908.2</v>
      </c>
      <c r="Y46" s="12">
        <f>SUM(Monthly!Y46,MS:META!Y46)</f>
        <v>472980.11999999994</v>
      </c>
      <c r="Z46" s="12">
        <f>SUM(Monthly!Z46,MS:META!Z46)</f>
        <v>488820.21000000008</v>
      </c>
      <c r="AA46" s="12">
        <f>SUM(Monthly!AA46,MS:META!AA46)</f>
        <v>505592.07000000007</v>
      </c>
      <c r="AB46" s="12">
        <f>SUM(Monthly!AB46,MS:META!AB46)</f>
        <v>521427.06000000006</v>
      </c>
      <c r="AC46" s="12">
        <f>SUM(Monthly!AC46,MS:META!AC46)</f>
        <v>544154.16960000002</v>
      </c>
      <c r="AD46" s="12">
        <f>SUM(Monthly!AD46,MS:META!AD46)</f>
        <v>556197.31979999994</v>
      </c>
      <c r="AE46" s="12">
        <f>SUM(Monthly!AE46,MS:META!AE46)</f>
        <v>569555.01540000003</v>
      </c>
      <c r="AF46" s="12">
        <f>SUM(Monthly!AF46,MS:META!AF46)</f>
        <v>581090.9706</v>
      </c>
      <c r="AG46" s="12">
        <f>SUM(Monthly!AG46,MS:META!AG46)</f>
        <v>591089.21460000018</v>
      </c>
      <c r="AH46" s="12">
        <f>SUM(Monthly!AH46,MS:META!AH46)</f>
        <v>609808.09140000003</v>
      </c>
      <c r="AI46" s="12">
        <f>SUM(Monthly!AI46,MS:META!AI46)</f>
        <v>628185.71700000018</v>
      </c>
      <c r="AJ46" s="12">
        <f>SUM(Monthly!AJ46,MS:META!AJ46)</f>
        <v>645252.43860000011</v>
      </c>
      <c r="AK46" s="12">
        <f>SUM(Monthly!AK46,MS:META!AK46)</f>
        <v>663653.47320000001</v>
      </c>
      <c r="AL46" s="12">
        <f>SUM(Monthly!AL46,MS:META!AL46)</f>
        <v>680631.76079999993</v>
      </c>
      <c r="AM46" s="12">
        <f>SUM(Monthly!AM46,MS:META!AM46)</f>
        <v>698224.40460000024</v>
      </c>
      <c r="AN46" s="12">
        <f>SUM(Monthly!AN46,MS:META!AN46)</f>
        <v>714536.83620000014</v>
      </c>
      <c r="AP46" s="12" cm="1">
        <f t="array" ref="AP46">SUM(_xlfn._xlws.FILTER($E46:$AN46,YEAR($E$25:$AN$25)=AP$25,0))</f>
        <v>2622782.5</v>
      </c>
      <c r="AQ46" s="12" cm="1">
        <f t="array" ref="AQ46">SUM(_xlfn._xlws.FILTER($E46:$AN46,YEAR($E$25:$AN$25)=AQ$25,0))</f>
        <v>5167152.2100000009</v>
      </c>
      <c r="AR46" s="12" cm="1">
        <f t="array" ref="AR46">SUM(_xlfn._xlws.FILTER($E46:$AN46,YEAR($E$25:$AN$25)=AR$25,0))</f>
        <v>7482379.4117999999</v>
      </c>
    </row>
    <row r="47" spans="2:44" x14ac:dyDescent="0.25">
      <c r="B47" s="39" t="s">
        <v>42</v>
      </c>
      <c r="E47" s="12">
        <f>SUM(Monthly!E47,MS:META!E47)</f>
        <v>35550</v>
      </c>
      <c r="F47" s="12">
        <f>SUM(Monthly!F47,MS:META!F47)</f>
        <v>35550</v>
      </c>
      <c r="G47" s="12">
        <f>SUM(Monthly!G47,MS:META!G47)</f>
        <v>47550</v>
      </c>
      <c r="H47" s="12">
        <f>SUM(Monthly!H47,MS:META!H47)</f>
        <v>53550</v>
      </c>
      <c r="I47" s="12">
        <f>SUM(Monthly!I47,MS:META!I47)</f>
        <v>53550</v>
      </c>
      <c r="J47" s="12">
        <f>SUM(Monthly!J47,MS:META!J47)</f>
        <v>58300</v>
      </c>
      <c r="K47" s="12">
        <f>SUM(Monthly!K47,MS:META!K47)</f>
        <v>70050</v>
      </c>
      <c r="L47" s="12">
        <f>SUM(Monthly!L47,MS:META!L47)</f>
        <v>70050</v>
      </c>
      <c r="M47" s="12">
        <f>SUM(Monthly!M47,MS:META!M47)</f>
        <v>76050</v>
      </c>
      <c r="N47" s="12">
        <f>SUM(Monthly!N47,MS:META!N47)</f>
        <v>80000</v>
      </c>
      <c r="O47" s="12">
        <f>SUM(Monthly!O47,MS:META!O47)</f>
        <v>86000</v>
      </c>
      <c r="P47" s="12">
        <f>SUM(Monthly!P47,MS:META!P47)</f>
        <v>86000</v>
      </c>
      <c r="Q47" s="12">
        <f>SUM(Monthly!Q47,MS:META!Q47)</f>
        <v>92347.5</v>
      </c>
      <c r="R47" s="12">
        <f>SUM(Monthly!R47,MS:META!R47)</f>
        <v>92347.5</v>
      </c>
      <c r="S47" s="12">
        <f>SUM(Monthly!S47,MS:META!S47)</f>
        <v>98647.5</v>
      </c>
      <c r="T47" s="12">
        <f>SUM(Monthly!T47,MS:META!T47)</f>
        <v>98647.5</v>
      </c>
      <c r="U47" s="12">
        <f>SUM(Monthly!U47,MS:META!U47)</f>
        <v>98647.5</v>
      </c>
      <c r="V47" s="12">
        <f>SUM(Monthly!V47,MS:META!V47)</f>
        <v>98647.5</v>
      </c>
      <c r="W47" s="12">
        <f>SUM(Monthly!W47,MS:META!W47)</f>
        <v>109935</v>
      </c>
      <c r="X47" s="12">
        <f>SUM(Monthly!X47,MS:META!X47)</f>
        <v>122272.5</v>
      </c>
      <c r="Y47" s="12">
        <f>SUM(Monthly!Y47,MS:META!Y47)</f>
        <v>122272.5</v>
      </c>
      <c r="Z47" s="12">
        <f>SUM(Monthly!Z47,MS:META!Z47)</f>
        <v>122272.5</v>
      </c>
      <c r="AA47" s="12">
        <f>SUM(Monthly!AA47,MS:META!AA47)</f>
        <v>128572.5</v>
      </c>
      <c r="AB47" s="12">
        <f>SUM(Monthly!AB47,MS:META!AB47)</f>
        <v>134872.5</v>
      </c>
      <c r="AC47" s="12">
        <f>SUM(Monthly!AC47,MS:META!AC47)</f>
        <v>141616.125</v>
      </c>
      <c r="AD47" s="12">
        <f>SUM(Monthly!AD47,MS:META!AD47)</f>
        <v>141616.125</v>
      </c>
      <c r="AE47" s="12">
        <f>SUM(Monthly!AE47,MS:META!AE47)</f>
        <v>141616.125</v>
      </c>
      <c r="AF47" s="12">
        <f>SUM(Monthly!AF47,MS:META!AF47)</f>
        <v>141616.125</v>
      </c>
      <c r="AG47" s="12">
        <f>SUM(Monthly!AG47,MS:META!AG47)</f>
        <v>141616.125</v>
      </c>
      <c r="AH47" s="12">
        <f>SUM(Monthly!AH47,MS:META!AH47)</f>
        <v>153192.375</v>
      </c>
      <c r="AI47" s="12">
        <f>SUM(Monthly!AI47,MS:META!AI47)</f>
        <v>159807.375</v>
      </c>
      <c r="AJ47" s="12">
        <f>SUM(Monthly!AJ47,MS:META!AJ47)</f>
        <v>166422.375</v>
      </c>
      <c r="AK47" s="12">
        <f>SUM(Monthly!AK47,MS:META!AK47)</f>
        <v>173037.375</v>
      </c>
      <c r="AL47" s="12">
        <f>SUM(Monthly!AL47,MS:META!AL47)</f>
        <v>179652.375</v>
      </c>
      <c r="AM47" s="12">
        <f>SUM(Monthly!AM47,MS:META!AM47)</f>
        <v>186267.375</v>
      </c>
      <c r="AN47" s="12">
        <f>SUM(Monthly!AN47,MS:META!AN47)</f>
        <v>186267.375</v>
      </c>
      <c r="AP47" s="12" cm="1">
        <f t="array" ref="AP47">SUM(_xlfn._xlws.FILTER($E47:$AN47,YEAR($E$25:$AN$25)=AP$25,0))</f>
        <v>752200</v>
      </c>
      <c r="AQ47" s="12" cm="1">
        <f t="array" ref="AQ47">SUM(_xlfn._xlws.FILTER($E47:$AN47,YEAR($E$25:$AN$25)=AQ$25,0))</f>
        <v>1319482.5</v>
      </c>
      <c r="AR47" s="12" cm="1">
        <f t="array" ref="AR47">SUM(_xlfn._xlws.FILTER($E47:$AN47,YEAR($E$25:$AN$25)=AR$25,0))</f>
        <v>1912727.25</v>
      </c>
    </row>
    <row r="48" spans="2:44" x14ac:dyDescent="0.25">
      <c r="B48" s="39" t="s">
        <v>43</v>
      </c>
      <c r="E48" s="12">
        <f>SUM(Monthly!E48,MS:META!E48)</f>
        <v>280234.46999999997</v>
      </c>
      <c r="F48" s="12">
        <f>SUM(Monthly!F48,MS:META!F48)</f>
        <v>151234.47</v>
      </c>
      <c r="G48" s="12">
        <f>SUM(Monthly!G48,MS:META!G48)</f>
        <v>0</v>
      </c>
      <c r="H48" s="12">
        <f>SUM(Monthly!H48,MS:META!H48)</f>
        <v>104139</v>
      </c>
      <c r="I48" s="12">
        <f>SUM(Monthly!I48,MS:META!I48)</f>
        <v>278111.58</v>
      </c>
      <c r="J48" s="12">
        <f>SUM(Monthly!J48,MS:META!J48)</f>
        <v>0</v>
      </c>
      <c r="K48" s="12">
        <f>SUM(Monthly!K48,MS:META!K48)</f>
        <v>151234.47</v>
      </c>
      <c r="L48" s="12">
        <f>SUM(Monthly!L48,MS:META!L48)</f>
        <v>103139</v>
      </c>
      <c r="M48" s="12">
        <f>SUM(Monthly!M48,MS:META!M48)</f>
        <v>151234.47</v>
      </c>
      <c r="N48" s="12">
        <f>SUM(Monthly!N48,MS:META!N48)</f>
        <v>0</v>
      </c>
      <c r="O48" s="12">
        <f>SUM(Monthly!O48,MS:META!O48)</f>
        <v>0</v>
      </c>
      <c r="P48" s="12">
        <f>SUM(Monthly!P48,MS:META!P48)</f>
        <v>0</v>
      </c>
      <c r="Q48" s="12">
        <f>SUM(Monthly!Q48,MS:META!Q48)</f>
        <v>151234.47</v>
      </c>
      <c r="R48" s="12">
        <f>SUM(Monthly!R48,MS:META!R48)</f>
        <v>0</v>
      </c>
      <c r="S48" s="12">
        <f>SUM(Monthly!S48,MS:META!S48)</f>
        <v>0</v>
      </c>
      <c r="T48" s="12">
        <f>SUM(Monthly!T48,MS:META!T48)</f>
        <v>0</v>
      </c>
      <c r="U48" s="12">
        <f>SUM(Monthly!U48,MS:META!U48)</f>
        <v>255373.47</v>
      </c>
      <c r="V48" s="12">
        <f>SUM(Monthly!V48,MS:META!V48)</f>
        <v>278111.58</v>
      </c>
      <c r="W48" s="12">
        <f>SUM(Monthly!W48,MS:META!W48)</f>
        <v>0</v>
      </c>
      <c r="X48" s="12">
        <f>SUM(Monthly!X48,MS:META!X48)</f>
        <v>0</v>
      </c>
      <c r="Y48" s="12">
        <f>SUM(Monthly!Y48,MS:META!Y48)</f>
        <v>151234.47</v>
      </c>
      <c r="Z48" s="12">
        <f>SUM(Monthly!Z48,MS:META!Z48)</f>
        <v>151234.47</v>
      </c>
      <c r="AA48" s="12">
        <f>SUM(Monthly!AA48,MS:META!AA48)</f>
        <v>0</v>
      </c>
      <c r="AB48" s="12">
        <f>SUM(Monthly!AB48,MS:META!AB48)</f>
        <v>0</v>
      </c>
      <c r="AC48" s="12">
        <f>SUM(Monthly!AC48,MS:META!AC48)</f>
        <v>0</v>
      </c>
      <c r="AD48" s="12">
        <f>SUM(Monthly!AD48,MS:META!AD48)</f>
        <v>0</v>
      </c>
      <c r="AE48" s="12">
        <f>SUM(Monthly!AE48,MS:META!AE48)</f>
        <v>0</v>
      </c>
      <c r="AF48" s="12">
        <f>SUM(Monthly!AF48,MS:META!AF48)</f>
        <v>231016.11</v>
      </c>
      <c r="AG48" s="12">
        <f>SUM(Monthly!AG48,MS:META!AG48)</f>
        <v>151234.47</v>
      </c>
      <c r="AH48" s="12">
        <f>SUM(Monthly!AH48,MS:META!AH48)</f>
        <v>151234.47</v>
      </c>
      <c r="AI48" s="12">
        <f>SUM(Monthly!AI48,MS:META!AI48)</f>
        <v>151234.47</v>
      </c>
      <c r="AJ48" s="12">
        <f>SUM(Monthly!AJ48,MS:META!AJ48)</f>
        <v>151234.47</v>
      </c>
      <c r="AK48" s="12">
        <f>SUM(Monthly!AK48,MS:META!AK48)</f>
        <v>151234.47</v>
      </c>
      <c r="AL48" s="12">
        <f>SUM(Monthly!AL48,MS:META!AL48)</f>
        <v>0</v>
      </c>
      <c r="AM48" s="12">
        <f>SUM(Monthly!AM48,MS:META!AM48)</f>
        <v>0</v>
      </c>
      <c r="AN48" s="12">
        <f>SUM(Monthly!AN48,MS:META!AN48)</f>
        <v>0</v>
      </c>
      <c r="AP48" s="12" cm="1">
        <f t="array" ref="AP48">SUM(_xlfn._xlws.FILTER($E48:$AN48,YEAR($E$25:$AN$25)=AP$25,0))</f>
        <v>1219327.46</v>
      </c>
      <c r="AQ48" s="12" cm="1">
        <f t="array" ref="AQ48">SUM(_xlfn._xlws.FILTER($E48:$AN48,YEAR($E$25:$AN$25)=AQ$25,0))</f>
        <v>987188.46</v>
      </c>
      <c r="AR48" s="12" cm="1">
        <f t="array" ref="AR48">SUM(_xlfn._xlws.FILTER($E48:$AN48,YEAR($E$25:$AN$25)=AR$25,0))</f>
        <v>987188.45999999985</v>
      </c>
    </row>
    <row r="49" spans="2:44" x14ac:dyDescent="0.25">
      <c r="B49" s="39" t="s">
        <v>44</v>
      </c>
      <c r="E49" s="12">
        <f>SUM(Monthly!E49,MS:META!E49)</f>
        <v>667165.34483365377</v>
      </c>
      <c r="F49" s="12">
        <f>SUM(Monthly!F49,MS:META!F49)</f>
        <v>674623.48015886394</v>
      </c>
      <c r="G49" s="12">
        <f>SUM(Monthly!G49,MS:META!G49)</f>
        <v>684212.51129127678</v>
      </c>
      <c r="H49" s="12">
        <f>SUM(Monthly!H49,MS:META!H49)</f>
        <v>694511.84102609078</v>
      </c>
      <c r="I49" s="12">
        <f>SUM(Monthly!I49,MS:META!I49)</f>
        <v>703035.42425490229</v>
      </c>
      <c r="J49" s="12">
        <f>SUM(Monthly!J49,MS:META!J49)</f>
        <v>713689.9032909167</v>
      </c>
      <c r="K49" s="12">
        <f>SUM(Monthly!K49,MS:META!K49)</f>
        <v>727540.72603773547</v>
      </c>
      <c r="L49" s="12">
        <f>SUM(Monthly!L49,MS:META!L49)</f>
        <v>738550.35437495064</v>
      </c>
      <c r="M49" s="12">
        <f>SUM(Monthly!M49,MS:META!M49)</f>
        <v>751335.72921816772</v>
      </c>
      <c r="N49" s="12">
        <f>SUM(Monthly!N49,MS:META!N49)</f>
        <v>765186.55196498672</v>
      </c>
      <c r="O49" s="12">
        <f>SUM(Monthly!O49,MS:META!O49)</f>
        <v>781168.27051900828</v>
      </c>
      <c r="P49" s="12">
        <f>SUM(Monthly!P49,MS:META!P49)</f>
        <v>798215.43697663082</v>
      </c>
      <c r="Q49" s="12">
        <f>SUM(Monthly!Q49,MS:META!Q49)</f>
        <v>895041.79931503895</v>
      </c>
      <c r="R49" s="12">
        <f>SUM(Monthly!R49,MS:META!R49)</f>
        <v>910668.36856786034</v>
      </c>
      <c r="S49" s="12">
        <f>SUM(Monthly!S49,MS:META!S49)</f>
        <v>927466.93051464309</v>
      </c>
      <c r="T49" s="12">
        <f>SUM(Monthly!T49,MS:META!T49)</f>
        <v>944656.15669274668</v>
      </c>
      <c r="U49" s="12">
        <f>SUM(Monthly!U49,MS:META!U49)</f>
        <v>958720.06902028539</v>
      </c>
      <c r="V49" s="12">
        <f>SUM(Monthly!V49,MS:META!V49)</f>
        <v>972002.65288518334</v>
      </c>
      <c r="W49" s="12">
        <f>SUM(Monthly!W49,MS:META!W49)</f>
        <v>987238.557906684</v>
      </c>
      <c r="X49" s="12">
        <f>SUM(Monthly!X49,MS:META!X49)</f>
        <v>1002865.1271595053</v>
      </c>
      <c r="Y49" s="12">
        <f>SUM(Monthly!Y49,MS:META!Y49)</f>
        <v>1016147.7110244035</v>
      </c>
      <c r="Z49" s="12">
        <f>SUM(Monthly!Z49,MS:META!Z49)</f>
        <v>1030992.9518145833</v>
      </c>
      <c r="AA49" s="12">
        <f>SUM(Monthly!AA49,MS:META!AA49)</f>
        <v>1045838.192604763</v>
      </c>
      <c r="AB49" s="12">
        <f>SUM(Monthly!AB49,MS:META!AB49)</f>
        <v>1059511.440700982</v>
      </c>
      <c r="AC49" s="12">
        <f>SUM(Monthly!AC49,MS:META!AC49)</f>
        <v>1177350.138964657</v>
      </c>
      <c r="AD49" s="12">
        <f>SUM(Monthly!AD49,MS:META!AD49)</f>
        <v>1191101.5199071399</v>
      </c>
      <c r="AE49" s="12">
        <f>SUM(Monthly!AE49,MS:META!AE49)</f>
        <v>1203993.4395407173</v>
      </c>
      <c r="AF49" s="12">
        <f>SUM(Monthly!AF49,MS:META!AF49)</f>
        <v>1216025.8978653899</v>
      </c>
      <c r="AG49" s="12">
        <f>SUM(Monthly!AG49,MS:META!AG49)</f>
        <v>1227198.8948811567</v>
      </c>
      <c r="AH49" s="12">
        <f>SUM(Monthly!AH49,MS:META!AH49)</f>
        <v>1240950.2758236397</v>
      </c>
      <c r="AI49" s="12">
        <f>SUM(Monthly!AI49,MS:META!AI49)</f>
        <v>1257280.040692837</v>
      </c>
      <c r="AJ49" s="12">
        <f>SUM(Monthly!AJ49,MS:META!AJ49)</f>
        <v>1273180.074907583</v>
      </c>
      <c r="AK49" s="12">
        <f>SUM(Monthly!AK49,MS:META!AK49)</f>
        <v>1288650.3784678755</v>
      </c>
      <c r="AL49" s="12">
        <f>SUM(Monthly!AL49,MS:META!AL49)</f>
        <v>1303261.2207192646</v>
      </c>
      <c r="AM49" s="12">
        <f>SUM(Monthly!AM49,MS:META!AM49)</f>
        <v>1319590.9855884628</v>
      </c>
      <c r="AN49" s="12">
        <f>SUM(Monthly!AN49,MS:META!AN49)</f>
        <v>1334631.5584943036</v>
      </c>
      <c r="AP49" s="12" cm="1">
        <f t="array" ref="AP49">SUM(_xlfn._xlws.FILTER($E49:$AN49,YEAR($E$25:$AN$25)=AP$25,0))</f>
        <v>8699235.5739471838</v>
      </c>
      <c r="AQ49" s="12" cm="1">
        <f t="array" ref="AQ49">SUM(_xlfn._xlws.FILTER($E49:$AN49,YEAR($E$25:$AN$25)=AQ$25,0))</f>
        <v>11751149.958206678</v>
      </c>
      <c r="AR49" s="12" cm="1">
        <f t="array" ref="AR49">SUM(_xlfn._xlws.FILTER($E49:$AN49,YEAR($E$25:$AN$25)=AR$25,0))</f>
        <v>15033214.425853029</v>
      </c>
    </row>
    <row r="50" spans="2:44" x14ac:dyDescent="0.25">
      <c r="B50" s="1" t="s">
        <v>332</v>
      </c>
      <c r="E50" s="13">
        <f>SUM(E40:E49)</f>
        <v>3302235.8011640324</v>
      </c>
      <c r="F50" s="13">
        <f t="shared" ref="F50:AR50" si="4">SUM(F40:F49)</f>
        <v>3623958.3489665282</v>
      </c>
      <c r="G50" s="13">
        <f t="shared" si="4"/>
        <v>4076309.4594131205</v>
      </c>
      <c r="H50" s="13">
        <f t="shared" si="4"/>
        <v>4765588.2504078485</v>
      </c>
      <c r="I50" s="13">
        <f t="shared" si="4"/>
        <v>5434095.8144240594</v>
      </c>
      <c r="J50" s="13">
        <f t="shared" si="4"/>
        <v>5704531.6221596766</v>
      </c>
      <c r="K50" s="13">
        <f t="shared" si="4"/>
        <v>6242874.1612405758</v>
      </c>
      <c r="L50" s="13">
        <f t="shared" si="4"/>
        <v>6408591.046285932</v>
      </c>
      <c r="M50" s="13">
        <f t="shared" si="4"/>
        <v>6742748.6672967579</v>
      </c>
      <c r="N50" s="13">
        <f t="shared" si="4"/>
        <v>6994830.8770999033</v>
      </c>
      <c r="O50" s="13">
        <f t="shared" si="4"/>
        <v>7480782.5226574326</v>
      </c>
      <c r="P50" s="13">
        <f t="shared" si="4"/>
        <v>7891157.8755901009</v>
      </c>
      <c r="Q50" s="13">
        <f t="shared" si="4"/>
        <v>9073279.2012799438</v>
      </c>
      <c r="R50" s="13">
        <f t="shared" si="4"/>
        <v>9408648.2425735295</v>
      </c>
      <c r="S50" s="13">
        <f t="shared" si="4"/>
        <v>9982902.1839463878</v>
      </c>
      <c r="T50" s="13">
        <f t="shared" si="4"/>
        <v>10399121.452202683</v>
      </c>
      <c r="U50" s="13">
        <f t="shared" si="4"/>
        <v>11008433.833916577</v>
      </c>
      <c r="V50" s="13">
        <f t="shared" si="4"/>
        <v>11385958.862863285</v>
      </c>
      <c r="W50" s="13">
        <f t="shared" si="4"/>
        <v>11539669.663145838</v>
      </c>
      <c r="X50" s="13">
        <f t="shared" si="4"/>
        <v>12006952.519689081</v>
      </c>
      <c r="Y50" s="13">
        <f t="shared" si="4"/>
        <v>12460916.320514003</v>
      </c>
      <c r="Z50" s="13">
        <f t="shared" si="4"/>
        <v>12766337.759601181</v>
      </c>
      <c r="AA50" s="13">
        <f t="shared" si="4"/>
        <v>12978851.303647969</v>
      </c>
      <c r="AB50" s="13">
        <f t="shared" si="4"/>
        <v>13340272.523027884</v>
      </c>
      <c r="AC50" s="13">
        <f t="shared" si="4"/>
        <v>14608414.447185921</v>
      </c>
      <c r="AD50" s="13">
        <f t="shared" si="4"/>
        <v>14972151.556466082</v>
      </c>
      <c r="AE50" s="13">
        <f t="shared" si="4"/>
        <v>15344551.074475929</v>
      </c>
      <c r="AF50" s="13">
        <f t="shared" si="4"/>
        <v>15936502.818627296</v>
      </c>
      <c r="AG50" s="13">
        <f t="shared" si="4"/>
        <v>16187467.786298664</v>
      </c>
      <c r="AH50" s="13">
        <f t="shared" si="4"/>
        <v>16700865.341381047</v>
      </c>
      <c r="AI50" s="13">
        <f t="shared" si="4"/>
        <v>17129802.531112935</v>
      </c>
      <c r="AJ50" s="13">
        <f t="shared" si="4"/>
        <v>17554546.590093758</v>
      </c>
      <c r="AK50" s="13">
        <f t="shared" si="4"/>
        <v>17970003.702472035</v>
      </c>
      <c r="AL50" s="13">
        <f t="shared" si="4"/>
        <v>18231000.602041356</v>
      </c>
      <c r="AM50" s="13">
        <f t="shared" si="4"/>
        <v>18631594.165963989</v>
      </c>
      <c r="AN50" s="13">
        <f t="shared" si="4"/>
        <v>18955906.215064853</v>
      </c>
      <c r="AP50" s="13">
        <f t="shared" si="4"/>
        <v>68667704.446705967</v>
      </c>
      <c r="AQ50" s="13">
        <f t="shared" si="4"/>
        <v>136351343.86640835</v>
      </c>
      <c r="AR50" s="13">
        <f t="shared" si="4"/>
        <v>202222806.83118391</v>
      </c>
    </row>
    <row r="51" spans="2:44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P51" s="13"/>
      <c r="AQ51" s="13"/>
      <c r="AR51" s="13"/>
    </row>
    <row r="52" spans="2:44" x14ac:dyDescent="0.25">
      <c r="B52" s="1" t="s">
        <v>50</v>
      </c>
      <c r="E52" s="74">
        <f>E37-E50</f>
        <v>279051.68349554017</v>
      </c>
      <c r="F52" s="74">
        <f t="shared" ref="F52:AN52" si="5">F37-F50</f>
        <v>761885.88133237278</v>
      </c>
      <c r="G52" s="74">
        <f t="shared" si="5"/>
        <v>1258949.2694402663</v>
      </c>
      <c r="H52" s="74">
        <f t="shared" si="5"/>
        <v>1541672.194158081</v>
      </c>
      <c r="I52" s="74">
        <f t="shared" si="5"/>
        <v>1743942.448817295</v>
      </c>
      <c r="J52" s="74">
        <f t="shared" si="5"/>
        <v>2418253.2446924504</v>
      </c>
      <c r="K52" s="74">
        <f t="shared" si="5"/>
        <v>2412195.3594787307</v>
      </c>
      <c r="L52" s="74">
        <f t="shared" si="5"/>
        <v>2655286.1051027654</v>
      </c>
      <c r="M52" s="74">
        <f t="shared" si="5"/>
        <v>2814505.149489373</v>
      </c>
      <c r="N52" s="74">
        <f t="shared" si="5"/>
        <v>3249363.1597781871</v>
      </c>
      <c r="O52" s="74">
        <f t="shared" si="5"/>
        <v>3557609.9101099605</v>
      </c>
      <c r="P52" s="74">
        <f t="shared" si="5"/>
        <v>3927168.3194642626</v>
      </c>
      <c r="Q52" s="74">
        <f t="shared" si="5"/>
        <v>4079757.4614735246</v>
      </c>
      <c r="R52" s="74">
        <f t="shared" si="5"/>
        <v>4627998.8363509215</v>
      </c>
      <c r="S52" s="74">
        <f t="shared" si="5"/>
        <v>5023288.9819213208</v>
      </c>
      <c r="T52" s="74">
        <f t="shared" si="5"/>
        <v>5408572.186413357</v>
      </c>
      <c r="U52" s="74">
        <f t="shared" si="5"/>
        <v>5487090.839349471</v>
      </c>
      <c r="V52" s="74">
        <f t="shared" si="5"/>
        <v>5757020.8065342661</v>
      </c>
      <c r="W52" s="74">
        <f t="shared" si="5"/>
        <v>6225879.057662392</v>
      </c>
      <c r="X52" s="74">
        <f t="shared" si="5"/>
        <v>6423063.2817244101</v>
      </c>
      <c r="Y52" s="74">
        <f t="shared" si="5"/>
        <v>6488981.988095684</v>
      </c>
      <c r="Z52" s="74">
        <f t="shared" si="5"/>
        <v>6754269.6446767058</v>
      </c>
      <c r="AA52" s="74">
        <f t="shared" si="5"/>
        <v>7131095.9195250794</v>
      </c>
      <c r="AB52" s="74">
        <f t="shared" si="5"/>
        <v>7356444.1296059731</v>
      </c>
      <c r="AC52" s="74">
        <f t="shared" si="5"/>
        <v>6774964.1720857788</v>
      </c>
      <c r="AD52" s="74">
        <f t="shared" si="5"/>
        <v>7072475.7352074739</v>
      </c>
      <c r="AE52" s="74">
        <f t="shared" si="5"/>
        <v>7359081.6976145953</v>
      </c>
      <c r="AF52" s="74">
        <f t="shared" si="5"/>
        <v>7405887.9401382301</v>
      </c>
      <c r="AG52" s="74">
        <f t="shared" si="5"/>
        <v>7747637.7107922528</v>
      </c>
      <c r="AH52" s="74">
        <f t="shared" si="5"/>
        <v>7943647.6543587931</v>
      </c>
      <c r="AI52" s="74">
        <f t="shared" si="5"/>
        <v>8110676.0820534788</v>
      </c>
      <c r="AJ52" s="74">
        <f t="shared" si="5"/>
        <v>8327940.8888488486</v>
      </c>
      <c r="AK52" s="74">
        <f t="shared" si="5"/>
        <v>8522274.4298091866</v>
      </c>
      <c r="AL52" s="74">
        <f t="shared" si="5"/>
        <v>8859586.932227388</v>
      </c>
      <c r="AM52" s="74">
        <f t="shared" si="5"/>
        <v>9073770.3083360009</v>
      </c>
      <c r="AN52" s="74">
        <f t="shared" si="5"/>
        <v>9302555.9488962814</v>
      </c>
      <c r="AP52" s="74">
        <f t="shared" ref="AP52:AR52" si="6">AP37-AP50</f>
        <v>26619882.725359276</v>
      </c>
      <c r="AQ52" s="74">
        <f t="shared" si="6"/>
        <v>70763463.133333057</v>
      </c>
      <c r="AR52" s="74">
        <f t="shared" si="6"/>
        <v>96500499.500368297</v>
      </c>
    </row>
    <row r="53" spans="2:44" x14ac:dyDescent="0.25">
      <c r="B53" s="1"/>
      <c r="E53" s="111">
        <f>IFERROR(E52/E37,"")</f>
        <v>7.7919375277984995E-2</v>
      </c>
      <c r="F53" s="111">
        <f t="shared" ref="F53:AN53" si="7">IFERROR(F52/F37,"")</f>
        <v>0.17371476079086587</v>
      </c>
      <c r="G53" s="111">
        <f t="shared" si="7"/>
        <v>0.2359678008925408</v>
      </c>
      <c r="H53" s="111">
        <f t="shared" si="7"/>
        <v>0.24442818046087203</v>
      </c>
      <c r="I53" s="111">
        <f t="shared" si="7"/>
        <v>0.24295530127611648</v>
      </c>
      <c r="J53" s="111">
        <f t="shared" si="7"/>
        <v>0.29771233441882489</v>
      </c>
      <c r="K53" s="111">
        <f t="shared" si="7"/>
        <v>0.27870317548625045</v>
      </c>
      <c r="L53" s="111">
        <f t="shared" si="7"/>
        <v>0.29295256993812441</v>
      </c>
      <c r="M53" s="111">
        <f t="shared" si="7"/>
        <v>0.29448889853129606</v>
      </c>
      <c r="N53" s="111">
        <f t="shared" si="7"/>
        <v>0.31719070803235466</v>
      </c>
      <c r="O53" s="111">
        <f t="shared" si="7"/>
        <v>0.32229420468411862</v>
      </c>
      <c r="P53" s="111">
        <f t="shared" si="7"/>
        <v>0.33229479831989001</v>
      </c>
      <c r="Q53" s="111">
        <f t="shared" si="7"/>
        <v>0.31017608831172105</v>
      </c>
      <c r="R53" s="111">
        <f t="shared" si="7"/>
        <v>0.32970828505759786</v>
      </c>
      <c r="S53" s="111">
        <f t="shared" si="7"/>
        <v>0.33474776686485436</v>
      </c>
      <c r="T53" s="111">
        <f t="shared" si="7"/>
        <v>0.34214809004148161</v>
      </c>
      <c r="U53" s="111">
        <f t="shared" si="7"/>
        <v>0.33264118286836214</v>
      </c>
      <c r="V53" s="111">
        <f t="shared" si="7"/>
        <v>0.33582381345357931</v>
      </c>
      <c r="W53" s="111">
        <f t="shared" si="7"/>
        <v>0.35044676387452167</v>
      </c>
      <c r="X53" s="111">
        <f t="shared" si="7"/>
        <v>0.34851100242853794</v>
      </c>
      <c r="Y53" s="111">
        <f t="shared" si="7"/>
        <v>0.34242832771020643</v>
      </c>
      <c r="Z53" s="111">
        <f t="shared" si="7"/>
        <v>0.34600714541272554</v>
      </c>
      <c r="AA53" s="111">
        <f t="shared" si="7"/>
        <v>0.35460540201258167</v>
      </c>
      <c r="AB53" s="111">
        <f t="shared" si="7"/>
        <v>0.35544015280654645</v>
      </c>
      <c r="AC53" s="111">
        <f t="shared" si="7"/>
        <v>0.3168331951986233</v>
      </c>
      <c r="AD53" s="111">
        <f t="shared" si="7"/>
        <v>0.32082537126308358</v>
      </c>
      <c r="AE53" s="111">
        <f t="shared" si="7"/>
        <v>0.32413674813579091</v>
      </c>
      <c r="AF53" s="111">
        <f t="shared" si="7"/>
        <v>0.31727204024108685</v>
      </c>
      <c r="AG53" s="111">
        <f t="shared" si="7"/>
        <v>0.32369348494135125</v>
      </c>
      <c r="AH53" s="111">
        <f t="shared" si="7"/>
        <v>0.32232926070529239</v>
      </c>
      <c r="AI53" s="111">
        <f t="shared" si="7"/>
        <v>0.32133606522907354</v>
      </c>
      <c r="AJ53" s="111">
        <f t="shared" si="7"/>
        <v>0.32175968000078309</v>
      </c>
      <c r="AK53" s="111">
        <f t="shared" si="7"/>
        <v>0.32168899885679036</v>
      </c>
      <c r="AL53" s="111">
        <f t="shared" si="7"/>
        <v>0.32703561416009486</v>
      </c>
      <c r="AM53" s="111">
        <f t="shared" si="7"/>
        <v>0.3275095087362232</v>
      </c>
      <c r="AN53" s="111">
        <f t="shared" si="7"/>
        <v>0.32919540684560361</v>
      </c>
      <c r="AP53" s="111">
        <f t="shared" ref="AP53:AR53" si="8">IFERROR(AP52/AP37,"")</f>
        <v>0.27936359304901393</v>
      </c>
      <c r="AQ53" s="111">
        <f t="shared" si="8"/>
        <v>0.34166298469148759</v>
      </c>
      <c r="AR53" s="111">
        <f t="shared" si="8"/>
        <v>0.32304308855386948</v>
      </c>
    </row>
    <row r="54" spans="2:44" x14ac:dyDescent="0.25">
      <c r="B54" s="39" t="s">
        <v>342</v>
      </c>
      <c r="C54" s="12">
        <v>53455.242566182867</v>
      </c>
      <c r="E54" s="67">
        <f>E67*_xlfn.XLOOKUP(YEAR($E$25),Base!$BJ$4:$BL$4,Base!$BJ$276:$BL$276,0,0)/12</f>
        <v>51206.241329799843</v>
      </c>
      <c r="F54" s="67">
        <f>F67*_xlfn.XLOOKUP(YEAR($E$25),Base!$BJ$4:$BL$4,Base!$BJ$276:$BL$276,0,0)/12</f>
        <v>65554.188460110556</v>
      </c>
      <c r="G54" s="67">
        <f>G67*_xlfn.XLOOKUP(YEAR($E$25),Base!$BJ$4:$BL$4,Base!$BJ$276:$BL$276,0,0)/12</f>
        <v>80210.65221809542</v>
      </c>
      <c r="H54" s="67">
        <f>H67*_xlfn.XLOOKUP(YEAR($E$25),Base!$BJ$4:$BL$4,Base!$BJ$276:$BL$276,0,0)/12</f>
        <v>93546.162787483539</v>
      </c>
      <c r="I54" s="67">
        <f>I67*_xlfn.XLOOKUP(YEAR($E$25),Base!$BJ$4:$BL$4,Base!$BJ$276:$BL$276,0,0)/12</f>
        <v>110752.70825992998</v>
      </c>
      <c r="J54" s="67">
        <f>J67*_xlfn.XLOOKUP(YEAR($E$25),Base!$BJ$4:$BL$4,Base!$BJ$276:$BL$276,0,0)/12</f>
        <v>126321.81874011811</v>
      </c>
      <c r="K54" s="67">
        <f>K67*_xlfn.XLOOKUP(YEAR($E$25),Base!$BJ$4:$BL$4,Base!$BJ$276:$BL$276,0,0)/12</f>
        <v>141108.52819780874</v>
      </c>
      <c r="L54" s="67">
        <f>L67*_xlfn.XLOOKUP(YEAR($E$25),Base!$BJ$4:$BL$4,Base!$BJ$276:$BL$276,0,0)/12</f>
        <v>153983.61029952765</v>
      </c>
      <c r="M54" s="67">
        <f>M67*_xlfn.XLOOKUP(YEAR($E$25),Base!$BJ$4:$BL$4,Base!$BJ$276:$BL$276,0,0)/12</f>
        <v>168381.95983237395</v>
      </c>
      <c r="N54" s="67">
        <f>N67*_xlfn.XLOOKUP(YEAR($E$25),Base!$BJ$4:$BL$4,Base!$BJ$276:$BL$276,0,0)/12</f>
        <v>180645.23838309152</v>
      </c>
      <c r="O54" s="67">
        <f>O67*_xlfn.XLOOKUP(YEAR($E$25),Base!$BJ$4:$BL$4,Base!$BJ$276:$BL$276,0,0)/12</f>
        <v>189498.40174592924</v>
      </c>
      <c r="P54" s="67">
        <f>P67*_xlfn.XLOOKUP(YEAR($E$25),Base!$BJ$4:$BL$4,Base!$BJ$276:$BL$276,0,0)/12</f>
        <v>197719.9680153892</v>
      </c>
      <c r="Q54" s="67">
        <f>Q67*_xlfn.XLOOKUP(YEAR($E$25),Base!$BJ$4:$BL$4,Base!$BJ$276:$BL$276,0,0)/12</f>
        <v>233761.9985867994</v>
      </c>
      <c r="R54" s="67">
        <f>R67*_xlfn.XLOOKUP(YEAR($E$25),Base!$BJ$4:$BL$4,Base!$BJ$276:$BL$276,0,0)/12</f>
        <v>241534.2367246887</v>
      </c>
      <c r="S54" s="67">
        <f>S67*_xlfn.XLOOKUP(YEAR($E$25),Base!$BJ$4:$BL$4,Base!$BJ$276:$BL$276,0,0)/12</f>
        <v>247268.65036271044</v>
      </c>
      <c r="T54" s="67">
        <f>T67*_xlfn.XLOOKUP(YEAR($E$25),Base!$BJ$4:$BL$4,Base!$BJ$276:$BL$276,0,0)/12</f>
        <v>251621.50686757802</v>
      </c>
      <c r="U54" s="67">
        <f>U67*_xlfn.XLOOKUP(YEAR($E$25),Base!$BJ$4:$BL$4,Base!$BJ$276:$BL$276,0,0)/12</f>
        <v>259389.29970655753</v>
      </c>
      <c r="V54" s="67">
        <f>V67*_xlfn.XLOOKUP(YEAR($E$25),Base!$BJ$4:$BL$4,Base!$BJ$276:$BL$276,0,0)/12</f>
        <v>270368.59858717269</v>
      </c>
      <c r="W54" s="67">
        <f>W67*_xlfn.XLOOKUP(YEAR($E$25),Base!$BJ$4:$BL$4,Base!$BJ$276:$BL$276,0,0)/12</f>
        <v>277188.33096882509</v>
      </c>
      <c r="X54" s="67">
        <f>X67*_xlfn.XLOOKUP(YEAR($E$25),Base!$BJ$4:$BL$4,Base!$BJ$276:$BL$276,0,0)/12</f>
        <v>283551.03795522073</v>
      </c>
      <c r="Y54" s="67">
        <f>Y67*_xlfn.XLOOKUP(YEAR($E$25),Base!$BJ$4:$BL$4,Base!$BJ$276:$BL$276,0,0)/12</f>
        <v>292424.90454772179</v>
      </c>
      <c r="Z54" s="67">
        <f>Z67*_xlfn.XLOOKUP(YEAR($E$25),Base!$BJ$4:$BL$4,Base!$BJ$276:$BL$276,0,0)/12</f>
        <v>302933.58742764348</v>
      </c>
      <c r="AA54" s="67">
        <f>AA67*_xlfn.XLOOKUP(YEAR($E$25),Base!$BJ$4:$BL$4,Base!$BJ$276:$BL$276,0,0)/12</f>
        <v>309712.31961772247</v>
      </c>
      <c r="AB54" s="67">
        <f>AB67*_xlfn.XLOOKUP(YEAR($E$25),Base!$BJ$4:$BL$4,Base!$BJ$276:$BL$276,0,0)/12</f>
        <v>313716.81402555126</v>
      </c>
      <c r="AC54" s="67">
        <f>AC67*_xlfn.XLOOKUP(YEAR($E$25),Base!$BJ$4:$BL$4,Base!$BJ$276:$BL$276,0,0)/12</f>
        <v>423303.85121855885</v>
      </c>
      <c r="AD54" s="67">
        <f>AD67*_xlfn.XLOOKUP(YEAR($E$25),Base!$BJ$4:$BL$4,Base!$BJ$276:$BL$276,0,0)/12</f>
        <v>434768.41517264204</v>
      </c>
      <c r="AE54" s="67">
        <f>AE67*_xlfn.XLOOKUP(YEAR($E$25),Base!$BJ$4:$BL$4,Base!$BJ$276:$BL$276,0,0)/12</f>
        <v>444756.6948537748</v>
      </c>
      <c r="AF54" s="67">
        <f>AF67*_xlfn.XLOOKUP(YEAR($E$25),Base!$BJ$4:$BL$4,Base!$BJ$276:$BL$276,0,0)/12</f>
        <v>456211.42936637922</v>
      </c>
      <c r="AG54" s="67">
        <f>AG67*_xlfn.XLOOKUP(YEAR($E$25),Base!$BJ$4:$BL$4,Base!$BJ$276:$BL$276,0,0)/12</f>
        <v>467672.85000589298</v>
      </c>
      <c r="AH54" s="67">
        <f>AH67*_xlfn.XLOOKUP(YEAR($E$25),Base!$BJ$4:$BL$4,Base!$BJ$276:$BL$276,0,0)/12</f>
        <v>481468.44201000291</v>
      </c>
      <c r="AI54" s="67">
        <f>AI67*_xlfn.XLOOKUP(YEAR($E$25),Base!$BJ$4:$BL$4,Base!$BJ$276:$BL$276,0,0)/12</f>
        <v>496924.54776404559</v>
      </c>
      <c r="AJ54" s="67">
        <f>AJ67*_xlfn.XLOOKUP(YEAR($E$25),Base!$BJ$4:$BL$4,Base!$BJ$276:$BL$276,0,0)/12</f>
        <v>513529.38608606119</v>
      </c>
      <c r="AK54" s="67">
        <f>AK67*_xlfn.XLOOKUP(YEAR($E$25),Base!$BJ$4:$BL$4,Base!$BJ$276:$BL$276,0,0)/12</f>
        <v>531840.33715662977</v>
      </c>
      <c r="AL54" s="67">
        <f>AL67*_xlfn.XLOOKUP(YEAR($E$25),Base!$BJ$4:$BL$4,Base!$BJ$276:$BL$276,0,0)/12</f>
        <v>547361.75262378762</v>
      </c>
      <c r="AM54" s="67">
        <f>AM67*_xlfn.XLOOKUP(YEAR($E$25),Base!$BJ$4:$BL$4,Base!$BJ$276:$BL$276,0,0)/12</f>
        <v>560998.17440471414</v>
      </c>
      <c r="AN54" s="67">
        <f>AN67*_xlfn.XLOOKUP(YEAR($E$25),Base!$BJ$4:$BL$4,Base!$BJ$276:$BL$276,0,0)/12</f>
        <v>572579.01828490233</v>
      </c>
      <c r="AP54" s="12" cm="1">
        <f t="array" ref="AP54">SUM(_xlfn._xlws.FILTER($E54:$AN54,YEAR($E$25:$AN$25)=AP$25,0))</f>
        <v>1558929.4782696578</v>
      </c>
      <c r="AQ54" s="12" cm="1">
        <f t="array" ref="AQ54">SUM(_xlfn._xlws.FILTER($E54:$AN54,YEAR($E$25:$AN$25)=AQ$25,0))</f>
        <v>3283471.2853781916</v>
      </c>
      <c r="AR54" s="12" cm="1">
        <f t="array" ref="AR54">SUM(_xlfn._xlws.FILTER($E54:$AN54,YEAR($E$25:$AN$25)=AR$25,0))</f>
        <v>5931414.8989473917</v>
      </c>
    </row>
    <row r="55" spans="2:44" x14ac:dyDescent="0.25">
      <c r="B55" s="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P55" s="111"/>
      <c r="AQ55" s="111"/>
      <c r="AR55" s="111"/>
    </row>
    <row r="56" spans="2:44" x14ac:dyDescent="0.25">
      <c r="B56" s="1" t="s">
        <v>334</v>
      </c>
      <c r="E56" s="74">
        <f t="shared" ref="E56:AN56" si="9">E52-E54</f>
        <v>227845.44216574033</v>
      </c>
      <c r="F56" s="74">
        <f t="shared" si="9"/>
        <v>696331.69287226221</v>
      </c>
      <c r="G56" s="74">
        <f t="shared" si="9"/>
        <v>1178738.6172221708</v>
      </c>
      <c r="H56" s="74">
        <f t="shared" si="9"/>
        <v>1448126.0313705974</v>
      </c>
      <c r="I56" s="74">
        <f t="shared" si="9"/>
        <v>1633189.7405573651</v>
      </c>
      <c r="J56" s="74">
        <f t="shared" si="9"/>
        <v>2291931.4259523321</v>
      </c>
      <c r="K56" s="74">
        <f t="shared" si="9"/>
        <v>2271086.8312809221</v>
      </c>
      <c r="L56" s="74">
        <f t="shared" si="9"/>
        <v>2501302.4948032377</v>
      </c>
      <c r="M56" s="74">
        <f t="shared" si="9"/>
        <v>2646123.189656999</v>
      </c>
      <c r="N56" s="74">
        <f t="shared" si="9"/>
        <v>3068717.9213950955</v>
      </c>
      <c r="O56" s="74">
        <f t="shared" si="9"/>
        <v>3368111.5083640311</v>
      </c>
      <c r="P56" s="74">
        <f t="shared" si="9"/>
        <v>3729448.3514488735</v>
      </c>
      <c r="Q56" s="74">
        <f t="shared" si="9"/>
        <v>3845995.4628867251</v>
      </c>
      <c r="R56" s="74">
        <f t="shared" si="9"/>
        <v>4386464.5996262329</v>
      </c>
      <c r="S56" s="74">
        <f t="shared" si="9"/>
        <v>4776020.3315586103</v>
      </c>
      <c r="T56" s="74">
        <f t="shared" si="9"/>
        <v>5156950.6795457788</v>
      </c>
      <c r="U56" s="74">
        <f t="shared" si="9"/>
        <v>5227701.5396429133</v>
      </c>
      <c r="V56" s="74">
        <f t="shared" si="9"/>
        <v>5486652.2079470931</v>
      </c>
      <c r="W56" s="74">
        <f t="shared" si="9"/>
        <v>5948690.7266935669</v>
      </c>
      <c r="X56" s="74">
        <f t="shared" si="9"/>
        <v>6139512.2437691893</v>
      </c>
      <c r="Y56" s="74">
        <f t="shared" si="9"/>
        <v>6196557.0835479619</v>
      </c>
      <c r="Z56" s="74">
        <f t="shared" si="9"/>
        <v>6451336.0572490627</v>
      </c>
      <c r="AA56" s="74">
        <f t="shared" si="9"/>
        <v>6821383.5999073572</v>
      </c>
      <c r="AB56" s="74">
        <f t="shared" si="9"/>
        <v>7042727.3155804221</v>
      </c>
      <c r="AC56" s="74">
        <f t="shared" si="9"/>
        <v>6351660.3208672199</v>
      </c>
      <c r="AD56" s="74">
        <f t="shared" si="9"/>
        <v>6637707.3200348318</v>
      </c>
      <c r="AE56" s="74">
        <f t="shared" si="9"/>
        <v>6914325.0027608201</v>
      </c>
      <c r="AF56" s="74">
        <f t="shared" si="9"/>
        <v>6949676.5107718511</v>
      </c>
      <c r="AG56" s="74">
        <f t="shared" si="9"/>
        <v>7279964.8607863598</v>
      </c>
      <c r="AH56" s="74">
        <f t="shared" si="9"/>
        <v>7462179.2123487899</v>
      </c>
      <c r="AI56" s="74">
        <f t="shared" si="9"/>
        <v>7613751.5342894336</v>
      </c>
      <c r="AJ56" s="74">
        <f t="shared" si="9"/>
        <v>7814411.502762787</v>
      </c>
      <c r="AK56" s="74">
        <f t="shared" si="9"/>
        <v>7990434.0926525565</v>
      </c>
      <c r="AL56" s="74">
        <f t="shared" si="9"/>
        <v>8312225.1796036009</v>
      </c>
      <c r="AM56" s="74">
        <f t="shared" si="9"/>
        <v>8512772.1339312866</v>
      </c>
      <c r="AN56" s="74">
        <f t="shared" si="9"/>
        <v>8729976.9306113794</v>
      </c>
      <c r="AP56" s="74">
        <f t="shared" ref="AP56:AR56" si="10">AP52-AP54</f>
        <v>25060953.247089617</v>
      </c>
      <c r="AQ56" s="74">
        <f t="shared" si="10"/>
        <v>67479991.847954869</v>
      </c>
      <c r="AR56" s="74">
        <f t="shared" si="10"/>
        <v>90569084.601420909</v>
      </c>
    </row>
    <row r="57" spans="2:44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P57" s="13"/>
      <c r="AQ57" s="13"/>
      <c r="AR57" s="13"/>
    </row>
    <row r="58" spans="2:44" x14ac:dyDescent="0.25">
      <c r="B58" t="s">
        <v>60</v>
      </c>
      <c r="C58" s="12">
        <f>SUM(Monthly!C58,MS:META!C55)</f>
        <v>35374520</v>
      </c>
      <c r="D58" s="12">
        <f>SUM(Monthly!D58,MS:META!D55)</f>
        <v>4544740</v>
      </c>
      <c r="E58" s="12">
        <f>SUM(Monthly!E58,MS:META!E55)</f>
        <v>1045666.6666666666</v>
      </c>
      <c r="F58" s="12">
        <f>SUM(Monthly!F58,MS:META!F55)</f>
        <v>1280833.3333333333</v>
      </c>
      <c r="G58" s="12">
        <f>SUM(Monthly!G58,MS:META!G55)</f>
        <v>1280833.3333333333</v>
      </c>
      <c r="H58" s="12">
        <f>SUM(Monthly!H58,MS:META!H55)</f>
        <v>938306.66666666663</v>
      </c>
      <c r="I58" s="12">
        <f>SUM(Monthly!I58,MS:META!I55)</f>
        <v>1204613.3333333333</v>
      </c>
      <c r="J58" s="12">
        <f>SUM(Monthly!J58,MS:META!J55)</f>
        <v>1204613.3333333333</v>
      </c>
      <c r="K58" s="12">
        <f>SUM(Monthly!K58,MS:META!K55)</f>
        <v>967780</v>
      </c>
      <c r="L58" s="12">
        <f>SUM(Monthly!L58,MS:META!L55)</f>
        <v>883819.99999999988</v>
      </c>
      <c r="M58" s="12">
        <f>SUM(Monthly!M58,MS:META!M55)</f>
        <v>1218986.6666666667</v>
      </c>
      <c r="N58" s="12">
        <f>SUM(Monthly!N58,MS:META!N55)</f>
        <v>1087846.6666666665</v>
      </c>
      <c r="O58" s="12">
        <f>SUM(Monthly!O58,MS:META!O55)</f>
        <v>721540</v>
      </c>
      <c r="P58" s="12">
        <f>SUM(Monthly!P58,MS:META!P55)</f>
        <v>821540</v>
      </c>
      <c r="Q58" s="12">
        <f>SUM(Monthly!Q58,MS:META!Q55)</f>
        <v>821540</v>
      </c>
      <c r="R58" s="12">
        <f>SUM(Monthly!R58,MS:META!R55)</f>
        <v>570333.33333333326</v>
      </c>
      <c r="S58" s="12">
        <f>SUM(Monthly!S58,MS:META!S55)</f>
        <v>335166.66666666663</v>
      </c>
      <c r="T58" s="12">
        <f>SUM(Monthly!T58,MS:META!T55)</f>
        <v>335166.66666666663</v>
      </c>
      <c r="U58" s="12">
        <f>SUM(Monthly!U58,MS:META!U55)</f>
        <v>601473.33333333326</v>
      </c>
      <c r="V58" s="12">
        <f>SUM(Monthly!V58,MS:META!V55)</f>
        <v>967780</v>
      </c>
      <c r="W58" s="12">
        <f>SUM(Monthly!W58,MS:META!W55)</f>
        <v>732613.33333333326</v>
      </c>
      <c r="X58" s="12">
        <f>SUM(Monthly!X58,MS:META!X55)</f>
        <v>732613.33333333326</v>
      </c>
      <c r="Y58" s="12">
        <f>SUM(Monthly!Y58,MS:META!Y55)</f>
        <v>967780</v>
      </c>
      <c r="Z58" s="12">
        <f>SUM(Monthly!Z58,MS:META!Z55)</f>
        <v>1202946.6666666665</v>
      </c>
      <c r="AA58" s="12">
        <f>SUM(Monthly!AA58,MS:META!AA55)</f>
        <v>836640</v>
      </c>
      <c r="AB58" s="12">
        <f>SUM(Monthly!AB58,MS:META!AB55)</f>
        <v>570333.33333333326</v>
      </c>
      <c r="AC58" s="12">
        <f>SUM(Monthly!AC58,MS:META!AC55)</f>
        <v>570333.33333333326</v>
      </c>
      <c r="AD58" s="12">
        <f>SUM(Monthly!AD58,MS:META!AD55)</f>
        <v>570333.33333333326</v>
      </c>
      <c r="AE58" s="12">
        <f>SUM(Monthly!AE58,MS:META!AE55)</f>
        <v>335166.66666666663</v>
      </c>
      <c r="AF58" s="12">
        <f>SUM(Monthly!AF58,MS:META!AF55)</f>
        <v>362280</v>
      </c>
      <c r="AG58" s="12">
        <f>SUM(Monthly!AG58,MS:META!AG55)</f>
        <v>497446.66666666663</v>
      </c>
      <c r="AH58" s="12">
        <f>SUM(Monthly!AH58,MS:META!AH55)</f>
        <v>732613.33333333326</v>
      </c>
      <c r="AI58" s="12">
        <f>SUM(Monthly!AI58,MS:META!AI55)</f>
        <v>967780</v>
      </c>
      <c r="AJ58" s="12">
        <f>SUM(Monthly!AJ58,MS:META!AJ55)</f>
        <v>1202946.6666666665</v>
      </c>
      <c r="AK58" s="12">
        <f>SUM(Monthly!AK58,MS:META!AK55)</f>
        <v>1438113.3333333333</v>
      </c>
      <c r="AL58" s="12">
        <f>SUM(Monthly!AL58,MS:META!AL55)</f>
        <v>1175833.3333333333</v>
      </c>
      <c r="AM58" s="12">
        <f>SUM(Monthly!AM58,MS:META!AM55)</f>
        <v>940666.66666666663</v>
      </c>
      <c r="AN58" s="12">
        <f>SUM(Monthly!AN58,MS:META!AN55)</f>
        <v>705500</v>
      </c>
      <c r="AP58" s="12" cm="1">
        <f t="array" ref="AP58">SUM(_xlfn._xlws.FILTER($E58:$AN58,YEAR($E$25:$AN$25)=AP$25,0))</f>
        <v>12656379.999999998</v>
      </c>
      <c r="AQ58" s="12" cm="1">
        <f t="array" ref="AQ58">SUM(_xlfn._xlws.FILTER($E58:$AN58,YEAR($E$25:$AN$25)=AQ$25,0))</f>
        <v>8674386.666666666</v>
      </c>
      <c r="AR58" s="12" cm="1">
        <f t="array" ref="AR58">SUM(_xlfn._xlws.FILTER($E58:$AN58,YEAR($E$25:$AN$25)=AR$25,0))</f>
        <v>9499013.3333333321</v>
      </c>
    </row>
    <row r="59" spans="2:44" x14ac:dyDescent="0.25">
      <c r="B59" t="s">
        <v>345</v>
      </c>
      <c r="E59" s="12">
        <f>SUM(Monthly!E59,MS:META!E56)</f>
        <v>-991146.52823600266</v>
      </c>
      <c r="F59" s="12">
        <f>SUM(Monthly!F59,MS:META!F56)</f>
        <v>-1342905.9240440023</v>
      </c>
      <c r="G59" s="12">
        <f>SUM(Monthly!G59,MS:META!G56)</f>
        <v>-1866756.9153781361</v>
      </c>
      <c r="H59" s="12">
        <f>SUM(Monthly!H59,MS:META!H56)</f>
        <v>-2301222.9511917355</v>
      </c>
      <c r="I59" s="12">
        <f>SUM(Monthly!I59,MS:META!I56)</f>
        <v>-2739989.0156893353</v>
      </c>
      <c r="J59" s="12">
        <f>SUM(Monthly!J59,MS:META!J56)</f>
        <v>-3178768.6004576022</v>
      </c>
      <c r="K59" s="12">
        <f>SUM(Monthly!K59,MS:META!K56)</f>
        <v>-3289654.8017640347</v>
      </c>
      <c r="L59" s="12">
        <f>SUM(Monthly!L59,MS:META!L56)</f>
        <v>-3347035.1904674736</v>
      </c>
      <c r="M59" s="12">
        <f>SUM(Monthly!M59,MS:META!M56)</f>
        <v>-3361314.8102360191</v>
      </c>
      <c r="N59" s="12">
        <f>SUM(Monthly!N59,MS:META!N56)</f>
        <v>-3628238.340041487</v>
      </c>
      <c r="O59" s="12">
        <f>SUM(Monthly!O59,MS:META!O56)</f>
        <v>-3835846.4534385647</v>
      </c>
      <c r="P59" s="12">
        <f>SUM(Monthly!P59,MS:META!P56)</f>
        <v>-4012338.7536463309</v>
      </c>
      <c r="Q59" s="12">
        <f>SUM(Monthly!Q59,MS:META!Q56)</f>
        <v>-4466101.5696461601</v>
      </c>
      <c r="R59" s="12">
        <f>SUM(Monthly!R59,MS:META!R56)</f>
        <v>-4860201.9228160307</v>
      </c>
      <c r="S59" s="12">
        <f>SUM(Monthly!S59,MS:META!S56)</f>
        <v>-5211176.563599525</v>
      </c>
      <c r="T59" s="12">
        <f>SUM(Monthly!T59,MS:META!T56)</f>
        <v>-5406517.7366996594</v>
      </c>
      <c r="U59" s="12">
        <f>SUM(Monthly!U59,MS:META!U56)</f>
        <v>-5669701.7110125013</v>
      </c>
      <c r="V59" s="12">
        <f>SUM(Monthly!V59,MS:META!V56)</f>
        <v>-5993758.0242430633</v>
      </c>
      <c r="W59" s="12">
        <f>SUM(Monthly!W59,MS:META!W56)</f>
        <v>-6132194.7766288714</v>
      </c>
      <c r="X59" s="12">
        <f>SUM(Monthly!X59,MS:META!X56)</f>
        <v>-6261622.5489416653</v>
      </c>
      <c r="Y59" s="12">
        <f>SUM(Monthly!Y59,MS:META!Y56)</f>
        <v>-6420833.1624739459</v>
      </c>
      <c r="Z59" s="12">
        <f>SUM(Monthly!Z59,MS:META!Z56)</f>
        <v>-6660055.7907852111</v>
      </c>
      <c r="AA59" s="12">
        <f>SUM(Monthly!AA59,MS:META!AA56)</f>
        <v>-6895353.2907746267</v>
      </c>
      <c r="AB59" s="12">
        <f>SUM(Monthly!AB59,MS:META!AB56)</f>
        <v>-7010331.0643654205</v>
      </c>
      <c r="AC59" s="12">
        <f>SUM(Monthly!AC59,MS:META!AC56)</f>
        <v>-7302518.9837945746</v>
      </c>
      <c r="AD59" s="12">
        <f>SUM(Monthly!AD59,MS:META!AD56)</f>
        <v>-7607447.0778666791</v>
      </c>
      <c r="AE59" s="12">
        <f>SUM(Monthly!AE59,MS:META!AE56)</f>
        <v>-7920917.2399263158</v>
      </c>
      <c r="AF59" s="12">
        <f>SUM(Monthly!AF59,MS:META!AF56)</f>
        <v>-8126149.1802983759</v>
      </c>
      <c r="AG59" s="12">
        <f>SUM(Monthly!AG59,MS:META!AG56)</f>
        <v>-8322169.0333610382</v>
      </c>
      <c r="AH59" s="12">
        <f>SUM(Monthly!AH59,MS:META!AH56)</f>
        <v>-8582773.7382342312</v>
      </c>
      <c r="AI59" s="12">
        <f>SUM(Monthly!AI59,MS:META!AI56)</f>
        <v>-8722241.7405824941</v>
      </c>
      <c r="AJ59" s="12">
        <f>SUM(Monthly!AJ59,MS:META!AJ56)</f>
        <v>-8842048.1173535567</v>
      </c>
      <c r="AK59" s="12">
        <f>SUM(Monthly!AK59,MS:META!AK56)</f>
        <v>-9012091.8531322703</v>
      </c>
      <c r="AL59" s="12">
        <f>SUM(Monthly!AL59,MS:META!AL56)</f>
        <v>-9221435.3240251355</v>
      </c>
      <c r="AM59" s="12">
        <f>SUM(Monthly!AM59,MS:META!AM56)</f>
        <v>-9403931.4598357584</v>
      </c>
      <c r="AN59" s="12">
        <f>SUM(Monthly!AN59,MS:META!AN56)</f>
        <v>-9580170.291849995</v>
      </c>
      <c r="AP59" s="12" cm="1">
        <f t="array" ref="AP59">SUM(_xlfn._xlws.FILTER($E59:$AN59,$E$25:$AN$25=DATE(AP$25,12,1),0))</f>
        <v>-4012338.7536463309</v>
      </c>
      <c r="AQ59" s="12" cm="1">
        <f t="array" ref="AQ59">SUM(_xlfn._xlws.FILTER($E59:$AN59,$E$25:$AN$25=DATE(AQ$25,12,1),0))</f>
        <v>-7010331.0643654205</v>
      </c>
      <c r="AR59" s="12" cm="1">
        <f t="array" ref="AR59">SUM(_xlfn._xlws.FILTER($E59:$AN59,$E$25:$AN$25=DATE(AR$25,12,1),0))</f>
        <v>-9580170.291849995</v>
      </c>
    </row>
    <row r="60" spans="2:44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P60" s="12"/>
      <c r="AQ60" s="12"/>
      <c r="AR60" s="12"/>
    </row>
    <row r="61" spans="2:44" x14ac:dyDescent="0.25">
      <c r="B61" s="1" t="s">
        <v>336</v>
      </c>
      <c r="E61" s="13">
        <f>E37-E50-E58+E59</f>
        <v>-1757761.511407129</v>
      </c>
      <c r="F61" s="13">
        <f t="shared" ref="F61:AN61" si="11">F37-F50-F58+F59</f>
        <v>-1861853.3760449628</v>
      </c>
      <c r="G61" s="13">
        <f t="shared" si="11"/>
        <v>-1888640.979271203</v>
      </c>
      <c r="H61" s="13">
        <f t="shared" si="11"/>
        <v>-1697857.423700321</v>
      </c>
      <c r="I61" s="13">
        <f t="shared" si="11"/>
        <v>-2200659.9002053738</v>
      </c>
      <c r="J61" s="13">
        <f t="shared" si="11"/>
        <v>-1965128.689098485</v>
      </c>
      <c r="K61" s="13">
        <f t="shared" si="11"/>
        <v>-1845239.442285304</v>
      </c>
      <c r="L61" s="13">
        <f t="shared" si="11"/>
        <v>-1575569.0853647082</v>
      </c>
      <c r="M61" s="13">
        <f t="shared" si="11"/>
        <v>-1765796.3274133129</v>
      </c>
      <c r="N61" s="13">
        <f t="shared" si="11"/>
        <v>-1466721.8469299665</v>
      </c>
      <c r="O61" s="13">
        <f t="shared" si="11"/>
        <v>-999776.5433286042</v>
      </c>
      <c r="P61" s="13">
        <f t="shared" si="11"/>
        <v>-906710.43418206833</v>
      </c>
      <c r="Q61" s="13">
        <f t="shared" si="11"/>
        <v>-1207884.1081726355</v>
      </c>
      <c r="R61" s="13">
        <f t="shared" si="11"/>
        <v>-802536.41979844216</v>
      </c>
      <c r="S61" s="13">
        <f t="shared" si="11"/>
        <v>-523054.24834487122</v>
      </c>
      <c r="T61" s="13">
        <f t="shared" si="11"/>
        <v>-333112.21695296932</v>
      </c>
      <c r="U61" s="13">
        <f t="shared" si="11"/>
        <v>-784084.20499636326</v>
      </c>
      <c r="V61" s="13">
        <f t="shared" si="11"/>
        <v>-1204517.2177087972</v>
      </c>
      <c r="W61" s="13">
        <f t="shared" si="11"/>
        <v>-638929.05229981244</v>
      </c>
      <c r="X61" s="13">
        <f t="shared" si="11"/>
        <v>-571172.60055058822</v>
      </c>
      <c r="Y61" s="13">
        <f t="shared" si="11"/>
        <v>-899631.1743782619</v>
      </c>
      <c r="Z61" s="13">
        <f t="shared" si="11"/>
        <v>-1108732.8127751714</v>
      </c>
      <c r="AA61" s="13">
        <f t="shared" si="11"/>
        <v>-600897.37124954723</v>
      </c>
      <c r="AB61" s="13">
        <f t="shared" si="11"/>
        <v>-224220.26809278037</v>
      </c>
      <c r="AC61" s="13">
        <f t="shared" si="11"/>
        <v>-1097888.1450421289</v>
      </c>
      <c r="AD61" s="13">
        <f t="shared" si="11"/>
        <v>-1105304.6759925382</v>
      </c>
      <c r="AE61" s="13">
        <f t="shared" si="11"/>
        <v>-897002.20897838753</v>
      </c>
      <c r="AF61" s="13">
        <f t="shared" si="11"/>
        <v>-1082541.2401601458</v>
      </c>
      <c r="AG61" s="13">
        <f t="shared" si="11"/>
        <v>-1071977.9892354524</v>
      </c>
      <c r="AH61" s="13">
        <f t="shared" si="11"/>
        <v>-1371739.4172087712</v>
      </c>
      <c r="AI61" s="13">
        <f t="shared" si="11"/>
        <v>-1579345.6585290153</v>
      </c>
      <c r="AJ61" s="13">
        <f t="shared" si="11"/>
        <v>-1717053.8951713741</v>
      </c>
      <c r="AK61" s="13">
        <f t="shared" si="11"/>
        <v>-1927930.7566564167</v>
      </c>
      <c r="AL61" s="13">
        <f t="shared" si="11"/>
        <v>-1537681.7251310805</v>
      </c>
      <c r="AM61" s="13">
        <f t="shared" si="11"/>
        <v>-1270827.8181664245</v>
      </c>
      <c r="AN61" s="13">
        <f t="shared" si="11"/>
        <v>-983114.34295371361</v>
      </c>
      <c r="AP61" s="13">
        <f t="shared" ref="AP61:AR61" si="12">AP37-AP50-AP58+AP59</f>
        <v>9951163.9717129469</v>
      </c>
      <c r="AQ61" s="13">
        <f t="shared" si="12"/>
        <v>55078745.402300969</v>
      </c>
      <c r="AR61" s="13">
        <f t="shared" si="12"/>
        <v>77421315.875184968</v>
      </c>
    </row>
    <row r="62" spans="2:44" x14ac:dyDescent="0.25">
      <c r="B62" t="s">
        <v>337</v>
      </c>
      <c r="E62" s="12" cm="1">
        <f t="array" ref="E62:AN62">_xlfn.SCAN(-D58,E61:AN61,_xlfn.LAMBDA(_xlpm.capex,_xlpm.fcf,_xlpm.capex+_xlpm.fcf))</f>
        <v>-6302501.5114071295</v>
      </c>
      <c r="F62" s="12">
        <v>-8164354.887452092</v>
      </c>
      <c r="G62" s="12">
        <v>-10052995.866723295</v>
      </c>
      <c r="H62" s="12">
        <v>-11750853.290423617</v>
      </c>
      <c r="I62" s="12">
        <v>-13951513.190628991</v>
      </c>
      <c r="J62" s="12">
        <v>-15916641.879727475</v>
      </c>
      <c r="K62" s="12">
        <v>-17761881.322012778</v>
      </c>
      <c r="L62" s="12">
        <v>-19337450.407377485</v>
      </c>
      <c r="M62" s="12">
        <v>-21103246.734790798</v>
      </c>
      <c r="N62" s="12">
        <v>-22569968.581720766</v>
      </c>
      <c r="O62" s="12">
        <v>-23569745.125049371</v>
      </c>
      <c r="P62" s="12">
        <v>-24476455.559231438</v>
      </c>
      <c r="Q62" s="12">
        <v>-25684339.667404074</v>
      </c>
      <c r="R62" s="12">
        <v>-26486876.087202515</v>
      </c>
      <c r="S62" s="12">
        <v>-27009930.335547388</v>
      </c>
      <c r="T62" s="12">
        <v>-27343042.552500356</v>
      </c>
      <c r="U62" s="12">
        <v>-28127126.757496718</v>
      </c>
      <c r="V62" s="12">
        <v>-29331643.975205515</v>
      </c>
      <c r="W62" s="12">
        <v>-29970573.027505327</v>
      </c>
      <c r="X62" s="12">
        <v>-30541745.628055915</v>
      </c>
      <c r="Y62" s="12">
        <v>-31441376.802434176</v>
      </c>
      <c r="Z62" s="12">
        <v>-32550109.615209348</v>
      </c>
      <c r="AA62" s="12">
        <v>-33151006.986458898</v>
      </c>
      <c r="AB62" s="12">
        <v>-33375227.254551679</v>
      </c>
      <c r="AC62" s="12">
        <v>-34473115.399593808</v>
      </c>
      <c r="AD62" s="12">
        <v>-35578420.075586349</v>
      </c>
      <c r="AE62" s="12">
        <v>-36475422.284564734</v>
      </c>
      <c r="AF62" s="12">
        <v>-37557963.524724878</v>
      </c>
      <c r="AG62" s="12">
        <v>-38629941.513960332</v>
      </c>
      <c r="AH62" s="12">
        <v>-40001680.9311691</v>
      </c>
      <c r="AI62" s="12">
        <v>-41581026.589698114</v>
      </c>
      <c r="AJ62" s="12">
        <v>-43298080.484869488</v>
      </c>
      <c r="AK62" s="12">
        <v>-45226011.241525903</v>
      </c>
      <c r="AL62" s="12">
        <v>-46763692.966656983</v>
      </c>
      <c r="AM62" s="12">
        <v>-48034520.78482341</v>
      </c>
      <c r="AN62" s="12">
        <v>-49017635.127777122</v>
      </c>
      <c r="AP62" s="12"/>
      <c r="AQ62" s="12"/>
      <c r="AR62" s="12"/>
    </row>
    <row r="64" spans="2:44" x14ac:dyDescent="0.25">
      <c r="B64" s="1" t="s">
        <v>272</v>
      </c>
      <c r="C64" s="1" t="s">
        <v>347</v>
      </c>
    </row>
    <row r="65" spans="2:44" x14ac:dyDescent="0.25">
      <c r="B65" s="39" t="s">
        <v>348</v>
      </c>
      <c r="E65" s="67">
        <f>C67+C54</f>
        <v>4869737.3325661831</v>
      </c>
      <c r="F65" s="67">
        <f t="shared" ref="F65:AN65" si="13">E67+E54</f>
        <v>6878705.0853031119</v>
      </c>
      <c r="G65" s="67">
        <f t="shared" si="13"/>
        <v>8806112.6498081852</v>
      </c>
      <c r="H65" s="67">
        <f t="shared" si="13"/>
        <v>10774964.281297484</v>
      </c>
      <c r="I65" s="67">
        <f t="shared" si="13"/>
        <v>12566367.86778529</v>
      </c>
      <c r="J65" s="67">
        <f t="shared" si="13"/>
        <v>14877780.476250594</v>
      </c>
      <c r="K65" s="67">
        <f t="shared" si="13"/>
        <v>16969230.984089199</v>
      </c>
      <c r="L65" s="67">
        <f t="shared" si="13"/>
        <v>18955578.954572313</v>
      </c>
      <c r="M65" s="67">
        <f t="shared" si="13"/>
        <v>20685131.650236547</v>
      </c>
      <c r="N65" s="67">
        <f t="shared" si="13"/>
        <v>22619309.937482234</v>
      </c>
      <c r="O65" s="67">
        <f t="shared" si="13"/>
        <v>24266677.022795293</v>
      </c>
      <c r="P65" s="67">
        <f t="shared" si="13"/>
        <v>25455951.967869829</v>
      </c>
      <c r="Q65" s="67">
        <f t="shared" si="13"/>
        <v>26560382.370067284</v>
      </c>
      <c r="R65" s="67">
        <f t="shared" si="13"/>
        <v>31402028.47682672</v>
      </c>
      <c r="S65" s="67">
        <f t="shared" si="13"/>
        <v>32446099.133349851</v>
      </c>
      <c r="T65" s="67">
        <f t="shared" si="13"/>
        <v>33216422.032057434</v>
      </c>
      <c r="U65" s="67">
        <f t="shared" si="13"/>
        <v>33801155.755877979</v>
      </c>
      <c r="V65" s="67">
        <f t="shared" si="13"/>
        <v>34844629.260580897</v>
      </c>
      <c r="W65" s="67">
        <f t="shared" si="13"/>
        <v>36319515.076876864</v>
      </c>
      <c r="X65" s="67">
        <f t="shared" si="13"/>
        <v>37235632.460145503</v>
      </c>
      <c r="Y65" s="67">
        <f t="shared" si="13"/>
        <v>38090356.098651312</v>
      </c>
      <c r="Z65" s="67">
        <f t="shared" si="13"/>
        <v>39282412.177577294</v>
      </c>
      <c r="AA65" s="67">
        <f t="shared" si="13"/>
        <v>40694078.577780113</v>
      </c>
      <c r="AB65" s="67">
        <f t="shared" si="13"/>
        <v>41604688.268647388</v>
      </c>
      <c r="AC65" s="67">
        <f t="shared" si="13"/>
        <v>42142625.35076572</v>
      </c>
      <c r="AD65" s="67">
        <f t="shared" si="13"/>
        <v>56863817.347026408</v>
      </c>
      <c r="AE65" s="67">
        <f t="shared" si="13"/>
        <v>58403890.438191585</v>
      </c>
      <c r="AF65" s="67">
        <f t="shared" si="13"/>
        <v>59745649.342023753</v>
      </c>
      <c r="AG65" s="67">
        <f t="shared" si="13"/>
        <v>61284402.011550277</v>
      </c>
      <c r="AH65" s="67">
        <f t="shared" si="13"/>
        <v>62824052.850791626</v>
      </c>
      <c r="AI65" s="67">
        <f t="shared" si="13"/>
        <v>64677260.710010394</v>
      </c>
      <c r="AJ65" s="67">
        <f t="shared" si="13"/>
        <v>66753530.916303456</v>
      </c>
      <c r="AK65" s="67">
        <f t="shared" si="13"/>
        <v>68984114.197560892</v>
      </c>
      <c r="AL65" s="67">
        <f t="shared" si="13"/>
        <v>71443885.291373938</v>
      </c>
      <c r="AM65" s="67">
        <f t="shared" si="13"/>
        <v>73528928.769128799</v>
      </c>
      <c r="AN65" s="67">
        <f t="shared" si="13"/>
        <v>75360754.76169993</v>
      </c>
      <c r="AP65" s="12" cm="1">
        <f t="array" ref="AP65">SUM(_xlfn._xlws.FILTER($E65:$AN65,$E$25:$AN$25=DATE(AP$25,1,1),0))</f>
        <v>4869737.3325661831</v>
      </c>
      <c r="AQ65" s="12" cm="1">
        <f t="array" ref="AQ65">SUM(_xlfn._xlws.FILTER($E65:$AN65,$E$25:$AN$25=DATE(AQ$25,1,1),0))</f>
        <v>26560382.370067284</v>
      </c>
      <c r="AR65" s="12" cm="1">
        <f t="array" ref="AR65">SUM(_xlfn._xlws.FILTER($E65:$AN65,$E$25:$AN$25=DATE(AR$25,1,1),0))</f>
        <v>42142625.35076572</v>
      </c>
    </row>
    <row r="66" spans="2:44" x14ac:dyDescent="0.25">
      <c r="B66" s="39" t="s">
        <v>349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1957761.511407129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1861853.3760449628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1888640.979271203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1697857.423700321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2200659.9002053738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1965128.689098485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1845239.442285304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1575569.0853647082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1765796.3274133129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1466721.8469299665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999776.5433286042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906710.43418206833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4607884.1081726355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802536.41979844216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523054.24834487122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333112.21695296932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784084.20499636326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1204517.2177087972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638929.05229981244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571172.60055058822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899631.1743782619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1108732.8127751714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600897.37124954723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224220.26809278037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14297888.145042129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1105304.6759925373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897002.20897838846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1082541.2401601449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1071977.9892354533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1371739.4172087722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1579345.6585290134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1717053.8951713741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1927930.7566564158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1537681.7251310796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1270827.8181664236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983114.34295371175</v>
      </c>
      <c r="AP66" s="67">
        <f>AP67-AP65</f>
        <v>21492925.069485713</v>
      </c>
      <c r="AQ66" s="67">
        <f t="shared" ref="AQ66:AR66" si="14">AQ67-AQ65</f>
        <v>15268526.166672885</v>
      </c>
      <c r="AR66" s="67">
        <f t="shared" si="14"/>
        <v>34201243.753887922</v>
      </c>
    </row>
    <row r="67" spans="2:44" x14ac:dyDescent="0.25">
      <c r="B67" s="39" t="s">
        <v>350</v>
      </c>
      <c r="C67" s="12">
        <f>Base!$BJ$281</f>
        <v>4816282.09</v>
      </c>
      <c r="E67" s="74">
        <f>SUM(E65:E66)</f>
        <v>6827498.8439733125</v>
      </c>
      <c r="F67" s="74">
        <f t="shared" ref="F67:AN67" si="15">SUM(F65:F66)</f>
        <v>8740558.4613480754</v>
      </c>
      <c r="G67" s="74">
        <f t="shared" si="15"/>
        <v>10694753.629079388</v>
      </c>
      <c r="H67" s="74">
        <f t="shared" si="15"/>
        <v>12472821.704997806</v>
      </c>
      <c r="I67" s="74">
        <f t="shared" si="15"/>
        <v>14767027.767990664</v>
      </c>
      <c r="J67" s="74">
        <f t="shared" si="15"/>
        <v>16842909.165349081</v>
      </c>
      <c r="K67" s="74">
        <f t="shared" si="15"/>
        <v>18814470.426374502</v>
      </c>
      <c r="L67" s="74">
        <f t="shared" si="15"/>
        <v>20531148.039937019</v>
      </c>
      <c r="M67" s="74">
        <f t="shared" si="15"/>
        <v>22450927.97764986</v>
      </c>
      <c r="N67" s="74">
        <f t="shared" si="15"/>
        <v>24086031.784412201</v>
      </c>
      <c r="O67" s="74">
        <f t="shared" si="15"/>
        <v>25266453.566123899</v>
      </c>
      <c r="P67" s="74">
        <f t="shared" si="15"/>
        <v>26362662.402051896</v>
      </c>
      <c r="Q67" s="74">
        <f t="shared" si="15"/>
        <v>31168266.47823992</v>
      </c>
      <c r="R67" s="74">
        <f t="shared" si="15"/>
        <v>32204564.896625161</v>
      </c>
      <c r="S67" s="74">
        <f t="shared" si="15"/>
        <v>32969153.381694723</v>
      </c>
      <c r="T67" s="74">
        <f t="shared" si="15"/>
        <v>33549534.249010403</v>
      </c>
      <c r="U67" s="74">
        <f t="shared" si="15"/>
        <v>34585239.960874341</v>
      </c>
      <c r="V67" s="74">
        <f t="shared" si="15"/>
        <v>36049146.478289694</v>
      </c>
      <c r="W67" s="74">
        <f t="shared" si="15"/>
        <v>36958444.129176676</v>
      </c>
      <c r="X67" s="74">
        <f t="shared" si="15"/>
        <v>37806805.060696095</v>
      </c>
      <c r="Y67" s="74">
        <f t="shared" si="15"/>
        <v>38989987.273029573</v>
      </c>
      <c r="Z67" s="74">
        <f t="shared" si="15"/>
        <v>40391144.990352467</v>
      </c>
      <c r="AA67" s="74">
        <f t="shared" si="15"/>
        <v>41294975.949029662</v>
      </c>
      <c r="AB67" s="74">
        <f t="shared" si="15"/>
        <v>41828908.536740169</v>
      </c>
      <c r="AC67" s="74">
        <f t="shared" si="15"/>
        <v>56440513.495807849</v>
      </c>
      <c r="AD67" s="74">
        <f t="shared" si="15"/>
        <v>57969122.023018941</v>
      </c>
      <c r="AE67" s="74">
        <f t="shared" si="15"/>
        <v>59300892.647169977</v>
      </c>
      <c r="AF67" s="74">
        <f t="shared" si="15"/>
        <v>60828190.582183897</v>
      </c>
      <c r="AG67" s="74">
        <f t="shared" si="15"/>
        <v>62356380.000785731</v>
      </c>
      <c r="AH67" s="74">
        <f t="shared" si="15"/>
        <v>64195792.268000394</v>
      </c>
      <c r="AI67" s="74">
        <f t="shared" si="15"/>
        <v>66256606.368539408</v>
      </c>
      <c r="AJ67" s="74">
        <f t="shared" si="15"/>
        <v>68470584.81147483</v>
      </c>
      <c r="AK67" s="74">
        <f t="shared" si="15"/>
        <v>70912044.954217315</v>
      </c>
      <c r="AL67" s="74">
        <f t="shared" si="15"/>
        <v>72981567.016505018</v>
      </c>
      <c r="AM67" s="74">
        <f t="shared" si="15"/>
        <v>74799756.587295219</v>
      </c>
      <c r="AN67" s="74">
        <f t="shared" si="15"/>
        <v>76343869.104653642</v>
      </c>
      <c r="AP67" s="13" cm="1">
        <f t="array" ref="AP67">SUM(_xlfn._xlws.FILTER($E67:$AN67,$E$25:$AN$25=DATE(AP$25,12,1),0))</f>
        <v>26362662.402051896</v>
      </c>
      <c r="AQ67" s="13" cm="1">
        <f t="array" ref="AQ67">SUM(_xlfn._xlws.FILTER($E67:$AN67,$E$25:$AN$25=DATE(AQ$25,12,1),0))</f>
        <v>41828908.536740169</v>
      </c>
      <c r="AR67" s="13" cm="1">
        <f t="array" ref="AR67">SUM(_xlfn._xlws.FILTER($E67:$AN67,$E$25:$AN$25=DATE(AR$25,12,1),0))</f>
        <v>76343869.104653642</v>
      </c>
    </row>
    <row r="68" spans="2:44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P68" s="67"/>
      <c r="AQ68" s="67"/>
      <c r="AR68" s="67"/>
    </row>
    <row r="69" spans="2:44" x14ac:dyDescent="0.25">
      <c r="B69" s="39" t="s">
        <v>351</v>
      </c>
      <c r="C69" s="12">
        <f>Base!$BJ$283</f>
        <v>3200000</v>
      </c>
      <c r="D69" s="12"/>
      <c r="E69" s="149">
        <f>C69+E61+E66</f>
        <v>3400000</v>
      </c>
      <c r="F69" s="149">
        <f t="shared" ref="F69:AN69" si="16">E69+F61+F66</f>
        <v>3400000</v>
      </c>
      <c r="G69" s="149">
        <f t="shared" si="16"/>
        <v>3400000</v>
      </c>
      <c r="H69" s="149">
        <f t="shared" si="16"/>
        <v>3400000</v>
      </c>
      <c r="I69" s="149">
        <f t="shared" si="16"/>
        <v>3400000</v>
      </c>
      <c r="J69" s="149">
        <f t="shared" si="16"/>
        <v>3400000</v>
      </c>
      <c r="K69" s="149">
        <f t="shared" si="16"/>
        <v>3400000</v>
      </c>
      <c r="L69" s="149">
        <f t="shared" si="16"/>
        <v>3400000</v>
      </c>
      <c r="M69" s="149">
        <f t="shared" si="16"/>
        <v>3400000</v>
      </c>
      <c r="N69" s="149">
        <f t="shared" si="16"/>
        <v>3400000</v>
      </c>
      <c r="O69" s="149">
        <f t="shared" si="16"/>
        <v>3400000</v>
      </c>
      <c r="P69" s="149">
        <f t="shared" si="16"/>
        <v>3400000</v>
      </c>
      <c r="Q69" s="149">
        <f t="shared" si="16"/>
        <v>6800000</v>
      </c>
      <c r="R69" s="149">
        <f t="shared" si="16"/>
        <v>6800000</v>
      </c>
      <c r="S69" s="149">
        <f t="shared" si="16"/>
        <v>6800000</v>
      </c>
      <c r="T69" s="149">
        <f t="shared" si="16"/>
        <v>6800000</v>
      </c>
      <c r="U69" s="149">
        <f t="shared" si="16"/>
        <v>6800000</v>
      </c>
      <c r="V69" s="149">
        <f t="shared" si="16"/>
        <v>6800000</v>
      </c>
      <c r="W69" s="149">
        <f t="shared" si="16"/>
        <v>6800000</v>
      </c>
      <c r="X69" s="149">
        <f t="shared" si="16"/>
        <v>6800000</v>
      </c>
      <c r="Y69" s="149">
        <f t="shared" si="16"/>
        <v>6800000</v>
      </c>
      <c r="Z69" s="149">
        <f t="shared" si="16"/>
        <v>6800000</v>
      </c>
      <c r="AA69" s="149">
        <f t="shared" si="16"/>
        <v>6800000</v>
      </c>
      <c r="AB69" s="149">
        <f t="shared" si="16"/>
        <v>6800000</v>
      </c>
      <c r="AC69" s="149">
        <f t="shared" si="16"/>
        <v>20000000</v>
      </c>
      <c r="AD69" s="149">
        <f t="shared" si="16"/>
        <v>20000000</v>
      </c>
      <c r="AE69" s="149">
        <f t="shared" si="16"/>
        <v>20000000</v>
      </c>
      <c r="AF69" s="149">
        <f t="shared" si="16"/>
        <v>20000000</v>
      </c>
      <c r="AG69" s="149">
        <f t="shared" si="16"/>
        <v>20000000</v>
      </c>
      <c r="AH69" s="149">
        <f t="shared" si="16"/>
        <v>20000000</v>
      </c>
      <c r="AI69" s="149">
        <f t="shared" si="16"/>
        <v>20000000</v>
      </c>
      <c r="AJ69" s="149">
        <f t="shared" si="16"/>
        <v>20000000</v>
      </c>
      <c r="AK69" s="149">
        <f t="shared" si="16"/>
        <v>20000000</v>
      </c>
      <c r="AL69" s="149">
        <f t="shared" si="16"/>
        <v>20000000</v>
      </c>
      <c r="AM69" s="149">
        <f t="shared" si="16"/>
        <v>20000000</v>
      </c>
      <c r="AN69" s="149">
        <f t="shared" si="16"/>
        <v>20000000</v>
      </c>
      <c r="AP69" s="12" cm="1">
        <f t="array" ref="AP69">SUM(_xlfn._xlws.FILTER($E69:$AN69,$E$25:$AN$25=DATE(AP$25,12,1),0))</f>
        <v>3400000</v>
      </c>
      <c r="AQ69" s="12" cm="1">
        <f t="array" ref="AQ69">SUM(_xlfn._xlws.FILTER($E69:$AN69,$E$25:$AN$25=DATE(AQ$25,12,1),0))</f>
        <v>6800000</v>
      </c>
      <c r="AR69" s="12" cm="1">
        <f t="array" ref="AR69">SUM(_xlfn._xlws.FILTER($E69:$AN69,$E$25:$AN$25=DATE(AR$25,12,1),0))</f>
        <v>20000000</v>
      </c>
    </row>
    <row r="70" spans="2:44" x14ac:dyDescent="0.25">
      <c r="B70" s="39" t="s">
        <v>352</v>
      </c>
      <c r="E70" s="74">
        <f t="shared" ref="E70:AN70" si="17">E61+E66</f>
        <v>200000</v>
      </c>
      <c r="F70" s="74">
        <f t="shared" si="17"/>
        <v>0</v>
      </c>
      <c r="G70" s="74">
        <f t="shared" si="17"/>
        <v>0</v>
      </c>
      <c r="H70" s="74">
        <f t="shared" si="17"/>
        <v>0</v>
      </c>
      <c r="I70" s="74">
        <f t="shared" si="17"/>
        <v>0</v>
      </c>
      <c r="J70" s="74">
        <f t="shared" si="17"/>
        <v>0</v>
      </c>
      <c r="K70" s="74">
        <f t="shared" si="17"/>
        <v>0</v>
      </c>
      <c r="L70" s="74">
        <f t="shared" si="17"/>
        <v>0</v>
      </c>
      <c r="M70" s="74">
        <f t="shared" si="17"/>
        <v>0</v>
      </c>
      <c r="N70" s="74">
        <f t="shared" si="17"/>
        <v>0</v>
      </c>
      <c r="O70" s="74">
        <f t="shared" si="17"/>
        <v>0</v>
      </c>
      <c r="P70" s="74">
        <f t="shared" si="17"/>
        <v>0</v>
      </c>
      <c r="Q70" s="74">
        <f t="shared" si="17"/>
        <v>3400000</v>
      </c>
      <c r="R70" s="74">
        <f t="shared" si="17"/>
        <v>0</v>
      </c>
      <c r="S70" s="74">
        <f t="shared" si="17"/>
        <v>0</v>
      </c>
      <c r="T70" s="74">
        <f t="shared" si="17"/>
        <v>0</v>
      </c>
      <c r="U70" s="74">
        <f t="shared" si="17"/>
        <v>0</v>
      </c>
      <c r="V70" s="74">
        <f t="shared" si="17"/>
        <v>0</v>
      </c>
      <c r="W70" s="74">
        <f t="shared" si="17"/>
        <v>0</v>
      </c>
      <c r="X70" s="74">
        <f t="shared" si="17"/>
        <v>0</v>
      </c>
      <c r="Y70" s="74">
        <f t="shared" si="17"/>
        <v>0</v>
      </c>
      <c r="Z70" s="74">
        <f t="shared" si="17"/>
        <v>0</v>
      </c>
      <c r="AA70" s="74">
        <f t="shared" si="17"/>
        <v>0</v>
      </c>
      <c r="AB70" s="74">
        <f t="shared" si="17"/>
        <v>0</v>
      </c>
      <c r="AC70" s="74">
        <f t="shared" si="17"/>
        <v>13200000</v>
      </c>
      <c r="AD70" s="74">
        <f t="shared" si="17"/>
        <v>0</v>
      </c>
      <c r="AE70" s="74">
        <f t="shared" si="17"/>
        <v>9.3132257461547852E-10</v>
      </c>
      <c r="AF70" s="74">
        <f t="shared" si="17"/>
        <v>0</v>
      </c>
      <c r="AG70" s="74">
        <f t="shared" si="17"/>
        <v>0</v>
      </c>
      <c r="AH70" s="74">
        <f t="shared" si="17"/>
        <v>0</v>
      </c>
      <c r="AI70" s="74">
        <f t="shared" si="17"/>
        <v>-1.862645149230957E-9</v>
      </c>
      <c r="AJ70" s="74">
        <f t="shared" si="17"/>
        <v>0</v>
      </c>
      <c r="AK70" s="74">
        <f t="shared" si="17"/>
        <v>0</v>
      </c>
      <c r="AL70" s="74">
        <f t="shared" si="17"/>
        <v>0</v>
      </c>
      <c r="AM70" s="74">
        <f t="shared" si="17"/>
        <v>0</v>
      </c>
      <c r="AN70" s="74">
        <f t="shared" si="17"/>
        <v>-1.862645149230957E-9</v>
      </c>
      <c r="AP70" s="13" cm="1">
        <f t="array" ref="AP70">SUM(_xlfn._xlws.FILTER($E70:$AN70,YEAR($E$25:$AN$25)=AP$25,0))</f>
        <v>200000</v>
      </c>
      <c r="AQ70" s="13" cm="1">
        <f t="array" ref="AQ70">SUM(_xlfn._xlws.FILTER($E70:$AN70,YEAR($E$25:$AN$25)=AQ$25,0))</f>
        <v>3400000</v>
      </c>
      <c r="AR70" s="13" cm="1">
        <f t="array" ref="AR70">SUM(_xlfn._xlws.FILTER($E70:$AN70,YEAR($E$25:$AN$25)=AR$25,0))</f>
        <v>13199999.999999996</v>
      </c>
    </row>
    <row r="71" spans="2:44" x14ac:dyDescent="0.25">
      <c r="Z71" s="67"/>
      <c r="AN71" s="67"/>
      <c r="AP71" s="67"/>
      <c r="AQ71" s="67"/>
      <c r="AR71" s="67"/>
    </row>
    <row r="72" spans="2:44" x14ac:dyDescent="0.25">
      <c r="E72" s="97" t="s">
        <v>532</v>
      </c>
      <c r="AN72" s="67"/>
      <c r="AP72" s="67"/>
      <c r="AQ72" s="67"/>
      <c r="AR72" s="67"/>
    </row>
    <row r="73" spans="2:44" x14ac:dyDescent="0.25">
      <c r="AN73" s="67"/>
      <c r="AP73" s="67"/>
      <c r="AQ73" s="67"/>
      <c r="AR73" s="67"/>
    </row>
  </sheetData>
  <printOptions horizontalCentered="1" verticalCentered="1"/>
  <pageMargins left="0" right="0" top="0" bottom="0" header="0" footer="0"/>
  <pageSetup paperSize="3" scale="90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D773-8D07-418C-BF49-296098674FAE}">
  <sheetPr>
    <tabColor theme="9" tint="0.79998168889431442"/>
  </sheetPr>
  <dimension ref="A1:AN78"/>
  <sheetViews>
    <sheetView workbookViewId="0">
      <pane xSplit="4" ySplit="25" topLeftCell="E26" activePane="bottomRight" state="frozen"/>
      <selection pane="topRight" activeCell="E1" sqref="E1"/>
      <selection pane="bottomLeft" activeCell="A26" sqref="A26"/>
      <selection pane="bottomRight" activeCell="C29" sqref="C2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 t="s">
        <v>354</v>
      </c>
      <c r="B1" s="3"/>
      <c r="C1" s="3"/>
      <c r="D1" s="55" t="s">
        <v>56</v>
      </c>
      <c r="E1" s="168" cm="1">
        <f t="array" ref="E1">_xlfn.LET(_xlpm.data,_xlfn.VSTACK('MS:NCA9'!E1),_xlpm.states,_xlfn.VSTACK('MS:NCA9'!$B$2),
SUM(_xlfn._xlws.FILTER(_xlpm.data,(_xlpm.states="new jersey")+(_xlpm.states="m&amp;a"))))</f>
        <v>132</v>
      </c>
      <c r="F1" s="168" cm="1">
        <f t="array" ref="F1">_xlfn.LET(_xlpm.data,_xlfn.VSTACK('MS:NCA9'!F1),_xlpm.states,_xlfn.VSTACK('MS:NCA9'!$B$2),
SUM(_xlfn._xlws.FILTER(_xlpm.data,(_xlpm.states="new jersey")+(_xlpm.states="m&amp;a"))))</f>
        <v>214</v>
      </c>
      <c r="G1" s="168" cm="1">
        <f t="array" ref="G1">_xlfn.LET(_xlpm.data,_xlfn.VSTACK('MS:NCA9'!G1),_xlpm.states,_xlfn.VSTACK('MS:NCA9'!$B$2),
SUM(_xlfn._xlws.FILTER(_xlpm.data,(_xlpm.states="new jersey")+(_xlpm.states="m&amp;a"))))</f>
        <v>302</v>
      </c>
      <c r="H1" s="168" cm="1">
        <f t="array" ref="H1">_xlfn.LET(_xlpm.data,_xlfn.VSTACK('MS:NCA9'!H1),_xlpm.states,_xlfn.VSTACK('MS:NCA9'!$B$2),
SUM(_xlfn._xlws.FILTER(_xlpm.data,(_xlpm.states="new jersey")+(_xlpm.states="m&amp;a"))))</f>
        <v>395</v>
      </c>
      <c r="I1" s="168" cm="1">
        <f t="array" ref="I1">_xlfn.LET(_xlpm.data,_xlfn.VSTACK('MS:NCA9'!I1),_xlpm.states,_xlfn.VSTACK('MS:NCA9'!$B$2),
SUM(_xlfn._xlws.FILTER(_xlpm.data,(_xlpm.states="new jersey")+(_xlpm.states="m&amp;a"))))</f>
        <v>483</v>
      </c>
      <c r="J1" s="168" cm="1">
        <f t="array" ref="J1">_xlfn.LET(_xlpm.data,_xlfn.VSTACK('MS:NCA9'!J1),_xlpm.states,_xlfn.VSTACK('MS:NCA9'!$B$2),
SUM(_xlfn._xlws.FILTER(_xlpm.data,(_xlpm.states="new jersey")+(_xlpm.states="m&amp;a"))))</f>
        <v>573</v>
      </c>
      <c r="K1" s="168" cm="1">
        <f t="array" ref="K1">_xlfn.LET(_xlpm.data,_xlfn.VSTACK('MS:NCA9'!K1),_xlpm.states,_xlfn.VSTACK('MS:NCA9'!$B$2),
SUM(_xlfn._xlws.FILTER(_xlpm.data,(_xlpm.states="new jersey")+(_xlpm.states="m&amp;a"))))</f>
        <v>598</v>
      </c>
      <c r="L1" s="168" cm="1">
        <f t="array" ref="L1">_xlfn.LET(_xlpm.data,_xlfn.VSTACK('MS:NCA9'!L1),_xlpm.states,_xlfn.VSTACK('MS:NCA9'!$B$2),
SUM(_xlfn._xlws.FILTER(_xlpm.data,(_xlpm.states="new jersey")+(_xlpm.states="m&amp;a"))))</f>
        <v>623</v>
      </c>
      <c r="M1" s="168" cm="1">
        <f t="array" ref="M1">_xlfn.LET(_xlpm.data,_xlfn.VSTACK('MS:NCA9'!M1),_xlpm.states,_xlfn.VSTACK('MS:NCA9'!$B$2),
SUM(_xlfn._xlws.FILTER(_xlpm.data,(_xlpm.states="new jersey")+(_xlpm.states="m&amp;a"))))</f>
        <v>652</v>
      </c>
      <c r="N1" s="168" cm="1">
        <f t="array" ref="N1">_xlfn.LET(_xlpm.data,_xlfn.VSTACK('MS:NCA9'!N1),_xlpm.states,_xlfn.VSTACK('MS:NCA9'!$B$2),
SUM(_xlfn._xlws.FILTER(_xlpm.data,(_xlpm.states="new jersey")+(_xlpm.states="m&amp;a"))))</f>
        <v>704</v>
      </c>
      <c r="O1" s="168" cm="1">
        <f t="array" ref="O1">_xlfn.LET(_xlpm.data,_xlfn.VSTACK('MS:NCA9'!O1),_xlpm.states,_xlfn.VSTACK('MS:NCA9'!$B$2),
SUM(_xlfn._xlws.FILTER(_xlpm.data,(_xlpm.states="new jersey")+(_xlpm.states="m&amp;a"))))</f>
        <v>761</v>
      </c>
      <c r="P1" s="168" cm="1">
        <f t="array" ref="P1">_xlfn.LET(_xlpm.data,_xlfn.VSTACK('MS:NCA9'!P1),_xlpm.states,_xlfn.VSTACK('MS:NCA9'!$B$2),
SUM(_xlfn._xlws.FILTER(_xlpm.data,(_xlpm.states="new jersey")+(_xlpm.states="m&amp;a"))))</f>
        <v>818</v>
      </c>
      <c r="Q1" s="168" cm="1">
        <f t="array" ref="Q1">_xlfn.LET(_xlpm.data,_xlfn.VSTACK('MS:NCA9'!Q1),_xlpm.states,_xlfn.VSTACK('MS:NCA9'!$B$2),
SUM(_xlfn._xlws.FILTER(_xlpm.data,(_xlpm.states="new jersey")+(_xlpm.states="m&amp;a"))))</f>
        <v>897</v>
      </c>
      <c r="R1" s="168" cm="1">
        <f t="array" ref="R1">_xlfn.LET(_xlpm.data,_xlfn.VSTACK('MS:NCA9'!R1),_xlpm.states,_xlfn.VSTACK('MS:NCA9'!$B$2),
SUM(_xlfn._xlws.FILTER(_xlpm.data,(_xlpm.states="new jersey")+(_xlpm.states="m&amp;a"))))</f>
        <v>971</v>
      </c>
      <c r="S1" s="168" cm="1">
        <f t="array" ref="S1">_xlfn.LET(_xlpm.data,_xlfn.VSTACK('MS:NCA9'!S1),_xlpm.states,_xlfn.VSTACK('MS:NCA9'!$B$2),
SUM(_xlfn._xlws.FILTER(_xlpm.data,(_xlpm.states="new jersey")+(_xlpm.states="m&amp;a"))))</f>
        <v>1050</v>
      </c>
      <c r="T1" s="168" cm="1">
        <f t="array" ref="T1">_xlfn.LET(_xlpm.data,_xlfn.VSTACK('MS:NCA9'!T1),_xlpm.states,_xlfn.VSTACK('MS:NCA9'!$B$2),
SUM(_xlfn._xlws.FILTER(_xlpm.data,(_xlpm.states="new jersey")+(_xlpm.states="m&amp;a"))))</f>
        <v>1112</v>
      </c>
      <c r="U1" s="168" cm="1">
        <f t="array" ref="U1">_xlfn.LET(_xlpm.data,_xlfn.VSTACK('MS:NCA9'!U1),_xlpm.states,_xlfn.VSTACK('MS:NCA9'!$B$2),
SUM(_xlfn._xlws.FILTER(_xlpm.data,(_xlpm.states="new jersey")+(_xlpm.states="m&amp;a"))))</f>
        <v>1167</v>
      </c>
      <c r="V1" s="168" cm="1">
        <f t="array" ref="V1">_xlfn.LET(_xlpm.data,_xlfn.VSTACK('MS:NCA9'!V1),_xlpm.states,_xlfn.VSTACK('MS:NCA9'!$B$2),
SUM(_xlfn._xlws.FILTER(_xlpm.data,(_xlpm.states="new jersey")+(_xlpm.states="m&amp;a"))))</f>
        <v>1219</v>
      </c>
      <c r="W1" s="168" cm="1">
        <f t="array" ref="W1">_xlfn.LET(_xlpm.data,_xlfn.VSTACK('MS:NCA9'!W1),_xlpm.states,_xlfn.VSTACK('MS:NCA9'!$B$2),
SUM(_xlfn._xlws.FILTER(_xlpm.data,(_xlpm.states="new jersey")+(_xlpm.states="m&amp;a"))))</f>
        <v>1257</v>
      </c>
      <c r="X1" s="168" cm="1">
        <f t="array" ref="X1">_xlfn.LET(_xlpm.data,_xlfn.VSTACK('MS:NCA9'!X1),_xlpm.states,_xlfn.VSTACK('MS:NCA9'!$B$2),
SUM(_xlfn._xlws.FILTER(_xlpm.data,(_xlpm.states="new jersey")+(_xlpm.states="m&amp;a"))))</f>
        <v>1298</v>
      </c>
      <c r="Y1" s="168" cm="1">
        <f t="array" ref="Y1">_xlfn.LET(_xlpm.data,_xlfn.VSTACK('MS:NCA9'!Y1),_xlpm.states,_xlfn.VSTACK('MS:NCA9'!$B$2),
SUM(_xlfn._xlws.FILTER(_xlpm.data,(_xlpm.states="new jersey")+(_xlpm.states="m&amp;a"))))</f>
        <v>1332</v>
      </c>
      <c r="Z1" s="168" cm="1">
        <f t="array" ref="Z1">_xlfn.LET(_xlpm.data,_xlfn.VSTACK('MS:NCA9'!Z1),_xlpm.states,_xlfn.VSTACK('MS:NCA9'!$B$2),
SUM(_xlfn._xlws.FILTER(_xlpm.data,(_xlpm.states="new jersey")+(_xlpm.states="m&amp;a"))))</f>
        <v>1372</v>
      </c>
      <c r="AA1" s="168" cm="1">
        <f t="array" ref="AA1">_xlfn.LET(_xlpm.data,_xlfn.VSTACK('MS:NCA9'!AA1),_xlpm.states,_xlfn.VSTACK('MS:NCA9'!$B$2),
SUM(_xlfn._xlws.FILTER(_xlpm.data,(_xlpm.states="new jersey")+(_xlpm.states="m&amp;a"))))</f>
        <v>1412</v>
      </c>
      <c r="AB1" s="168" cm="1">
        <f t="array" ref="AB1">_xlfn.LET(_xlpm.data,_xlfn.VSTACK('MS:NCA9'!AB1),_xlpm.states,_xlfn.VSTACK('MS:NCA9'!$B$2),
SUM(_xlfn._xlws.FILTER(_xlpm.data,(_xlpm.states="new jersey")+(_xlpm.states="m&amp;a"))))</f>
        <v>1452</v>
      </c>
      <c r="AC1" s="168" cm="1">
        <f t="array" ref="AC1">_xlfn.LET(_xlpm.data,_xlfn.VSTACK('MS:NCA9'!AC1),_xlpm.states,_xlfn.VSTACK('MS:NCA9'!$B$2),
SUM(_xlfn._xlws.FILTER(_xlpm.data,(_xlpm.states="new jersey")+(_xlpm.states="m&amp;a"))))</f>
        <v>1509</v>
      </c>
      <c r="AD1" s="168" cm="1">
        <f t="array" ref="AD1">_xlfn.LET(_xlpm.data,_xlfn.VSTACK('MS:NCA9'!AD1),_xlpm.states,_xlfn.VSTACK('MS:NCA9'!$B$2),
SUM(_xlfn._xlws.FILTER(_xlpm.data,(_xlpm.states="new jersey")+(_xlpm.states="m&amp;a"))))</f>
        <v>1563</v>
      </c>
      <c r="AE1" s="168" cm="1">
        <f t="array" ref="AE1">_xlfn.LET(_xlpm.data,_xlfn.VSTACK('MS:NCA9'!AE1),_xlpm.states,_xlfn.VSTACK('MS:NCA9'!$B$2),
SUM(_xlfn._xlws.FILTER(_xlpm.data,(_xlpm.states="new jersey")+(_xlpm.states="m&amp;a"))))</f>
        <v>1619</v>
      </c>
      <c r="AF1" s="168" cm="1">
        <f t="array" ref="AF1">_xlfn.LET(_xlpm.data,_xlfn.VSTACK('MS:NCA9'!AF1),_xlpm.states,_xlfn.VSTACK('MS:NCA9'!$B$2),
SUM(_xlfn._xlws.FILTER(_xlpm.data,(_xlpm.states="new jersey")+(_xlpm.states="m&amp;a"))))</f>
        <v>1672</v>
      </c>
      <c r="AG1" s="168" cm="1">
        <f t="array" ref="AG1">_xlfn.LET(_xlpm.data,_xlfn.VSTACK('MS:NCA9'!AG1),_xlpm.states,_xlfn.VSTACK('MS:NCA9'!$B$2),
SUM(_xlfn._xlws.FILTER(_xlpm.data,(_xlpm.states="new jersey")+(_xlpm.states="m&amp;a"))))</f>
        <v>1722</v>
      </c>
      <c r="AH1" s="168" cm="1">
        <f t="array" ref="AH1">_xlfn.LET(_xlpm.data,_xlfn.VSTACK('MS:NCA9'!AH1),_xlpm.states,_xlfn.VSTACK('MS:NCA9'!$B$2),
SUM(_xlfn._xlws.FILTER(_xlpm.data,(_xlpm.states="new jersey")+(_xlpm.states="m&amp;a"))))</f>
        <v>1775</v>
      </c>
      <c r="AI1" s="168" cm="1">
        <f t="array" ref="AI1">_xlfn.LET(_xlpm.data,_xlfn.VSTACK('MS:NCA9'!AI1),_xlpm.states,_xlfn.VSTACK('MS:NCA9'!$B$2),
SUM(_xlfn._xlws.FILTER(_xlpm.data,(_xlpm.states="new jersey")+(_xlpm.states="m&amp;a"))))</f>
        <v>1813</v>
      </c>
      <c r="AJ1" s="168" cm="1">
        <f t="array" ref="AJ1">_xlfn.LET(_xlpm.data,_xlfn.VSTACK('MS:NCA9'!AJ1),_xlpm.states,_xlfn.VSTACK('MS:NCA9'!$B$2),
SUM(_xlfn._xlws.FILTER(_xlpm.data,(_xlpm.states="new jersey")+(_xlpm.states="m&amp;a"))))</f>
        <v>1854</v>
      </c>
      <c r="AK1" s="168" cm="1">
        <f t="array" ref="AK1">_xlfn.LET(_xlpm.data,_xlfn.VSTACK('MS:NCA9'!AK1),_xlpm.states,_xlfn.VSTACK('MS:NCA9'!$B$2),
SUM(_xlfn._xlws.FILTER(_xlpm.data,(_xlpm.states="new jersey")+(_xlpm.states="m&amp;a"))))</f>
        <v>1894</v>
      </c>
      <c r="AL1" s="168" cm="1">
        <f t="array" ref="AL1">_xlfn.LET(_xlpm.data,_xlfn.VSTACK('MS:NCA9'!AL1),_xlpm.states,_xlfn.VSTACK('MS:NCA9'!$B$2),
SUM(_xlfn._xlws.FILTER(_xlpm.data,(_xlpm.states="new jersey")+(_xlpm.states="m&amp;a"))))</f>
        <v>1936</v>
      </c>
      <c r="AM1" s="168" cm="1">
        <f t="array" ref="AM1">_xlfn.LET(_xlpm.data,_xlfn.VSTACK('MS:NCA9'!AM1),_xlpm.states,_xlfn.VSTACK('MS:NCA9'!$B$2),
SUM(_xlfn._xlws.FILTER(_xlpm.data,(_xlpm.states="new jersey")+(_xlpm.states="m&amp;a"))))</f>
        <v>1977</v>
      </c>
      <c r="AN1" s="168" cm="1">
        <f t="array" ref="AN1">_xlfn.LET(_xlpm.data,_xlfn.VSTACK('MS:NCA9'!AN1),_xlpm.states,_xlfn.VSTACK('MS:NCA9'!$B$2),
SUM(_xlfn._xlws.FILTER(_xlpm.data,(_xlpm.states="new jersey")+(_xlpm.states="m&amp;a"))))</f>
        <v>2014</v>
      </c>
    </row>
    <row r="2" spans="1:40" outlineLevel="1" x14ac:dyDescent="0.25">
      <c r="B2" s="1" t="s">
        <v>329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outlineLevel="1" x14ac:dyDescent="0.25">
      <c r="B3" s="39" t="s">
        <v>314</v>
      </c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outlineLevel="1" x14ac:dyDescent="0.25">
      <c r="B4" s="39" t="s">
        <v>355</v>
      </c>
      <c r="C4" s="3"/>
      <c r="D4" s="3"/>
      <c r="E4" s="168" cm="1">
        <f t="array" ref="E4">_xlfn.LET(_xlpm.data,_xlfn.VSTACK('MDA1:NCA9'!E21),_xlpm.states,_xlfn.VSTACK('MDA1:NCA9'!$B$2),
SUM(_xlfn._xlws.FILTER(_xlpm.data,(_xlpm.states="new jersey")+(_xlpm.states="m&amp;a"))))</f>
        <v>58</v>
      </c>
      <c r="F4" s="168" cm="1">
        <f t="array" ref="F4">_xlfn.LET(_xlpm.data,_xlfn.VSTACK('MDA1:NCA9'!F21),_xlpm.states,_xlfn.VSTACK('MDA1:NCA9'!$B$2),
SUM(_xlfn._xlws.FILTER(_xlpm.data,(_xlpm.states="new jersey")+(_xlpm.states="M&amp;A"))))</f>
        <v>69</v>
      </c>
      <c r="G4" s="168" cm="1">
        <f t="array" ref="G4">_xlfn.LET(_xlpm.data,_xlfn.VSTACK('MDA1:NCA9'!G21),_xlpm.states,_xlfn.VSTACK('MDA1:NCA9'!$B$2),
SUM(_xlfn._xlws.FILTER(_xlpm.data,(_xlpm.states="new jersey")+(_xlpm.states="M&amp;A"))))</f>
        <v>85</v>
      </c>
      <c r="H4" s="168" cm="1">
        <f t="array" ref="H4">_xlfn.LET(_xlpm.data,_xlfn.VSTACK('MDA1:NCA9'!H21),_xlpm.states,_xlfn.VSTACK('MDA1:NCA9'!$B$2),
SUM(_xlfn._xlws.FILTER(_xlpm.data,(_xlpm.states="new jersey")+(_xlpm.states="M&amp;A"))))</f>
        <v>109</v>
      </c>
      <c r="I4" s="168" cm="1">
        <f t="array" ref="I4">_xlfn.LET(_xlpm.data,_xlfn.VSTACK('MDA1:NCA9'!I21),_xlpm.states,_xlfn.VSTACK('MDA1:NCA9'!$B$2),
SUM(_xlfn._xlws.FILTER(_xlpm.data,(_xlpm.states="new jersey")+(_xlpm.states="M&amp;A"))))</f>
        <v>129</v>
      </c>
      <c r="J4" s="168" cm="1">
        <f t="array" ref="J4">_xlfn.LET(_xlpm.data,_xlfn.VSTACK('MDA1:NCA9'!J21),_xlpm.states,_xlfn.VSTACK('MDA1:NCA9'!$B$2),
SUM(_xlfn._xlws.FILTER(_xlpm.data,(_xlpm.states="new jersey")+(_xlpm.states="M&amp;A"))))</f>
        <v>146</v>
      </c>
      <c r="K4" s="168" cm="1">
        <f t="array" ref="K4">_xlfn.LET(_xlpm.data,_xlfn.VSTACK('MDA1:NCA9'!K21),_xlpm.states,_xlfn.VSTACK('MDA1:NCA9'!$B$2),
SUM(_xlfn._xlws.FILTER(_xlpm.data,(_xlpm.states="new jersey")+(_xlpm.states="M&amp;A"))))</f>
        <v>165</v>
      </c>
      <c r="L4" s="168" cm="1">
        <f t="array" ref="L4">_xlfn.LET(_xlpm.data,_xlfn.VSTACK('MDA1:NCA9'!L21),_xlpm.states,_xlfn.VSTACK('MDA1:NCA9'!$B$2),
SUM(_xlfn._xlws.FILTER(_xlpm.data,(_xlpm.states="new jersey")+(_xlpm.states="M&amp;A"))))</f>
        <v>187</v>
      </c>
      <c r="M4" s="168" cm="1">
        <f t="array" ref="M4">_xlfn.LET(_xlpm.data,_xlfn.VSTACK('MDA1:NCA9'!M21),_xlpm.states,_xlfn.VSTACK('MDA1:NCA9'!$B$2),
SUM(_xlfn._xlws.FILTER(_xlpm.data,(_xlpm.states="new jersey")+(_xlpm.states="M&amp;A"))))</f>
        <v>213</v>
      </c>
      <c r="N4" s="168" cm="1">
        <f t="array" ref="N4">_xlfn.LET(_xlpm.data,_xlfn.VSTACK('MDA1:NCA9'!N21),_xlpm.states,_xlfn.VSTACK('MDA1:NCA9'!$B$2),
SUM(_xlfn._xlws.FILTER(_xlpm.data,(_xlpm.states="new jersey")+(_xlpm.states="M&amp;A"))))</f>
        <v>238</v>
      </c>
      <c r="O4" s="168" cm="1">
        <f t="array" ref="O4">_xlfn.LET(_xlpm.data,_xlfn.VSTACK('MDA1:NCA9'!O21),_xlpm.states,_xlfn.VSTACK('MDA1:NCA9'!$B$2),
SUM(_xlfn._xlws.FILTER(_xlpm.data,(_xlpm.states="new jersey")+(_xlpm.states="M&amp;A"))))</f>
        <v>267</v>
      </c>
      <c r="P4" s="168" cm="1">
        <f t="array" ref="P4">_xlfn.LET(_xlpm.data,_xlfn.VSTACK('MDA1:NCA9'!P21),_xlpm.states,_xlfn.VSTACK('MDA1:NCA9'!$B$2),
SUM(_xlfn._xlws.FILTER(_xlpm.data,(_xlpm.states="new jersey")+(_xlpm.states="M&amp;A"))))</f>
        <v>298</v>
      </c>
      <c r="Q4" s="168" cm="1">
        <f t="array" ref="Q4">_xlfn.LET(_xlpm.data,_xlfn.VSTACK('MDA1:NCA9'!Q21),_xlpm.states,_xlfn.VSTACK('MDA1:NCA9'!$B$2),
SUM(_xlfn._xlws.FILTER(_xlpm.data,(_xlpm.states="new jersey")+(_xlpm.states="M&amp;A"))))</f>
        <v>328</v>
      </c>
      <c r="R4" s="168" cm="1">
        <f t="array" ref="R4">_xlfn.LET(_xlpm.data,_xlfn.VSTACK('MDA1:NCA9'!R21),_xlpm.states,_xlfn.VSTACK('MDA1:NCA9'!$B$2),
SUM(_xlfn._xlws.FILTER(_xlpm.data,(_xlpm.states="new jersey")+(_xlpm.states="M&amp;A"))))</f>
        <v>350</v>
      </c>
      <c r="S4" s="168" cm="1">
        <f t="array" ref="S4">_xlfn.LET(_xlpm.data,_xlfn.VSTACK('MDA1:NCA9'!S21),_xlpm.states,_xlfn.VSTACK('MDA1:NCA9'!$B$2),
SUM(_xlfn._xlws.FILTER(_xlpm.data,(_xlpm.states="new jersey")+(_xlpm.states="M&amp;A"))))</f>
        <v>376</v>
      </c>
      <c r="T4" s="168" cm="1">
        <f t="array" ref="T4">_xlfn.LET(_xlpm.data,_xlfn.VSTACK('MDA1:NCA9'!T21),_xlpm.states,_xlfn.VSTACK('MDA1:NCA9'!$B$2),
SUM(_xlfn._xlws.FILTER(_xlpm.data,(_xlpm.states="new jersey")+(_xlpm.states="M&amp;A"))))</f>
        <v>409</v>
      </c>
      <c r="U4" s="168" cm="1">
        <f t="array" ref="U4">_xlfn.LET(_xlpm.data,_xlfn.VSTACK('MDA1:NCA9'!U21),_xlpm.states,_xlfn.VSTACK('MDA1:NCA9'!$B$2),
SUM(_xlfn._xlws.FILTER(_xlpm.data,(_xlpm.states="new jersey")+(_xlpm.states="M&amp;A"))))</f>
        <v>429</v>
      </c>
      <c r="V4" s="168" cm="1">
        <f t="array" ref="V4">_xlfn.LET(_xlpm.data,_xlfn.VSTACK('MDA1:NCA9'!V21),_xlpm.states,_xlfn.VSTACK('MDA1:NCA9'!$B$2),
SUM(_xlfn._xlws.FILTER(_xlpm.data,(_xlpm.states="new jersey")+(_xlpm.states="M&amp;A"))))</f>
        <v>446</v>
      </c>
      <c r="W4" s="168" cm="1">
        <f t="array" ref="W4">_xlfn.LET(_xlpm.data,_xlfn.VSTACK('MDA1:NCA9'!W21),_xlpm.states,_xlfn.VSTACK('MDA1:NCA9'!$B$2),
SUM(_xlfn._xlws.FILTER(_xlpm.data,(_xlpm.states="new jersey")+(_xlpm.states="M&amp;A"))))</f>
        <v>465</v>
      </c>
      <c r="X4" s="168" cm="1">
        <f t="array" ref="X4">_xlfn.LET(_xlpm.data,_xlfn.VSTACK('MDA1:NCA9'!X21),_xlpm.states,_xlfn.VSTACK('MDA1:NCA9'!$B$2),
SUM(_xlfn._xlws.FILTER(_xlpm.data,(_xlpm.states="new jersey")+(_xlpm.states="M&amp;A"))))</f>
        <v>492</v>
      </c>
      <c r="Y4" s="168" cm="1">
        <f t="array" ref="Y4">_xlfn.LET(_xlpm.data,_xlfn.VSTACK('MDA1:NCA9'!Y21),_xlpm.states,_xlfn.VSTACK('MDA1:NCA9'!$B$2),
SUM(_xlfn._xlws.FILTER(_xlpm.data,(_xlpm.states="new jersey")+(_xlpm.states="M&amp;A"))))</f>
        <v>510</v>
      </c>
      <c r="Z4" s="168" cm="1">
        <f t="array" ref="Z4">_xlfn.LET(_xlpm.data,_xlfn.VSTACK('MDA1:NCA9'!Z21),_xlpm.states,_xlfn.VSTACK('MDA1:NCA9'!$B$2),
SUM(_xlfn._xlws.FILTER(_xlpm.data,(_xlpm.states="new jersey")+(_xlpm.states="M&amp;A"))))</f>
        <v>531</v>
      </c>
      <c r="AA4" s="168" cm="1">
        <f t="array" ref="AA4">_xlfn.LET(_xlpm.data,_xlfn.VSTACK('MDA1:NCA9'!AA21),_xlpm.states,_xlfn.VSTACK('MDA1:NCA9'!$B$2),
SUM(_xlfn._xlws.FILTER(_xlpm.data,(_xlpm.states="new jersey")+(_xlpm.states="M&amp;A"))))</f>
        <v>551</v>
      </c>
      <c r="AB4" s="168" cm="1">
        <f t="array" ref="AB4">_xlfn.LET(_xlpm.data,_xlfn.VSTACK('MDA1:NCA9'!AB21),_xlpm.states,_xlfn.VSTACK('MDA1:NCA9'!$B$2),
SUM(_xlfn._xlws.FILTER(_xlpm.data,(_xlpm.states="new jersey")+(_xlpm.states="M&amp;A"))))</f>
        <v>578</v>
      </c>
      <c r="AC4" s="168" cm="1">
        <f t="array" ref="AC4">_xlfn.LET(_xlpm.data,_xlfn.VSTACK('MDA1:NCA9'!AC21),_xlpm.states,_xlfn.VSTACK('MDA1:NCA9'!$B$2),
SUM(_xlfn._xlws.FILTER(_xlpm.data,(_xlpm.states="new jersey")+(_xlpm.states="M&amp;A"))))</f>
        <v>596</v>
      </c>
      <c r="AD4" s="168" cm="1">
        <f t="array" ref="AD4">_xlfn.LET(_xlpm.data,_xlfn.VSTACK('MDA1:NCA9'!AD21),_xlpm.states,_xlfn.VSTACK('MDA1:NCA9'!$B$2),
SUM(_xlfn._xlws.FILTER(_xlpm.data,(_xlpm.states="new jersey")+(_xlpm.states="M&amp;A"))))</f>
        <v>614</v>
      </c>
      <c r="AE4" s="168" cm="1">
        <f t="array" ref="AE4">_xlfn.LET(_xlpm.data,_xlfn.VSTACK('MDA1:NCA9'!AE21),_xlpm.states,_xlfn.VSTACK('MDA1:NCA9'!$B$2),
SUM(_xlfn._xlws.FILTER(_xlpm.data,(_xlpm.states="new jersey")+(_xlpm.states="M&amp;A"))))</f>
        <v>633</v>
      </c>
      <c r="AF4" s="168" cm="1">
        <f t="array" ref="AF4">_xlfn.LET(_xlpm.data,_xlfn.VSTACK('MDA1:NCA9'!AF21),_xlpm.states,_xlfn.VSTACK('MDA1:NCA9'!$B$2),
SUM(_xlfn._xlws.FILTER(_xlpm.data,(_xlpm.states="new jersey")+(_xlpm.states="M&amp;A"))))</f>
        <v>655</v>
      </c>
      <c r="AG4" s="168" cm="1">
        <f t="array" ref="AG4">_xlfn.LET(_xlpm.data,_xlfn.VSTACK('MDA1:NCA9'!AG21),_xlpm.states,_xlfn.VSTACK('MDA1:NCA9'!$B$2),
SUM(_xlfn._xlws.FILTER(_xlpm.data,(_xlpm.states="new jersey")+(_xlpm.states="M&amp;A"))))</f>
        <v>671</v>
      </c>
      <c r="AH4" s="168" cm="1">
        <f t="array" ref="AH4">_xlfn.LET(_xlpm.data,_xlfn.VSTACK('MDA1:NCA9'!AH21),_xlpm.states,_xlfn.VSTACK('MDA1:NCA9'!$B$2),
SUM(_xlfn._xlws.FILTER(_xlpm.data,(_xlpm.states="new jersey")+(_xlpm.states="M&amp;A"))))</f>
        <v>686</v>
      </c>
      <c r="AI4" s="168" cm="1">
        <f t="array" ref="AI4">_xlfn.LET(_xlpm.data,_xlfn.VSTACK('MDA1:NCA9'!AI21),_xlpm.states,_xlfn.VSTACK('MDA1:NCA9'!$B$2),
SUM(_xlfn._xlws.FILTER(_xlpm.data,(_xlpm.states="new jersey")+(_xlpm.states="M&amp;A"))))</f>
        <v>705</v>
      </c>
      <c r="AJ4" s="168" cm="1">
        <f t="array" ref="AJ4">_xlfn.LET(_xlpm.data,_xlfn.VSTACK('MDA1:NCA9'!AJ21),_xlpm.states,_xlfn.VSTACK('MDA1:NCA9'!$B$2),
SUM(_xlfn._xlws.FILTER(_xlpm.data,(_xlpm.states="new jersey")+(_xlpm.states="M&amp;A"))))</f>
        <v>729</v>
      </c>
      <c r="AK4" s="168" cm="1">
        <f t="array" ref="AK4">_xlfn.LET(_xlpm.data,_xlfn.VSTACK('MDA1:NCA9'!AK21),_xlpm.states,_xlfn.VSTACK('MDA1:NCA9'!$B$2),
SUM(_xlfn._xlws.FILTER(_xlpm.data,(_xlpm.states="new jersey")+(_xlpm.states="M&amp;A"))))</f>
        <v>754</v>
      </c>
      <c r="AL4" s="168" cm="1">
        <f t="array" ref="AL4">_xlfn.LET(_xlpm.data,_xlfn.VSTACK('MDA1:NCA9'!AL21),_xlpm.states,_xlfn.VSTACK('MDA1:NCA9'!$B$2),
SUM(_xlfn._xlws.FILTER(_xlpm.data,(_xlpm.states="new jersey")+(_xlpm.states="M&amp;A"))))</f>
        <v>776</v>
      </c>
      <c r="AM4" s="168" cm="1">
        <f t="array" ref="AM4">_xlfn.LET(_xlpm.data,_xlfn.VSTACK('MDA1:NCA9'!AM21),_xlpm.states,_xlfn.VSTACK('MDA1:NCA9'!$B$2),
SUM(_xlfn._xlws.FILTER(_xlpm.data,(_xlpm.states="new jersey")+(_xlpm.states="M&amp;A"))))</f>
        <v>802</v>
      </c>
      <c r="AN4" s="168" cm="1">
        <f t="array" ref="AN4">_xlfn.LET(_xlpm.data,_xlfn.VSTACK('MDA1:NCA9'!AN21),_xlpm.states,_xlfn.VSTACK('MDA1:NCA9'!$B$2),
SUM(_xlfn._xlws.FILTER(_xlpm.data,(_xlpm.states="new jersey")+(_xlpm.states="M&amp;A"))))</f>
        <v>830</v>
      </c>
    </row>
    <row r="5" spans="1:40" outlineLevel="1" x14ac:dyDescent="0.25">
      <c r="B5" s="39" t="s">
        <v>313</v>
      </c>
      <c r="C5" s="3"/>
      <c r="D5" s="3"/>
      <c r="E5" s="168" cm="1">
        <f t="array" ref="E5">_xlfn.LET(_xlpm.data,_xlfn.VSTACK('MDA1:NCA9'!E6)-_xlfn.VSTACK('MDA1:NCA9'!E21),_xlpm.states,_xlfn.VSTACK('MDA1:NCA9'!$B$2),
SUM(_xlfn._xlws.FILTER(_xlpm.data,(_xlpm.states="new jersey")+(_xlpm.states="m&amp;a"))))</f>
        <v>18</v>
      </c>
      <c r="F5" s="168" cm="1">
        <f t="array" ref="F5">_xlfn.LET(_xlpm.data,_xlfn.VSTACK('MDA1:NCA9'!F6)-_xlfn.VSTACK('MDA1:NCA9'!F21),_xlpm.states,_xlfn.VSTACK('MDA1:NCA9'!$B$2),
SUM(_xlfn._xlws.FILTER(_xlpm.data,(_xlpm.states="new jersey")+(_xlpm.states="M&amp;A"))))</f>
        <v>21</v>
      </c>
      <c r="G5" s="168" cm="1">
        <f t="array" ref="G5">_xlfn.LET(_xlpm.data,_xlfn.VSTACK('MDA1:NCA9'!G6)-_xlfn.VSTACK('MDA1:NCA9'!G21),_xlpm.states,_xlfn.VSTACK('MDA1:NCA9'!$B$2),
SUM(_xlfn._xlws.FILTER(_xlpm.data,(_xlpm.states="new jersey")+(_xlpm.states="M&amp;A"))))</f>
        <v>28</v>
      </c>
      <c r="H5" s="168" cm="1">
        <f t="array" ref="H5">_xlfn.LET(_xlpm.data,_xlfn.VSTACK('MDA1:NCA9'!H6)-_xlfn.VSTACK('MDA1:NCA9'!H21),_xlpm.states,_xlfn.VSTACK('MDA1:NCA9'!$B$2),
SUM(_xlfn._xlws.FILTER(_xlpm.data,(_xlpm.states="new jersey")+(_xlpm.states="M&amp;A"))))</f>
        <v>35</v>
      </c>
      <c r="I5" s="168" cm="1">
        <f t="array" ref="I5">_xlfn.LET(_xlpm.data,_xlfn.VSTACK('MDA1:NCA9'!I6)-_xlfn.VSTACK('MDA1:NCA9'!I21),_xlpm.states,_xlfn.VSTACK('MDA1:NCA9'!$B$2),
SUM(_xlfn._xlws.FILTER(_xlpm.data,(_xlpm.states="new jersey")+(_xlpm.states="M&amp;A"))))</f>
        <v>40</v>
      </c>
      <c r="J5" s="168" cm="1">
        <f t="array" ref="J5">_xlfn.LET(_xlpm.data,_xlfn.VSTACK('MDA1:NCA9'!J6)-_xlfn.VSTACK('MDA1:NCA9'!J21),_xlpm.states,_xlfn.VSTACK('MDA1:NCA9'!$B$2),
SUM(_xlfn._xlws.FILTER(_xlpm.data,(_xlpm.states="new jersey")+(_xlpm.states="M&amp;A"))))</f>
        <v>42</v>
      </c>
      <c r="K5" s="168" cm="1">
        <f t="array" ref="K5">_xlfn.LET(_xlpm.data,_xlfn.VSTACK('MDA1:NCA9'!K6)-_xlfn.VSTACK('MDA1:NCA9'!K21),_xlpm.states,_xlfn.VSTACK('MDA1:NCA9'!$B$2),
SUM(_xlfn._xlws.FILTER(_xlpm.data,(_xlpm.states="new jersey")+(_xlpm.states="M&amp;A"))))</f>
        <v>50</v>
      </c>
      <c r="L5" s="168" cm="1">
        <f t="array" ref="L5">_xlfn.LET(_xlpm.data,_xlfn.VSTACK('MDA1:NCA9'!L6)-_xlfn.VSTACK('MDA1:NCA9'!L21),_xlpm.states,_xlfn.VSTACK('MDA1:NCA9'!$B$2),
SUM(_xlfn._xlws.FILTER(_xlpm.data,(_xlpm.states="new jersey")+(_xlpm.states="M&amp;A"))))</f>
        <v>55</v>
      </c>
      <c r="M5" s="168" cm="1">
        <f t="array" ref="M5">_xlfn.LET(_xlpm.data,_xlfn.VSTACK('MDA1:NCA9'!M6)-_xlfn.VSTACK('MDA1:NCA9'!M21),_xlpm.states,_xlfn.VSTACK('MDA1:NCA9'!$B$2),
SUM(_xlfn._xlws.FILTER(_xlpm.data,(_xlpm.states="new jersey")+(_xlpm.states="M&amp;A"))))</f>
        <v>57</v>
      </c>
      <c r="N5" s="168" cm="1">
        <f t="array" ref="N5">_xlfn.LET(_xlpm.data,_xlfn.VSTACK('MDA1:NCA9'!N6)-_xlfn.VSTACK('MDA1:NCA9'!N21),_xlpm.states,_xlfn.VSTACK('MDA1:NCA9'!$B$2),
SUM(_xlfn._xlws.FILTER(_xlpm.data,(_xlpm.states="new jersey")+(_xlpm.states="M&amp;A"))))</f>
        <v>63</v>
      </c>
      <c r="O5" s="168" cm="1">
        <f t="array" ref="O5">_xlfn.LET(_xlpm.data,_xlfn.VSTACK('MDA1:NCA9'!O6)-_xlfn.VSTACK('MDA1:NCA9'!O21),_xlpm.states,_xlfn.VSTACK('MDA1:NCA9'!$B$2),
SUM(_xlfn._xlws.FILTER(_xlpm.data,(_xlpm.states="new jersey")+(_xlpm.states="M&amp;A"))))</f>
        <v>72</v>
      </c>
      <c r="P5" s="168" cm="1">
        <f t="array" ref="P5">_xlfn.LET(_xlpm.data,_xlfn.VSTACK('MDA1:NCA9'!P6)-_xlfn.VSTACK('MDA1:NCA9'!P21),_xlpm.states,_xlfn.VSTACK('MDA1:NCA9'!$B$2),
SUM(_xlfn._xlws.FILTER(_xlpm.data,(_xlpm.states="new jersey")+(_xlpm.states="M&amp;A"))))</f>
        <v>76</v>
      </c>
      <c r="Q5" s="168" cm="1">
        <f t="array" ref="Q5">_xlfn.LET(_xlpm.data,_xlfn.VSTACK('MDA1:NCA9'!Q6)-_xlfn.VSTACK('MDA1:NCA9'!Q21),_xlpm.states,_xlfn.VSTACK('MDA1:NCA9'!$B$2),
SUM(_xlfn._xlws.FILTER(_xlpm.data,(_xlpm.states="new jersey")+(_xlpm.states="M&amp;A"))))</f>
        <v>78</v>
      </c>
      <c r="R5" s="168" cm="1">
        <f t="array" ref="R5">_xlfn.LET(_xlpm.data,_xlfn.VSTACK('MDA1:NCA9'!R6)-_xlfn.VSTACK('MDA1:NCA9'!R21),_xlpm.states,_xlfn.VSTACK('MDA1:NCA9'!$B$2),
SUM(_xlfn._xlws.FILTER(_xlpm.data,(_xlpm.states="new jersey")+(_xlpm.states="M&amp;A"))))</f>
        <v>83</v>
      </c>
      <c r="S5" s="168" cm="1">
        <f t="array" ref="S5">_xlfn.LET(_xlpm.data,_xlfn.VSTACK('MDA1:NCA9'!S6)-_xlfn.VSTACK('MDA1:NCA9'!S21),_xlpm.states,_xlfn.VSTACK('MDA1:NCA9'!$B$2),
SUM(_xlfn._xlws.FILTER(_xlpm.data,(_xlpm.states="new jersey")+(_xlpm.states="M&amp;A"))))</f>
        <v>91</v>
      </c>
      <c r="T5" s="168" cm="1">
        <f t="array" ref="T5">_xlfn.LET(_xlpm.data,_xlfn.VSTACK('MDA1:NCA9'!T6)-_xlfn.VSTACK('MDA1:NCA9'!T21),_xlpm.states,_xlfn.VSTACK('MDA1:NCA9'!$B$2),
SUM(_xlfn._xlws.FILTER(_xlpm.data,(_xlpm.states="new jersey")+(_xlpm.states="M&amp;A"))))</f>
        <v>89</v>
      </c>
      <c r="U5" s="168" cm="1">
        <f t="array" ref="U5">_xlfn.LET(_xlpm.data,_xlfn.VSTACK('MDA1:NCA9'!U6)-_xlfn.VSTACK('MDA1:NCA9'!U21),_xlpm.states,_xlfn.VSTACK('MDA1:NCA9'!$B$2),
SUM(_xlfn._xlws.FILTER(_xlpm.data,(_xlpm.states="new jersey")+(_xlpm.states="M&amp;A"))))</f>
        <v>91</v>
      </c>
      <c r="V5" s="168" cm="1">
        <f t="array" ref="V5">_xlfn.LET(_xlpm.data,_xlfn.VSTACK('MDA1:NCA9'!V6)-_xlfn.VSTACK('MDA1:NCA9'!V21),_xlpm.states,_xlfn.VSTACK('MDA1:NCA9'!$B$2),
SUM(_xlfn._xlws.FILTER(_xlpm.data,(_xlpm.states="new jersey")+(_xlpm.states="M&amp;A"))))</f>
        <v>93</v>
      </c>
      <c r="W5" s="168" cm="1">
        <f t="array" ref="W5">_xlfn.LET(_xlpm.data,_xlfn.VSTACK('MDA1:NCA9'!W6)-_xlfn.VSTACK('MDA1:NCA9'!W21),_xlpm.states,_xlfn.VSTACK('MDA1:NCA9'!$B$2),
SUM(_xlfn._xlws.FILTER(_xlpm.data,(_xlpm.states="new jersey")+(_xlpm.states="M&amp;A"))))</f>
        <v>101</v>
      </c>
      <c r="X5" s="168" cm="1">
        <f t="array" ref="X5">_xlfn.LET(_xlpm.data,_xlfn.VSTACK('MDA1:NCA9'!X6)-_xlfn.VSTACK('MDA1:NCA9'!X21),_xlpm.states,_xlfn.VSTACK('MDA1:NCA9'!$B$2),
SUM(_xlfn._xlws.FILTER(_xlpm.data,(_xlpm.states="new jersey")+(_xlpm.states="M&amp;A"))))</f>
        <v>102</v>
      </c>
      <c r="Y5" s="168" cm="1">
        <f t="array" ref="Y5">_xlfn.LET(_xlpm.data,_xlfn.VSTACK('MDA1:NCA9'!Y6)-_xlfn.VSTACK('MDA1:NCA9'!Y21),_xlpm.states,_xlfn.VSTACK('MDA1:NCA9'!$B$2),
SUM(_xlfn._xlws.FILTER(_xlpm.data,(_xlpm.states="new jersey")+(_xlpm.states="M&amp;A"))))</f>
        <v>108</v>
      </c>
      <c r="Z5" s="168" cm="1">
        <f t="array" ref="Z5">_xlfn.LET(_xlpm.data,_xlfn.VSTACK('MDA1:NCA9'!Z6)-_xlfn.VSTACK('MDA1:NCA9'!Z21),_xlpm.states,_xlfn.VSTACK('MDA1:NCA9'!$B$2),
SUM(_xlfn._xlws.FILTER(_xlpm.data,(_xlpm.states="new jersey")+(_xlpm.states="M&amp;A"))))</f>
        <v>110</v>
      </c>
      <c r="AA5" s="168" cm="1">
        <f t="array" ref="AA5">_xlfn.LET(_xlpm.data,_xlfn.VSTACK('MDA1:NCA9'!AA6)-_xlfn.VSTACK('MDA1:NCA9'!AA21),_xlpm.states,_xlfn.VSTACK('MDA1:NCA9'!$B$2),
SUM(_xlfn._xlws.FILTER(_xlpm.data,(_xlpm.states="new jersey")+(_xlpm.states="M&amp;A"))))</f>
        <v>117</v>
      </c>
      <c r="AB5" s="168" cm="1">
        <f t="array" ref="AB5">_xlfn.LET(_xlpm.data,_xlfn.VSTACK('MDA1:NCA9'!AB6)-_xlfn.VSTACK('MDA1:NCA9'!AB21),_xlpm.states,_xlfn.VSTACK('MDA1:NCA9'!$B$2),
SUM(_xlfn._xlws.FILTER(_xlpm.data,(_xlpm.states="new jersey")+(_xlpm.states="M&amp;A"))))</f>
        <v>119</v>
      </c>
      <c r="AC5" s="168" cm="1">
        <f t="array" ref="AC5">_xlfn.LET(_xlpm.data,_xlfn.VSTACK('MDA1:NCA9'!AC6)-_xlfn.VSTACK('MDA1:NCA9'!AC21),_xlpm.states,_xlfn.VSTACK('MDA1:NCA9'!$B$2),
SUM(_xlfn._xlws.FILTER(_xlpm.data,(_xlpm.states="new jersey")+(_xlpm.states="M&amp;A"))))</f>
        <v>124</v>
      </c>
      <c r="AD5" s="168" cm="1">
        <f t="array" ref="AD5">_xlfn.LET(_xlpm.data,_xlfn.VSTACK('MDA1:NCA9'!AD6)-_xlfn.VSTACK('MDA1:NCA9'!AD21),_xlpm.states,_xlfn.VSTACK('MDA1:NCA9'!$B$2),
SUM(_xlfn._xlws.FILTER(_xlpm.data,(_xlpm.states="new jersey")+(_xlpm.states="M&amp;A"))))</f>
        <v>126</v>
      </c>
      <c r="AE5" s="168" cm="1">
        <f t="array" ref="AE5">_xlfn.LET(_xlpm.data,_xlfn.VSTACK('MDA1:NCA9'!AE6)-_xlfn.VSTACK('MDA1:NCA9'!AE21),_xlpm.states,_xlfn.VSTACK('MDA1:NCA9'!$B$2),
SUM(_xlfn._xlws.FILTER(_xlpm.data,(_xlpm.states="new jersey")+(_xlpm.states="M&amp;A"))))</f>
        <v>131</v>
      </c>
      <c r="AF5" s="168" cm="1">
        <f t="array" ref="AF5">_xlfn.LET(_xlpm.data,_xlfn.VSTACK('MDA1:NCA9'!AF6)-_xlfn.VSTACK('MDA1:NCA9'!AF21),_xlpm.states,_xlfn.VSTACK('MDA1:NCA9'!$B$2),
SUM(_xlfn._xlws.FILTER(_xlpm.data,(_xlpm.states="new jersey")+(_xlpm.states="M&amp;A"))))</f>
        <v>131</v>
      </c>
      <c r="AG5" s="168" cm="1">
        <f t="array" ref="AG5">_xlfn.LET(_xlpm.data,_xlfn.VSTACK('MDA1:NCA9'!AG6)-_xlfn.VSTACK('MDA1:NCA9'!AG21),_xlpm.states,_xlfn.VSTACK('MDA1:NCA9'!$B$2),
SUM(_xlfn._xlws.FILTER(_xlpm.data,(_xlpm.states="new jersey")+(_xlpm.states="M&amp;A"))))</f>
        <v>132</v>
      </c>
      <c r="AH5" s="168" cm="1">
        <f t="array" ref="AH5">_xlfn.LET(_xlpm.data,_xlfn.VSTACK('MDA1:NCA9'!AH6)-_xlfn.VSTACK('MDA1:NCA9'!AH21),_xlpm.states,_xlfn.VSTACK('MDA1:NCA9'!$B$2),
SUM(_xlfn._xlws.FILTER(_xlpm.data,(_xlpm.states="new jersey")+(_xlpm.states="M&amp;A"))))</f>
        <v>136</v>
      </c>
      <c r="AI5" s="168" cm="1">
        <f t="array" ref="AI5">_xlfn.LET(_xlpm.data,_xlfn.VSTACK('MDA1:NCA9'!AI6)-_xlfn.VSTACK('MDA1:NCA9'!AI21),_xlpm.states,_xlfn.VSTACK('MDA1:NCA9'!$B$2),
SUM(_xlfn._xlws.FILTER(_xlpm.data,(_xlpm.states="new jersey")+(_xlpm.states="M&amp;A"))))</f>
        <v>143</v>
      </c>
      <c r="AJ5" s="168" cm="1">
        <f t="array" ref="AJ5">_xlfn.LET(_xlpm.data,_xlfn.VSTACK('MDA1:NCA9'!AJ6)-_xlfn.VSTACK('MDA1:NCA9'!AJ21),_xlpm.states,_xlfn.VSTACK('MDA1:NCA9'!$B$2),
SUM(_xlfn._xlws.FILTER(_xlpm.data,(_xlpm.states="new jersey")+(_xlpm.states="M&amp;A"))))</f>
        <v>147</v>
      </c>
      <c r="AK5" s="168" cm="1">
        <f t="array" ref="AK5">_xlfn.LET(_xlpm.data,_xlfn.VSTACK('MDA1:NCA9'!AK6)-_xlfn.VSTACK('MDA1:NCA9'!AK21),_xlpm.states,_xlfn.VSTACK('MDA1:NCA9'!$B$2),
SUM(_xlfn._xlws.FILTER(_xlpm.data,(_xlpm.states="new jersey")+(_xlpm.states="M&amp;A"))))</f>
        <v>152</v>
      </c>
      <c r="AL5" s="168" cm="1">
        <f t="array" ref="AL5">_xlfn.LET(_xlpm.data,_xlfn.VSTACK('MDA1:NCA9'!AL6)-_xlfn.VSTACK('MDA1:NCA9'!AL21),_xlpm.states,_xlfn.VSTACK('MDA1:NCA9'!$B$2),
SUM(_xlfn._xlws.FILTER(_xlpm.data,(_xlpm.states="new jersey")+(_xlpm.states="M&amp;A"))))</f>
        <v>160</v>
      </c>
      <c r="AM5" s="168" cm="1">
        <f t="array" ref="AM5">_xlfn.LET(_xlpm.data,_xlfn.VSTACK('MDA1:NCA9'!AM6)-_xlfn.VSTACK('MDA1:NCA9'!AM21),_xlpm.states,_xlfn.VSTACK('MDA1:NCA9'!$B$2),
SUM(_xlfn._xlws.FILTER(_xlpm.data,(_xlpm.states="new jersey")+(_xlpm.states="M&amp;A"))))</f>
        <v>167</v>
      </c>
      <c r="AN5" s="168" cm="1">
        <f t="array" ref="AN5">_xlfn.LET(_xlpm.data,_xlfn.VSTACK('MDA1:NCA9'!AN6)-_xlfn.VSTACK('MDA1:NCA9'!AN21),_xlpm.states,_xlfn.VSTACK('MDA1:NCA9'!$B$2),
SUM(_xlfn._xlws.FILTER(_xlpm.data,(_xlpm.states="new jersey")+(_xlpm.states="M&amp;A"))))</f>
        <v>171</v>
      </c>
    </row>
    <row r="6" spans="1:40" outlineLevel="1" x14ac:dyDescent="0.25">
      <c r="B6" s="96"/>
      <c r="C6" s="3"/>
      <c r="D6" s="3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</row>
    <row r="7" spans="1:40" outlineLevel="1" x14ac:dyDescent="0.25">
      <c r="B7" s="39" t="s">
        <v>373</v>
      </c>
      <c r="C7" s="3"/>
      <c r="D7" s="3"/>
      <c r="E7" s="168" cm="1">
        <f t="array" ref="E7">_xlfn.LET(_xlpm.data,_xlfn.VSTACK('MDA1:NCA9'!E7),_xlpm.states,_xlfn.VSTACK('MDA1:NCA9'!$B$2),
SUM(_xlfn._xlws.FILTER(_xlpm.data,(_xlpm.states="new jersey")+(_xlpm.states="m&amp;a"))))</f>
        <v>48.6</v>
      </c>
      <c r="F7" s="168" cm="1">
        <f t="array" ref="F7">_xlfn.LET(_xlpm.data,_xlfn.VSTACK('MDA1:NCA9'!F7),_xlpm.states,_xlfn.VSTACK('MDA1:NCA9'!$B$2),
SUM(_xlfn._xlws.FILTER(_xlpm.data,(_xlpm.states="new jersey")+(_xlpm.states="M&amp;A"))))</f>
        <v>58.929999999999993</v>
      </c>
      <c r="G7" s="168" cm="1">
        <f t="array" ref="G7">_xlfn.LET(_xlpm.data,_xlfn.VSTACK('MDA1:NCA9'!G7),_xlpm.states,_xlfn.VSTACK('MDA1:NCA9'!$B$2),
SUM(_xlfn._xlws.FILTER(_xlpm.data,(_xlpm.states="new jersey")+(_xlpm.states="M&amp;A"))))</f>
        <v>73.959999999999994</v>
      </c>
      <c r="H7" s="168" cm="1">
        <f t="array" ref="H7">_xlfn.LET(_xlpm.data,_xlfn.VSTACK('MDA1:NCA9'!H7),_xlpm.states,_xlfn.VSTACK('MDA1:NCA9'!$B$2),
SUM(_xlfn._xlws.FILTER(_xlpm.data,(_xlpm.states="new jersey")+(_xlpm.states="M&amp;A"))))</f>
        <v>93.17</v>
      </c>
      <c r="I7" s="168" cm="1">
        <f t="array" ref="I7">_xlfn.LET(_xlpm.data,_xlfn.VSTACK('MDA1:NCA9'!I7),_xlpm.states,_xlfn.VSTACK('MDA1:NCA9'!$B$2),
SUM(_xlfn._xlws.FILTER(_xlpm.data,(_xlpm.states="new jersey")+(_xlpm.states="M&amp;A"))))</f>
        <v>108.63000000000001</v>
      </c>
      <c r="J7" s="168" cm="1">
        <f t="array" ref="J7">_xlfn.LET(_xlpm.data,_xlfn.VSTACK('MDA1:NCA9'!J7),_xlpm.states,_xlfn.VSTACK('MDA1:NCA9'!$B$2),
SUM(_xlfn._xlws.FILTER(_xlpm.data,(_xlpm.states="new jersey")+(_xlpm.states="M&amp;A"))))</f>
        <v>124.5</v>
      </c>
      <c r="K7" s="168" cm="1">
        <f t="array" ref="K7">_xlfn.LET(_xlpm.data,_xlfn.VSTACK('MDA1:NCA9'!K7),_xlpm.states,_xlfn.VSTACK('MDA1:NCA9'!$B$2),
SUM(_xlfn._xlws.FILTER(_xlpm.data,(_xlpm.states="new jersey")+(_xlpm.states="M&amp;A"))))</f>
        <v>142.76000000000002</v>
      </c>
      <c r="L7" s="168" cm="1">
        <f t="array" ref="L7">_xlfn.LET(_xlpm.data,_xlfn.VSTACK('MDA1:NCA9'!L7),_xlpm.states,_xlfn.VSTACK('MDA1:NCA9'!$B$2),
SUM(_xlfn._xlws.FILTER(_xlpm.data,(_xlpm.states="new jersey")+(_xlpm.states="M&amp;A"))))</f>
        <v>161.04</v>
      </c>
      <c r="M7" s="168" cm="1">
        <f t="array" ref="M7">_xlfn.LET(_xlpm.data,_xlfn.VSTACK('MDA1:NCA9'!M7),_xlpm.states,_xlfn.VSTACK('MDA1:NCA9'!$B$2),
SUM(_xlfn._xlws.FILTER(_xlpm.data,(_xlpm.states="new jersey")+(_xlpm.states="M&amp;A"))))</f>
        <v>182.57000000000002</v>
      </c>
      <c r="N7" s="168" cm="1">
        <f t="array" ref="N7">_xlfn.LET(_xlpm.data,_xlfn.VSTACK('MDA1:NCA9'!N7),_xlpm.states,_xlfn.VSTACK('MDA1:NCA9'!$B$2),
SUM(_xlfn._xlws.FILTER(_xlpm.data,(_xlpm.states="new jersey")+(_xlpm.states="M&amp;A"))))</f>
        <v>204.53000000000006</v>
      </c>
      <c r="O7" s="168" cm="1">
        <f t="array" ref="O7">_xlfn.LET(_xlpm.data,_xlfn.VSTACK('MDA1:NCA9'!O7),_xlpm.states,_xlfn.VSTACK('MDA1:NCA9'!$B$2),
SUM(_xlfn._xlws.FILTER(_xlpm.data,(_xlpm.states="new jersey")+(_xlpm.states="M&amp;A"))))</f>
        <v>229.85000000000005</v>
      </c>
      <c r="P7" s="168" cm="1">
        <f t="array" ref="P7">_xlfn.LET(_xlpm.data,_xlfn.VSTACK('MDA1:NCA9'!P7),_xlpm.states,_xlfn.VSTACK('MDA1:NCA9'!$B$2),
SUM(_xlfn._xlws.FILTER(_xlpm.data,(_xlpm.states="new jersey")+(_xlpm.states="M&amp;A"))))</f>
        <v>255.55000000000007</v>
      </c>
      <c r="Q7" s="168" cm="1">
        <f t="array" ref="Q7">_xlfn.LET(_xlpm.data,_xlfn.VSTACK('MDA1:NCA9'!Q7),_xlpm.states,_xlfn.VSTACK('MDA1:NCA9'!$B$2),
SUM(_xlfn._xlws.FILTER(_xlpm.data,(_xlpm.states="new jersey")+(_xlpm.states="M&amp;A"))))</f>
        <v>281.22999999999996</v>
      </c>
      <c r="R7" s="168" cm="1">
        <f t="array" ref="R7">_xlfn.LET(_xlpm.data,_xlfn.VSTACK('MDA1:NCA9'!R7),_xlpm.states,_xlfn.VSTACK('MDA1:NCA9'!$B$2),
SUM(_xlfn._xlws.FILTER(_xlpm.data,(_xlpm.states="new jersey")+(_xlpm.states="M&amp;A"))))</f>
        <v>301.31999999999994</v>
      </c>
      <c r="S7" s="168" cm="1">
        <f t="array" ref="S7">_xlfn.LET(_xlpm.data,_xlfn.VSTACK('MDA1:NCA9'!S7),_xlpm.states,_xlfn.VSTACK('MDA1:NCA9'!$B$2),
SUM(_xlfn._xlws.FILTER(_xlpm.data,(_xlpm.states="new jersey")+(_xlpm.states="M&amp;A"))))</f>
        <v>325.10000000000002</v>
      </c>
      <c r="T7" s="168" cm="1">
        <f t="array" ref="T7">_xlfn.LET(_xlpm.data,_xlfn.VSTACK('MDA1:NCA9'!T7),_xlpm.states,_xlfn.VSTACK('MDA1:NCA9'!$B$2),
SUM(_xlfn._xlws.FILTER(_xlpm.data,(_xlpm.states="new jersey")+(_xlpm.states="M&amp;A"))))</f>
        <v>349.33</v>
      </c>
      <c r="U7" s="168" cm="1">
        <f t="array" ref="U7">_xlfn.LET(_xlpm.data,_xlfn.VSTACK('MDA1:NCA9'!U7),_xlpm.states,_xlfn.VSTACK('MDA1:NCA9'!$B$2),
SUM(_xlfn._xlws.FILTER(_xlpm.data,(_xlpm.states="new jersey")+(_xlpm.states="M&amp;A"))))</f>
        <v>367.03000000000003</v>
      </c>
      <c r="V7" s="168" cm="1">
        <f t="array" ref="V7">_xlfn.LET(_xlpm.data,_xlfn.VSTACK('MDA1:NCA9'!V7),_xlpm.states,_xlfn.VSTACK('MDA1:NCA9'!$B$2),
SUM(_xlfn._xlws.FILTER(_xlpm.data,(_xlpm.states="new jersey")+(_xlpm.states="M&amp;A"))))</f>
        <v>381.93</v>
      </c>
      <c r="W7" s="168" cm="1">
        <f t="array" ref="W7">_xlfn.LET(_xlpm.data,_xlfn.VSTACK('MDA1:NCA9'!W7),_xlpm.states,_xlfn.VSTACK('MDA1:NCA9'!$B$2),
SUM(_xlfn._xlws.FILTER(_xlpm.data,(_xlpm.states="new jersey")+(_xlpm.states="M&amp;A"))))</f>
        <v>399.65000000000003</v>
      </c>
      <c r="X7" s="168" cm="1">
        <f t="array" ref="X7">_xlfn.LET(_xlpm.data,_xlfn.VSTACK('MDA1:NCA9'!X7),_xlpm.states,_xlfn.VSTACK('MDA1:NCA9'!$B$2),
SUM(_xlfn._xlws.FILTER(_xlpm.data,(_xlpm.states="new jersey")+(_xlpm.states="M&amp;A"))))</f>
        <v>419.76000000000005</v>
      </c>
      <c r="Y7" s="168" cm="1">
        <f t="array" ref="Y7">_xlfn.LET(_xlpm.data,_xlfn.VSTACK('MDA1:NCA9'!Y7),_xlpm.states,_xlfn.VSTACK('MDA1:NCA9'!$B$2),
SUM(_xlfn._xlws.FILTER(_xlpm.data,(_xlpm.states="new jersey")+(_xlpm.states="M&amp;A"))))</f>
        <v>436.11999999999995</v>
      </c>
      <c r="Z7" s="168" cm="1">
        <f t="array" ref="Z7">_xlfn.LET(_xlpm.data,_xlfn.VSTACK('MDA1:NCA9'!Z7),_xlpm.states,_xlfn.VSTACK('MDA1:NCA9'!$B$2),
SUM(_xlfn._xlws.FILTER(_xlpm.data,(_xlpm.states="new jersey")+(_xlpm.states="M&amp;A"))))</f>
        <v>454.31</v>
      </c>
      <c r="AA7" s="168" cm="1">
        <f t="array" ref="AA7">_xlfn.LET(_xlpm.data,_xlfn.VSTACK('MDA1:NCA9'!AA7),_xlpm.states,_xlfn.VSTACK('MDA1:NCA9'!$B$2),
SUM(_xlfn._xlws.FILTER(_xlpm.data,(_xlpm.states="new jersey")+(_xlpm.states="M&amp;A"))))</f>
        <v>472.94000000000005</v>
      </c>
      <c r="AB7" s="168" cm="1">
        <f t="array" ref="AB7">_xlfn.LET(_xlpm.data,_xlfn.VSTACK('MDA1:NCA9'!AB7),_xlpm.states,_xlfn.VSTACK('MDA1:NCA9'!$B$2),
SUM(_xlfn._xlws.FILTER(_xlpm.data,(_xlpm.states="new jersey")+(_xlpm.states="M&amp;A"))))</f>
        <v>493.04</v>
      </c>
      <c r="AC7" s="168" cm="1">
        <f t="array" ref="AC7">_xlfn.LET(_xlpm.data,_xlfn.VSTACK('MDA1:NCA9'!AC7),_xlpm.states,_xlfn.VSTACK('MDA1:NCA9'!$B$2),
SUM(_xlfn._xlws.FILTER(_xlpm.data,(_xlpm.states="new jersey")+(_xlpm.states="M&amp;A"))))</f>
        <v>508.96</v>
      </c>
      <c r="AD7" s="168" cm="1">
        <f t="array" ref="AD7">_xlfn.LET(_xlpm.data,_xlfn.VSTACK('MDA1:NCA9'!AD7),_xlpm.states,_xlfn.VSTACK('MDA1:NCA9'!$B$2),
SUM(_xlfn._xlws.FILTER(_xlpm.data,(_xlpm.states="new jersey")+(_xlpm.states="M&amp;A"))))</f>
        <v>525.79000000000008</v>
      </c>
      <c r="AE7" s="168" cm="1">
        <f t="array" ref="AE7">_xlfn.LET(_xlpm.data,_xlfn.VSTACK('MDA1:NCA9'!AE7),_xlpm.states,_xlfn.VSTACK('MDA1:NCA9'!$B$2),
SUM(_xlfn._xlws.FILTER(_xlpm.data,(_xlpm.states="new jersey")+(_xlpm.states="M&amp;A"))))</f>
        <v>543.05999999999995</v>
      </c>
      <c r="AF7" s="168" cm="1">
        <f t="array" ref="AF7">_xlfn.LET(_xlpm.data,_xlfn.VSTACK('MDA1:NCA9'!AF7),_xlpm.states,_xlfn.VSTACK('MDA1:NCA9'!$B$2),
SUM(_xlfn._xlws.FILTER(_xlpm.data,(_xlpm.states="new jersey")+(_xlpm.states="M&amp;A"))))</f>
        <v>559.44000000000017</v>
      </c>
      <c r="AG7" s="168" cm="1">
        <f t="array" ref="AG7">_xlfn.LET(_xlpm.data,_xlfn.VSTACK('MDA1:NCA9'!AG7),_xlpm.states,_xlfn.VSTACK('MDA1:NCA9'!$B$2),
SUM(_xlfn._xlws.FILTER(_xlpm.data,(_xlpm.states="new jersey")+(_xlpm.states="M&amp;A"))))</f>
        <v>572.98</v>
      </c>
      <c r="AH7" s="168" cm="1">
        <f t="array" ref="AH7">_xlfn.LET(_xlpm.data,_xlfn.VSTACK('MDA1:NCA9'!AH7),_xlpm.states,_xlfn.VSTACK('MDA1:NCA9'!$B$2),
SUM(_xlfn._xlws.FILTER(_xlpm.data,(_xlpm.states="new jersey")+(_xlpm.states="M&amp;A"))))</f>
        <v>586.99000000000012</v>
      </c>
      <c r="AI7" s="168" cm="1">
        <f t="array" ref="AI7">_xlfn.LET(_xlpm.data,_xlfn.VSTACK('MDA1:NCA9'!AI7),_xlpm.states,_xlfn.VSTACK('MDA1:NCA9'!$B$2),
SUM(_xlfn._xlws.FILTER(_xlpm.data,(_xlpm.states="new jersey")+(_xlpm.states="M&amp;A"))))</f>
        <v>604.72000000000014</v>
      </c>
      <c r="AJ7" s="168" cm="1">
        <f t="array" ref="AJ7">_xlfn.LET(_xlpm.data,_xlfn.VSTACK('MDA1:NCA9'!AJ7),_xlpm.states,_xlfn.VSTACK('MDA1:NCA9'!$B$2),
SUM(_xlfn._xlws.FILTER(_xlpm.data,(_xlpm.states="new jersey")+(_xlpm.states="M&amp;A"))))</f>
        <v>623.91</v>
      </c>
      <c r="AK7" s="168" cm="1">
        <f t="array" ref="AK7">_xlfn.LET(_xlpm.data,_xlfn.VSTACK('MDA1:NCA9'!AK7),_xlpm.states,_xlfn.VSTACK('MDA1:NCA9'!$B$2),
SUM(_xlfn._xlws.FILTER(_xlpm.data,(_xlpm.states="new jersey")+(_xlpm.states="M&amp;A"))))</f>
        <v>643.57000000000005</v>
      </c>
      <c r="AL7" s="168" cm="1">
        <f t="array" ref="AL7">_xlfn.LET(_xlpm.data,_xlfn.VSTACK('MDA1:NCA9'!AL7),_xlpm.states,_xlfn.VSTACK('MDA1:NCA9'!$B$2),
SUM(_xlfn._xlws.FILTER(_xlpm.data,(_xlpm.states="new jersey")+(_xlpm.states="M&amp;A"))))</f>
        <v>663.68</v>
      </c>
      <c r="AM7" s="168" cm="1">
        <f t="array" ref="AM7">_xlfn.LET(_xlpm.data,_xlfn.VSTACK('MDA1:NCA9'!AM7),_xlpm.states,_xlfn.VSTACK('MDA1:NCA9'!$B$2),
SUM(_xlfn._xlws.FILTER(_xlpm.data,(_xlpm.states="new jersey")+(_xlpm.states="M&amp;A"))))</f>
        <v>687.05000000000007</v>
      </c>
      <c r="AN7" s="168" cm="1">
        <f t="array" ref="AN7">_xlfn.LET(_xlpm.data,_xlfn.VSTACK('MDA1:NCA9'!AN7),_xlpm.states,_xlfn.VSTACK('MDA1:NCA9'!$B$2),
SUM(_xlfn._xlws.FILTER(_xlpm.data,(_xlpm.states="new jersey")+(_xlpm.states="M&amp;A"))))</f>
        <v>709.53000000000009</v>
      </c>
    </row>
    <row r="8" spans="1:40" outlineLevel="1" x14ac:dyDescent="0.25">
      <c r="B8" s="39" t="s">
        <v>374</v>
      </c>
      <c r="C8" s="3"/>
      <c r="D8" s="3"/>
      <c r="E8" s="168" cm="1">
        <f t="array" ref="E8">_xlfn.LET(_xlpm.data,_xlfn.VSTACK('MDA1:NCA9'!E8),_xlpm.states,_xlfn.VSTACK('MDA1:NCA9'!$B$2),
SUM(_xlfn._xlws.FILTER(_xlpm.data,(_xlpm.states="new jersey")+(_xlpm.states="m&amp;a"))))</f>
        <v>7.7899999999999991</v>
      </c>
      <c r="F8" s="168" cm="1">
        <f t="array" ref="F8">_xlfn.LET(_xlpm.data,_xlfn.VSTACK('MDA1:NCA9'!F8),_xlpm.states,_xlfn.VSTACK('MDA1:NCA9'!$B$2),
SUM(_xlfn._xlws.FILTER(_xlpm.data,(_xlpm.states="new jersey")+(_xlpm.states="M&amp;A"))))</f>
        <v>9.4</v>
      </c>
      <c r="G8" s="168" cm="1">
        <f t="array" ref="G8">_xlfn.LET(_xlpm.data,_xlfn.VSTACK('MDA1:NCA9'!G8),_xlpm.states,_xlfn.VSTACK('MDA1:NCA9'!$B$2),
SUM(_xlfn._xlws.FILTER(_xlpm.data,(_xlpm.states="new jersey")+(_xlpm.states="M&amp;A"))))</f>
        <v>11.73</v>
      </c>
      <c r="H8" s="168" cm="1">
        <f t="array" ref="H8">_xlfn.LET(_xlpm.data,_xlfn.VSTACK('MDA1:NCA9'!H8),_xlpm.states,_xlfn.VSTACK('MDA1:NCA9'!$B$2),
SUM(_xlfn._xlws.FILTER(_xlpm.data,(_xlpm.states="new jersey")+(_xlpm.states="M&amp;A"))))</f>
        <v>14.739999999999998</v>
      </c>
      <c r="I8" s="168" cm="1">
        <f t="array" ref="I8">_xlfn.LET(_xlpm.data,_xlfn.VSTACK('MDA1:NCA9'!I8),_xlpm.states,_xlfn.VSTACK('MDA1:NCA9'!$B$2),
SUM(_xlfn._xlws.FILTER(_xlpm.data,(_xlpm.states="new jersey")+(_xlpm.states="M&amp;A"))))</f>
        <v>17.169999999999998</v>
      </c>
      <c r="J8" s="168" cm="1">
        <f t="array" ref="J8">_xlfn.LET(_xlpm.data,_xlfn.VSTACK('MDA1:NCA9'!J8),_xlpm.states,_xlfn.VSTACK('MDA1:NCA9'!$B$2),
SUM(_xlfn._xlws.FILTER(_xlpm.data,(_xlpm.states="new jersey")+(_xlpm.states="M&amp;A"))))</f>
        <v>19.66</v>
      </c>
      <c r="K8" s="168" cm="1">
        <f t="array" ref="K8">_xlfn.LET(_xlpm.data,_xlfn.VSTACK('MDA1:NCA9'!K8),_xlpm.states,_xlfn.VSTACK('MDA1:NCA9'!$B$2),
SUM(_xlfn._xlws.FILTER(_xlpm.data,(_xlpm.states="new jersey")+(_xlpm.states="M&amp;A"))))</f>
        <v>22.509999999999998</v>
      </c>
      <c r="L8" s="168" cm="1">
        <f t="array" ref="L8">_xlfn.LET(_xlpm.data,_xlfn.VSTACK('MDA1:NCA9'!L8),_xlpm.states,_xlfn.VSTACK('MDA1:NCA9'!$B$2),
SUM(_xlfn._xlws.FILTER(_xlpm.data,(_xlpm.states="new jersey")+(_xlpm.states="M&amp;A"))))</f>
        <v>25.36</v>
      </c>
      <c r="M8" s="168" cm="1">
        <f t="array" ref="M8">_xlfn.LET(_xlpm.data,_xlfn.VSTACK('MDA1:NCA9'!M8),_xlpm.states,_xlfn.VSTACK('MDA1:NCA9'!$B$2),
SUM(_xlfn._xlws.FILTER(_xlpm.data,(_xlpm.states="new jersey")+(_xlpm.states="M&amp;A"))))</f>
        <v>28.71</v>
      </c>
      <c r="N8" s="168" cm="1">
        <f t="array" ref="N8">_xlfn.LET(_xlpm.data,_xlfn.VSTACK('MDA1:NCA9'!N8),_xlpm.states,_xlfn.VSTACK('MDA1:NCA9'!$B$2),
SUM(_xlfn._xlws.FILTER(_xlpm.data,(_xlpm.states="new jersey")+(_xlpm.states="M&amp;A"))))</f>
        <v>32.18</v>
      </c>
      <c r="O8" s="168" cm="1">
        <f t="array" ref="O8">_xlfn.LET(_xlpm.data,_xlfn.VSTACK('MDA1:NCA9'!O8),_xlpm.states,_xlfn.VSTACK('MDA1:NCA9'!$B$2),
SUM(_xlfn._xlws.FILTER(_xlpm.data,(_xlpm.states="new jersey")+(_xlpm.states="M&amp;A"))))</f>
        <v>36.18</v>
      </c>
      <c r="P8" s="168" cm="1">
        <f t="array" ref="P8">_xlfn.LET(_xlpm.data,_xlfn.VSTACK('MDA1:NCA9'!P8),_xlpm.states,_xlfn.VSTACK('MDA1:NCA9'!$B$2),
SUM(_xlfn._xlws.FILTER(_xlpm.data,(_xlpm.states="new jersey")+(_xlpm.states="M&amp;A"))))</f>
        <v>40.25</v>
      </c>
      <c r="Q8" s="168" cm="1">
        <f t="array" ref="Q8">_xlfn.LET(_xlpm.data,_xlfn.VSTACK('MDA1:NCA9'!Q8),_xlpm.states,_xlfn.VSTACK('MDA1:NCA9'!$B$2),
SUM(_xlfn._xlws.FILTER(_xlpm.data,(_xlpm.states="new jersey")+(_xlpm.states="M&amp;A"))))</f>
        <v>44.289999999999992</v>
      </c>
      <c r="R8" s="168" cm="1">
        <f t="array" ref="R8">_xlfn.LET(_xlpm.data,_xlfn.VSTACK('MDA1:NCA9'!R8),_xlpm.states,_xlfn.VSTACK('MDA1:NCA9'!$B$2),
SUM(_xlfn._xlws.FILTER(_xlpm.data,(_xlpm.states="new jersey")+(_xlpm.states="M&amp;A"))))</f>
        <v>47.509999999999991</v>
      </c>
      <c r="S8" s="168" cm="1">
        <f t="array" ref="S8">_xlfn.LET(_xlpm.data,_xlfn.VSTACK('MDA1:NCA9'!S8),_xlpm.states,_xlfn.VSTACK('MDA1:NCA9'!$B$2),
SUM(_xlfn._xlws.FILTER(_xlpm.data,(_xlpm.states="new jersey")+(_xlpm.states="M&amp;A"))))</f>
        <v>51.319999999999993</v>
      </c>
      <c r="T8" s="168" cm="1">
        <f t="array" ref="T8">_xlfn.LET(_xlpm.data,_xlfn.VSTACK('MDA1:NCA9'!T8),_xlpm.states,_xlfn.VSTACK('MDA1:NCA9'!$B$2),
SUM(_xlfn._xlws.FILTER(_xlpm.data,(_xlpm.states="new jersey")+(_xlpm.states="M&amp;A"))))</f>
        <v>55.22</v>
      </c>
      <c r="U8" s="168" cm="1">
        <f t="array" ref="U8">_xlfn.LET(_xlpm.data,_xlfn.VSTACK('MDA1:NCA9'!U8),_xlpm.states,_xlfn.VSTACK('MDA1:NCA9'!$B$2),
SUM(_xlfn._xlws.FILTER(_xlpm.data,(_xlpm.states="new jersey")+(_xlpm.states="M&amp;A"))))</f>
        <v>58.089999999999996</v>
      </c>
      <c r="V8" s="168" cm="1">
        <f t="array" ref="V8">_xlfn.LET(_xlpm.data,_xlfn.VSTACK('MDA1:NCA9'!V8),_xlpm.states,_xlfn.VSTACK('MDA1:NCA9'!$B$2),
SUM(_xlfn._xlws.FILTER(_xlpm.data,(_xlpm.states="new jersey")+(_xlpm.states="M&amp;A"))))</f>
        <v>60.54999999999999</v>
      </c>
      <c r="W8" s="168" cm="1">
        <f t="array" ref="W8">_xlfn.LET(_xlpm.data,_xlfn.VSTACK('MDA1:NCA9'!W8),_xlpm.states,_xlfn.VSTACK('MDA1:NCA9'!$B$2),
SUM(_xlfn._xlws.FILTER(_xlpm.data,(_xlpm.states="new jersey")+(_xlpm.states="M&amp;A"))))</f>
        <v>63.419999999999987</v>
      </c>
      <c r="X8" s="168" cm="1">
        <f t="array" ref="X8">_xlfn.LET(_xlpm.data,_xlfn.VSTACK('MDA1:NCA9'!X8),_xlpm.states,_xlfn.VSTACK('MDA1:NCA9'!$B$2),
SUM(_xlfn._xlws.FILTER(_xlpm.data,(_xlpm.states="new jersey")+(_xlpm.states="M&amp;A"))))</f>
        <v>66.63</v>
      </c>
      <c r="Y8" s="168" cm="1">
        <f t="array" ref="Y8">_xlfn.LET(_xlpm.data,_xlfn.VSTACK('MDA1:NCA9'!Y8),_xlpm.states,_xlfn.VSTACK('MDA1:NCA9'!$B$2),
SUM(_xlfn._xlws.FILTER(_xlpm.data,(_xlpm.states="new jersey")+(_xlpm.states="M&amp;A"))))</f>
        <v>69.22</v>
      </c>
      <c r="Z8" s="168" cm="1">
        <f t="array" ref="Z8">_xlfn.LET(_xlpm.data,_xlfn.VSTACK('MDA1:NCA9'!Z8),_xlpm.states,_xlfn.VSTACK('MDA1:NCA9'!$B$2),
SUM(_xlfn._xlws.FILTER(_xlpm.data,(_xlpm.states="new jersey")+(_xlpm.states="M&amp;A"))))</f>
        <v>72.180000000000007</v>
      </c>
      <c r="AA8" s="168" cm="1">
        <f t="array" ref="AA8">_xlfn.LET(_xlpm.data,_xlfn.VSTACK('MDA1:NCA9'!AA8),_xlpm.states,_xlfn.VSTACK('MDA1:NCA9'!$B$2),
SUM(_xlfn._xlws.FILTER(_xlpm.data,(_xlpm.states="new jersey")+(_xlpm.states="M&amp;A"))))</f>
        <v>75.240000000000009</v>
      </c>
      <c r="AB8" s="168" cm="1">
        <f t="array" ref="AB8">_xlfn.LET(_xlpm.data,_xlfn.VSTACK('MDA1:NCA9'!AB8),_xlpm.states,_xlfn.VSTACK('MDA1:NCA9'!$B$2),
SUM(_xlfn._xlws.FILTER(_xlpm.data,(_xlpm.states="new jersey")+(_xlpm.states="M&amp;A"))))</f>
        <v>78.459999999999994</v>
      </c>
      <c r="AC8" s="168" cm="1">
        <f t="array" ref="AC8">_xlfn.LET(_xlpm.data,_xlfn.VSTACK('MDA1:NCA9'!AC8),_xlpm.states,_xlfn.VSTACK('MDA1:NCA9'!$B$2),
SUM(_xlfn._xlws.FILTER(_xlpm.data,(_xlpm.states="new jersey")+(_xlpm.states="M&amp;A"))))</f>
        <v>80.95999999999998</v>
      </c>
      <c r="AD8" s="168" cm="1">
        <f t="array" ref="AD8">_xlfn.LET(_xlpm.data,_xlfn.VSTACK('MDA1:NCA9'!AD8),_xlpm.states,_xlfn.VSTACK('MDA1:NCA9'!$B$2),
SUM(_xlfn._xlws.FILTER(_xlpm.data,(_xlpm.states="new jersey")+(_xlpm.states="M&amp;A"))))</f>
        <v>83.640000000000015</v>
      </c>
      <c r="AE8" s="168" cm="1">
        <f t="array" ref="AE8">_xlfn.LET(_xlpm.data,_xlfn.VSTACK('MDA1:NCA9'!AE8),_xlpm.states,_xlfn.VSTACK('MDA1:NCA9'!$B$2),
SUM(_xlfn._xlws.FILTER(_xlpm.data,(_xlpm.states="new jersey")+(_xlpm.states="M&amp;A"))))</f>
        <v>86.439999999999984</v>
      </c>
      <c r="AF8" s="168" cm="1">
        <f t="array" ref="AF8">_xlfn.LET(_xlpm.data,_xlfn.VSTACK('MDA1:NCA9'!AF8),_xlpm.states,_xlfn.VSTACK('MDA1:NCA9'!$B$2),
SUM(_xlfn._xlws.FILTER(_xlpm.data,(_xlpm.states="new jersey")+(_xlpm.states="M&amp;A"))))</f>
        <v>89.039999999999992</v>
      </c>
      <c r="AG8" s="168" cm="1">
        <f t="array" ref="AG8">_xlfn.LET(_xlpm.data,_xlfn.VSTACK('MDA1:NCA9'!AG8),_xlpm.states,_xlfn.VSTACK('MDA1:NCA9'!$B$2),
SUM(_xlfn._xlws.FILTER(_xlpm.data,(_xlpm.states="new jersey")+(_xlpm.states="M&amp;A"))))</f>
        <v>91.199999999999974</v>
      </c>
      <c r="AH8" s="168" cm="1">
        <f t="array" ref="AH8">_xlfn.LET(_xlpm.data,_xlfn.VSTACK('MDA1:NCA9'!AH8),_xlpm.states,_xlfn.VSTACK('MDA1:NCA9'!$B$2),
SUM(_xlfn._xlws.FILTER(_xlpm.data,(_xlpm.states="new jersey")+(_xlpm.states="M&amp;A"))))</f>
        <v>93.46</v>
      </c>
      <c r="AI8" s="168" cm="1">
        <f t="array" ref="AI8">_xlfn.LET(_xlpm.data,_xlfn.VSTACK('MDA1:NCA9'!AI8),_xlpm.states,_xlfn.VSTACK('MDA1:NCA9'!$B$2),
SUM(_xlfn._xlws.FILTER(_xlpm.data,(_xlpm.states="new jersey")+(_xlpm.states="M&amp;A"))))</f>
        <v>96.34</v>
      </c>
      <c r="AJ8" s="168" cm="1">
        <f t="array" ref="AJ8">_xlfn.LET(_xlpm.data,_xlfn.VSTACK('MDA1:NCA9'!AJ8),_xlpm.states,_xlfn.VSTACK('MDA1:NCA9'!$B$2),
SUM(_xlfn._xlws.FILTER(_xlpm.data,(_xlpm.states="new jersey")+(_xlpm.states="M&amp;A"))))</f>
        <v>99.359999999999985</v>
      </c>
      <c r="AK8" s="168" cm="1">
        <f t="array" ref="AK8">_xlfn.LET(_xlpm.data,_xlfn.VSTACK('MDA1:NCA9'!AK8),_xlpm.states,_xlfn.VSTACK('MDA1:NCA9'!$B$2),
SUM(_xlfn._xlws.FILTER(_xlpm.data,(_xlpm.states="new jersey")+(_xlpm.states="M&amp;A"))))</f>
        <v>102.48999999999998</v>
      </c>
      <c r="AL8" s="168" cm="1">
        <f t="array" ref="AL8">_xlfn.LET(_xlpm.data,_xlfn.VSTACK('MDA1:NCA9'!AL8),_xlpm.states,_xlfn.VSTACK('MDA1:NCA9'!$B$2),
SUM(_xlfn._xlws.FILTER(_xlpm.data,(_xlpm.states="new jersey")+(_xlpm.states="M&amp;A"))))</f>
        <v>105.7</v>
      </c>
      <c r="AM8" s="168" cm="1">
        <f t="array" ref="AM8">_xlfn.LET(_xlpm.data,_xlfn.VSTACK('MDA1:NCA9'!AM8),_xlpm.states,_xlfn.VSTACK('MDA1:NCA9'!$B$2),
SUM(_xlfn._xlws.FILTER(_xlpm.data,(_xlpm.states="new jersey")+(_xlpm.states="M&amp;A"))))</f>
        <v>109.44</v>
      </c>
      <c r="AN8" s="168" cm="1">
        <f t="array" ref="AN8">_xlfn.LET(_xlpm.data,_xlfn.VSTACK('MDA1:NCA9'!AN8),_xlpm.states,_xlfn.VSTACK('MDA1:NCA9'!$B$2),
SUM(_xlfn._xlws.FILTER(_xlpm.data,(_xlpm.states="new jersey")+(_xlpm.states="M&amp;A"))))</f>
        <v>112.99999999999997</v>
      </c>
    </row>
    <row r="9" spans="1:40" x14ac:dyDescent="0.25">
      <c r="B9" s="96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461</v>
      </c>
      <c r="C10" s="3"/>
      <c r="D10" s="96"/>
      <c r="E10" s="168" cm="1">
        <f t="array" ref="E10">_xlfn.LET(_xlpm.data,_xlfn.VSTACK(_xlfn.VSTACK(MS:META!E10),_xlfn.VSTACK('MDA1:NCA9'!E1)),_xlpm.states,_xlfn.VSTACK('MS:NCA9'!$B$2),
SUM(_xlfn._xlws.FILTER(_xlpm.data,(_xlpm.states="new jersey")+(_xlpm.states="M&amp;A"))))</f>
        <v>121</v>
      </c>
      <c r="F10" s="168" cm="1">
        <f t="array" ref="F10">_xlfn.LET(_xlpm.data,_xlfn.VSTACK(_xlfn.VSTACK(MS:META!F10),_xlfn.VSTACK('MDA1:NCA9'!F1)),_xlpm.states,_xlfn.VSTACK('MS:NCA9'!$B$2),
SUM(_xlfn._xlws.FILTER(_xlpm.data,(_xlpm.states="new jersey")+(_xlpm.states="M&amp;A"))))</f>
        <v>150.1</v>
      </c>
      <c r="G10" s="168" cm="1">
        <f t="array" ref="G10">_xlfn.LET(_xlpm.data,_xlfn.VSTACK(_xlfn.VSTACK(MS:META!G10),_xlfn.VSTACK('MDA1:NCA9'!G1)),_xlpm.states,_xlfn.VSTACK('MS:NCA9'!$B$2),
SUM(_xlfn._xlws.FILTER(_xlpm.data,(_xlpm.states="new jersey")+(_xlpm.states="M&amp;A"))))</f>
        <v>175.1</v>
      </c>
      <c r="H10" s="168" cm="1">
        <f t="array" ref="H10">_xlfn.LET(_xlpm.data,_xlfn.VSTACK(_xlfn.VSTACK(MS:META!H10),_xlfn.VSTACK('MDA1:NCA9'!H1)),_xlpm.states,_xlfn.VSTACK('MS:NCA9'!$B$2),
SUM(_xlfn._xlws.FILTER(_xlpm.data,(_xlpm.states="new jersey")+(_xlpm.states="M&amp;A"))))</f>
        <v>204.2</v>
      </c>
      <c r="I10" s="168" cm="1">
        <f t="array" ref="I10">_xlfn.LET(_xlpm.data,_xlfn.VSTACK(_xlfn.VSTACK(MS:META!I10),_xlfn.VSTACK('MDA1:NCA9'!I1)),_xlpm.states,_xlfn.VSTACK('MS:NCA9'!$B$2),
SUM(_xlfn._xlws.FILTER(_xlpm.data,(_xlpm.states="new jersey")+(_xlpm.states="M&amp;A"))))</f>
        <v>228.3</v>
      </c>
      <c r="J10" s="168" cm="1">
        <f t="array" ref="J10">_xlfn.LET(_xlpm.data,_xlfn.VSTACK(_xlfn.VSTACK(MS:META!J10),_xlfn.VSTACK('MDA1:NCA9'!J1)),_xlpm.states,_xlfn.VSTACK('MS:NCA9'!$B$2),
SUM(_xlfn._xlws.FILTER(_xlpm.data,(_xlpm.states="new jersey")+(_xlpm.states="M&amp;A"))))</f>
        <v>255.3</v>
      </c>
      <c r="K10" s="168" cm="1">
        <f t="array" ref="K10">_xlfn.LET(_xlpm.data,_xlfn.VSTACK(_xlfn.VSTACK(MS:META!K10),_xlfn.VSTACK('MDA1:NCA9'!K1)),_xlpm.states,_xlfn.VSTACK('MS:NCA9'!$B$2),
SUM(_xlfn._xlws.FILTER(_xlpm.data,(_xlpm.states="new jersey")+(_xlpm.states="M&amp;A"))))</f>
        <v>216.4</v>
      </c>
      <c r="L10" s="168" cm="1">
        <f t="array" ref="L10">_xlfn.LET(_xlpm.data,_xlfn.VSTACK(_xlfn.VSTACK(MS:META!L10),_xlfn.VSTACK('MDA1:NCA9'!L1)),_xlpm.states,_xlfn.VSTACK('MS:NCA9'!$B$2),
SUM(_xlfn._xlws.FILTER(_xlpm.data,(_xlpm.states="new jersey")+(_xlpm.states="M&amp;A"))))</f>
        <v>237.8</v>
      </c>
      <c r="M10" s="168" cm="1">
        <f t="array" ref="M10">_xlfn.LET(_xlpm.data,_xlfn.VSTACK(_xlfn.VSTACK(MS:META!M10),_xlfn.VSTACK('MDA1:NCA9'!M1)),_xlpm.states,_xlfn.VSTACK('MS:NCA9'!$B$2),
SUM(_xlfn._xlws.FILTER(_xlpm.data,(_xlpm.states="new jersey")+(_xlpm.states="M&amp;A"))))</f>
        <v>263.2</v>
      </c>
      <c r="N10" s="168" cm="1">
        <f t="array" ref="N10">_xlfn.LET(_xlpm.data,_xlfn.VSTACK(_xlfn.VSTACK(MS:META!N10),_xlfn.VSTACK('MDA1:NCA9'!N1)),_xlpm.states,_xlfn.VSTACK('MS:NCA9'!$B$2),
SUM(_xlfn._xlws.FILTER(_xlpm.data,(_xlpm.states="new jersey")+(_xlpm.states="M&amp;A"))))</f>
        <v>311.60000000000002</v>
      </c>
      <c r="O10" s="168" cm="1">
        <f t="array" ref="O10">_xlfn.LET(_xlpm.data,_xlfn.VSTACK(_xlfn.VSTACK(MS:META!O10),_xlfn.VSTACK('MDA1:NCA9'!O1)),_xlpm.states,_xlfn.VSTACK('MS:NCA9'!$B$2),
SUM(_xlfn._xlws.FILTER(_xlpm.data,(_xlpm.states="new jersey")+(_xlpm.states="M&amp;A"))))</f>
        <v>345.2</v>
      </c>
      <c r="P10" s="168" cm="1">
        <f t="array" ref="P10">_xlfn.LET(_xlpm.data,_xlfn.VSTACK(_xlfn.VSTACK(MS:META!P10),_xlfn.VSTACK('MDA1:NCA9'!P1)),_xlpm.states,_xlfn.VSTACK('MS:NCA9'!$B$2),
SUM(_xlfn._xlws.FILTER(_xlpm.data,(_xlpm.states="new jersey")+(_xlpm.states="M&amp;A"))))</f>
        <v>377.9</v>
      </c>
      <c r="Q10" s="168" cm="1">
        <f t="array" ref="Q10">_xlfn.LET(_xlpm.data,_xlfn.VSTACK(_xlfn.VSTACK(MS:META!Q10),_xlfn.VSTACK('MDA1:NCA9'!Q1)),_xlpm.states,_xlfn.VSTACK('MS:NCA9'!$B$2),
SUM(_xlfn._xlws.FILTER(_xlpm.data,(_xlpm.states="new jersey")+(_xlpm.states="M&amp;A"))))</f>
        <v>433.5</v>
      </c>
      <c r="R10" s="168" cm="1">
        <f t="array" ref="R10">_xlfn.LET(_xlpm.data,_xlfn.VSTACK(_xlfn.VSTACK(MS:META!R10),_xlfn.VSTACK('MDA1:NCA9'!R1)),_xlpm.states,_xlfn.VSTACK('MS:NCA9'!$B$2),
SUM(_xlfn._xlws.FILTER(_xlpm.data,(_xlpm.states="new jersey")+(_xlpm.states="M&amp;A"))))</f>
        <v>464.3</v>
      </c>
      <c r="S10" s="168" cm="1">
        <f t="array" ref="S10">_xlfn.LET(_xlpm.data,_xlfn.VSTACK(_xlfn.VSTACK(MS:META!S10),_xlfn.VSTACK('MDA1:NCA9'!S1)),_xlpm.states,_xlfn.VSTACK('MS:NCA9'!$B$2),
SUM(_xlfn._xlws.FILTER(_xlpm.data,(_xlpm.states="new jersey")+(_xlpm.states="M&amp;A"))))</f>
        <v>499.2</v>
      </c>
      <c r="T10" s="168" cm="1">
        <f t="array" ref="T10">_xlfn.LET(_xlpm.data,_xlfn.VSTACK(_xlfn.VSTACK(MS:META!T10),_xlfn.VSTACK('MDA1:NCA9'!T1)),_xlpm.states,_xlfn.VSTACK('MS:NCA9'!$B$2),
SUM(_xlfn._xlws.FILTER(_xlpm.data,(_xlpm.states="new jersey")+(_xlpm.states="M&amp;A"))))</f>
        <v>517.1</v>
      </c>
      <c r="U10" s="168" cm="1">
        <f t="array" ref="U10">_xlfn.LET(_xlpm.data,_xlfn.VSTACK(_xlfn.VSTACK(MS:META!U10),_xlfn.VSTACK('MDA1:NCA9'!U1)),_xlpm.states,_xlfn.VSTACK('MS:NCA9'!$B$2),
SUM(_xlfn._xlws.FILTER(_xlpm.data,(_xlpm.states="new jersey")+(_xlpm.states="M&amp;A"))))</f>
        <v>544.20000000000005</v>
      </c>
      <c r="V10" s="168" cm="1">
        <f t="array" ref="V10">_xlfn.LET(_xlpm.data,_xlfn.VSTACK(_xlfn.VSTACK(MS:META!V10),_xlfn.VSTACK('MDA1:NCA9'!V1)),_xlpm.states,_xlfn.VSTACK('MS:NCA9'!$B$2),
SUM(_xlfn._xlws.FILTER(_xlpm.data,(_xlpm.states="new jersey")+(_xlpm.states="M&amp;A"))))</f>
        <v>567.4</v>
      </c>
      <c r="W10" s="168" cm="1">
        <f t="array" ref="W10">_xlfn.LET(_xlpm.data,_xlfn.VSTACK(_xlfn.VSTACK(MS:META!W10),_xlfn.VSTACK('MDA1:NCA9'!W1)),_xlpm.states,_xlfn.VSTACK('MS:NCA9'!$B$2),
SUM(_xlfn._xlws.FILTER(_xlpm.data,(_xlpm.states="new jersey")+(_xlpm.states="M&amp;A"))))</f>
        <v>576.6</v>
      </c>
      <c r="X10" s="168" cm="1">
        <f t="array" ref="X10">_xlfn.LET(_xlpm.data,_xlfn.VSTACK(_xlfn.VSTACK(MS:META!X10),_xlfn.VSTACK('MDA1:NCA9'!X1)),_xlpm.states,_xlfn.VSTACK('MS:NCA9'!$B$2),
SUM(_xlfn._xlws.FILTER(_xlpm.data,(_xlpm.states="new jersey")+(_xlpm.states="M&amp;A"))))</f>
        <v>604.1</v>
      </c>
      <c r="Y10" s="168" cm="1">
        <f t="array" ref="Y10">_xlfn.LET(_xlpm.data,_xlfn.VSTACK(_xlfn.VSTACK(MS:META!Y10),_xlfn.VSTACK('MDA1:NCA9'!Y1)),_xlpm.states,_xlfn.VSTACK('MS:NCA9'!$B$2),
SUM(_xlfn._xlws.FILTER(_xlpm.data,(_xlpm.states="new jersey")+(_xlpm.states="M&amp;A"))))</f>
        <v>623.70000000000005</v>
      </c>
      <c r="Z10" s="168" cm="1">
        <f t="array" ref="Z10">_xlfn.LET(_xlpm.data,_xlfn.VSTACK(_xlfn.VSTACK(MS:META!Z10),_xlfn.VSTACK('MDA1:NCA9'!Z1)),_xlpm.states,_xlfn.VSTACK('MS:NCA9'!$B$2),
SUM(_xlfn._xlws.FILTER(_xlpm.data,(_xlpm.states="new jersey")+(_xlpm.states="M&amp;A"))))</f>
        <v>651.1</v>
      </c>
      <c r="AA10" s="168" cm="1">
        <f t="array" ref="AA10">_xlfn.LET(_xlpm.data,_xlfn.VSTACK(_xlfn.VSTACK(MS:META!AA10),_xlfn.VSTACK('MDA1:NCA9'!AA1)),_xlpm.states,_xlfn.VSTACK('MS:NCA9'!$B$2),
SUM(_xlfn._xlws.FILTER(_xlpm.data,(_xlpm.states="new jersey")+(_xlpm.states="M&amp;A"))))</f>
        <v>676.7</v>
      </c>
      <c r="AB10" s="168" cm="1">
        <f t="array" ref="AB10">_xlfn.LET(_xlpm.data,_xlfn.VSTACK(_xlfn.VSTACK(MS:META!AB10),_xlfn.VSTACK('MDA1:NCA9'!AB1)),_xlpm.states,_xlfn.VSTACK('MS:NCA9'!$B$2),
SUM(_xlfn._xlws.FILTER(_xlpm.data,(_xlpm.states="new jersey")+(_xlpm.states="M&amp;A"))))</f>
        <v>703.2</v>
      </c>
      <c r="AC10" s="168" cm="1">
        <f t="array" ref="AC10">_xlfn.LET(_xlpm.data,_xlfn.VSTACK(_xlfn.VSTACK(MS:META!AC10),_xlfn.VSTACK('MDA1:NCA9'!AC1)),_xlpm.states,_xlfn.VSTACK('MS:NCA9'!$B$2),
SUM(_xlfn._xlws.FILTER(_xlpm.data,(_xlpm.states="new jersey")+(_xlpm.states="M&amp;A"))))</f>
        <v>746.7</v>
      </c>
      <c r="AD10" s="168" cm="1">
        <f t="array" ref="AD10">_xlfn.LET(_xlpm.data,_xlfn.VSTACK(_xlfn.VSTACK(MS:META!AD10),_xlfn.VSTACK('MDA1:NCA9'!AD1)),_xlpm.states,_xlfn.VSTACK('MS:NCA9'!$B$2),
SUM(_xlfn._xlws.FILTER(_xlpm.data,(_xlpm.states="new jersey")+(_xlpm.states="M&amp;A"))))</f>
        <v>766.5</v>
      </c>
      <c r="AE10" s="168" cm="1">
        <f t="array" ref="AE10">_xlfn.LET(_xlpm.data,_xlfn.VSTACK(_xlfn.VSTACK(MS:META!AE10),_xlfn.VSTACK('MDA1:NCA9'!AE1)),_xlpm.states,_xlfn.VSTACK('MS:NCA9'!$B$2),
SUM(_xlfn._xlws.FILTER(_xlpm.data,(_xlpm.states="new jersey")+(_xlpm.states="M&amp;A"))))</f>
        <v>792.8</v>
      </c>
      <c r="AF10" s="168" cm="1">
        <f t="array" ref="AF10">_xlfn.LET(_xlpm.data,_xlfn.VSTACK(_xlfn.VSTACK(MS:META!AF10),_xlfn.VSTACK('MDA1:NCA9'!AF1)),_xlpm.states,_xlfn.VSTACK('MS:NCA9'!$B$2),
SUM(_xlfn._xlws.FILTER(_xlpm.data,(_xlpm.states="new jersey")+(_xlpm.states="M&amp;A"))))</f>
        <v>815.2</v>
      </c>
      <c r="AG10" s="168" cm="1">
        <f t="array" ref="AG10">_xlfn.LET(_xlpm.data,_xlfn.VSTACK(_xlfn.VSTACK(MS:META!AG10),_xlfn.VSTACK('MDA1:NCA9'!AG1)),_xlpm.states,_xlfn.VSTACK('MS:NCA9'!$B$2),
SUM(_xlfn._xlws.FILTER(_xlpm.data,(_xlpm.states="new jersey")+(_xlpm.states="M&amp;A"))))</f>
        <v>835.5</v>
      </c>
      <c r="AH10" s="168" cm="1">
        <f t="array" ref="AH10">_xlfn.LET(_xlpm.data,_xlfn.VSTACK(_xlfn.VSTACK(MS:META!AH10),_xlfn.VSTACK('MDA1:NCA9'!AH1)),_xlpm.states,_xlfn.VSTACK('MS:NCA9'!$B$2),
SUM(_xlfn._xlws.FILTER(_xlpm.data,(_xlpm.states="new jersey")+(_xlpm.states="M&amp;A"))))</f>
        <v>858.8</v>
      </c>
      <c r="AI10" s="168" cm="1">
        <f t="array" ref="AI10">_xlfn.LET(_xlpm.data,_xlfn.VSTACK(_xlfn.VSTACK(MS:META!AI10),_xlfn.VSTACK('MDA1:NCA9'!AI1)),_xlpm.states,_xlfn.VSTACK('MS:NCA9'!$B$2),
SUM(_xlfn._xlws.FILTER(_xlpm.data,(_xlpm.states="new jersey")+(_xlpm.states="M&amp;A"))))</f>
        <v>865.3</v>
      </c>
      <c r="AJ10" s="168" cm="1">
        <f t="array" ref="AJ10">_xlfn.LET(_xlpm.data,_xlfn.VSTACK(_xlfn.VSTACK(MS:META!AJ10),_xlfn.VSTACK('MDA1:NCA9'!AJ1)),_xlpm.states,_xlfn.VSTACK('MS:NCA9'!$B$2),
SUM(_xlfn._xlws.FILTER(_xlpm.data,(_xlpm.states="new jersey")+(_xlpm.states="M&amp;A"))))</f>
        <v>892.8</v>
      </c>
      <c r="AK10" s="168" cm="1">
        <f t="array" ref="AK10">_xlfn.LET(_xlpm.data,_xlfn.VSTACK(_xlfn.VSTACK(MS:META!AK10),_xlfn.VSTACK('MDA1:NCA9'!AK1)),_xlpm.states,_xlfn.VSTACK('MS:NCA9'!$B$2),
SUM(_xlfn._xlws.FILTER(_xlpm.data,(_xlpm.states="new jersey")+(_xlpm.states="M&amp;A"))))</f>
        <v>916.6</v>
      </c>
      <c r="AL10" s="168" cm="1">
        <f t="array" ref="AL10">_xlfn.LET(_xlpm.data,_xlfn.VSTACK(_xlfn.VSTACK(MS:META!AL10),_xlfn.VSTACK('MDA1:NCA9'!AL1)),_xlpm.states,_xlfn.VSTACK('MS:NCA9'!$B$2),
SUM(_xlfn._xlws.FILTER(_xlpm.data,(_xlpm.states="new jersey")+(_xlpm.states="M&amp;A"))))</f>
        <v>944.2</v>
      </c>
      <c r="AM10" s="168" cm="1">
        <f t="array" ref="AM10">_xlfn.LET(_xlpm.data,_xlfn.VSTACK(_xlfn.VSTACK(MS:META!AM10),_xlfn.VSTACK('MDA1:NCA9'!AM1)),_xlpm.states,_xlfn.VSTACK('MS:NCA9'!$B$2),
SUM(_xlfn._xlws.FILTER(_xlpm.data,(_xlpm.states="new jersey")+(_xlpm.states="M&amp;A"))))</f>
        <v>969.9</v>
      </c>
      <c r="AN10" s="168" cm="1">
        <f t="array" ref="AN10">_xlfn.LET(_xlpm.data,_xlfn.VSTACK(_xlfn.VSTACK(MS:META!AN10),_xlfn.VSTACK('MDA1:NCA9'!AN1)),_xlpm.states,_xlfn.VSTACK('MS:NCA9'!$B$2),
SUM(_xlfn._xlws.FILTER(_xlpm.data,(_xlpm.states="new jersey")+(_xlpm.states="M&amp;A"))))</f>
        <v>996.1</v>
      </c>
    </row>
    <row r="11" spans="1:40" hidden="1" outlineLevel="1" x14ac:dyDescent="0.25">
      <c r="B11" s="55" t="s">
        <v>462</v>
      </c>
      <c r="C11" s="3"/>
      <c r="D11" s="96"/>
      <c r="E11" s="168" cm="1">
        <f t="array" ref="E11">_xlfn.LET(_xlpm.data,_xlfn.VSTACK(_xlfn.VSTACK(MS:META!E11),_xlfn.VSTACK('MDA1:NCA9'!E2)),_xlpm.states,_xlfn.VSTACK('MS:NCA9'!$B$2),
SUM(_xlfn._xlws.FILTER(_xlpm.data,(_xlpm.states="new jersey")+(_xlpm.states="M&amp;A"))))</f>
        <v>21.599999999999998</v>
      </c>
      <c r="F11" s="168" cm="1">
        <f t="array" ref="F11">_xlfn.LET(_xlpm.data,_xlfn.VSTACK(_xlfn.VSTACK(MS:META!F11),_xlfn.VSTACK('MDA1:NCA9'!F2)),_xlpm.states,_xlfn.VSTACK('MS:NCA9'!$B$2),
SUM(_xlfn._xlws.FILTER(_xlpm.data,(_xlpm.states="new jersey")+(_xlpm.states="M&amp;A"))))</f>
        <v>29.266666666666666</v>
      </c>
      <c r="G11" s="168" cm="1">
        <f t="array" ref="G11">_xlfn.LET(_xlpm.data,_xlfn.VSTACK(_xlfn.VSTACK(MS:META!G11),_xlfn.VSTACK('MDA1:NCA9'!G2)),_xlpm.states,_xlfn.VSTACK('MS:NCA9'!$B$2),
SUM(_xlfn._xlws.FILTER(_xlpm.data,(_xlpm.states="new jersey")+(_xlpm.states="M&amp;A"))))</f>
        <v>37.033333333333331</v>
      </c>
      <c r="H11" s="168" cm="1">
        <f t="array" ref="H11">_xlfn.LET(_xlpm.data,_xlfn.VSTACK(_xlfn.VSTACK(MS:META!H11),_xlfn.VSTACK('MDA1:NCA9'!H2)),_xlpm.states,_xlfn.VSTACK('MS:NCA9'!$B$2),
SUM(_xlfn._xlws.FILTER(_xlpm.data,(_xlpm.states="new jersey")+(_xlpm.states="M&amp;A"))))</f>
        <v>45.633333333333333</v>
      </c>
      <c r="I11" s="168" cm="1">
        <f t="array" ref="I11">_xlfn.LET(_xlpm.data,_xlfn.VSTACK(_xlfn.VSTACK(MS:META!I11),_xlfn.VSTACK('MDA1:NCA9'!I2)),_xlpm.states,_xlfn.VSTACK('MS:NCA9'!$B$2),
SUM(_xlfn._xlws.FILTER(_xlpm.data,(_xlpm.states="new jersey")+(_xlpm.states="M&amp;A"))))</f>
        <v>58.680952380952391</v>
      </c>
      <c r="J11" s="168" cm="1">
        <f t="array" ref="J11">_xlfn.LET(_xlpm.data,_xlfn.VSTACK(_xlfn.VSTACK(MS:META!J11),_xlfn.VSTACK('MDA1:NCA9'!J2)),_xlpm.states,_xlfn.VSTACK('MS:NCA9'!$B$2),
SUM(_xlfn._xlws.FILTER(_xlpm.data,(_xlpm.states="new jersey")+(_xlpm.states="M&amp;A"))))</f>
        <v>68.828571428571436</v>
      </c>
      <c r="K11" s="168" cm="1">
        <f t="array" ref="K11">_xlfn.LET(_xlpm.data,_xlfn.VSTACK(_xlfn.VSTACK(MS:META!K11),_xlfn.VSTACK('MDA1:NCA9'!K2)),_xlpm.states,_xlfn.VSTACK('MS:NCA9'!$B$2),
SUM(_xlfn._xlws.FILTER(_xlpm.data,(_xlpm.states="new jersey")+(_xlpm.states="M&amp;A"))))</f>
        <v>70.561904761904771</v>
      </c>
      <c r="L11" s="168" cm="1">
        <f t="array" ref="L11">_xlfn.LET(_xlpm.data,_xlfn.VSTACK(_xlfn.VSTACK(MS:META!L11),_xlfn.VSTACK('MDA1:NCA9'!L2)),_xlpm.states,_xlfn.VSTACK('MS:NCA9'!$B$2),
SUM(_xlfn._xlws.FILTER(_xlpm.data,(_xlpm.states="new jersey")+(_xlpm.states="M&amp;A"))))</f>
        <v>75.461904761904762</v>
      </c>
      <c r="M11" s="168" cm="1">
        <f t="array" ref="M11">_xlfn.LET(_xlpm.data,_xlfn.VSTACK(_xlfn.VSTACK(MS:META!M11),_xlfn.VSTACK('MDA1:NCA9'!M2)),_xlpm.states,_xlfn.VSTACK('MS:NCA9'!$B$2),
SUM(_xlfn._xlws.FILTER(_xlpm.data,(_xlpm.states="new jersey")+(_xlpm.states="M&amp;A"))))</f>
        <v>77.361904761904754</v>
      </c>
      <c r="N11" s="168" cm="1">
        <f t="array" ref="N11">_xlfn.LET(_xlpm.data,_xlfn.VSTACK(_xlfn.VSTACK(MS:META!N11),_xlfn.VSTACK('MDA1:NCA9'!N2)),_xlpm.states,_xlfn.VSTACK('MS:NCA9'!$B$2),
SUM(_xlfn._xlws.FILTER(_xlpm.data,(_xlpm.states="new jersey")+(_xlpm.states="M&amp;A"))))</f>
        <v>84.628571428571433</v>
      </c>
      <c r="O11" s="168" cm="1">
        <f t="array" ref="O11">_xlfn.LET(_xlpm.data,_xlfn.VSTACK(_xlfn.VSTACK(MS:META!O11),_xlfn.VSTACK('MDA1:NCA9'!O2)),_xlpm.states,_xlfn.VSTACK('MS:NCA9'!$B$2),
SUM(_xlfn._xlws.FILTER(_xlpm.data,(_xlpm.states="new jersey")+(_xlpm.states="M&amp;A"))))</f>
        <v>90.876190476190487</v>
      </c>
      <c r="P11" s="168" cm="1">
        <f t="array" ref="P11">_xlfn.LET(_xlpm.data,_xlfn.VSTACK(_xlfn.VSTACK(MS:META!P11),_xlfn.VSTACK('MDA1:NCA9'!P2)),_xlpm.states,_xlfn.VSTACK('MS:NCA9'!$B$2),
SUM(_xlfn._xlws.FILTER(_xlpm.data,(_xlpm.states="new jersey")+(_xlpm.states="M&amp;A"))))</f>
        <v>100.35714285714286</v>
      </c>
      <c r="Q11" s="168" cm="1">
        <f t="array" ref="Q11">_xlfn.LET(_xlpm.data,_xlfn.VSTACK(_xlfn.VSTACK(MS:META!Q11),_xlfn.VSTACK('MDA1:NCA9'!Q2)),_xlpm.states,_xlfn.VSTACK('MS:NCA9'!$B$2),
SUM(_xlfn._xlws.FILTER(_xlpm.data,(_xlpm.states="new jersey")+(_xlpm.states="M&amp;A"))))</f>
        <v>101.32380952380952</v>
      </c>
      <c r="R11" s="168" cm="1">
        <f t="array" ref="R11">_xlfn.LET(_xlpm.data,_xlfn.VSTACK(_xlfn.VSTACK(MS:META!R11),_xlfn.VSTACK('MDA1:NCA9'!R2)),_xlpm.states,_xlfn.VSTACK('MS:NCA9'!$B$2),
SUM(_xlfn._xlws.FILTER(_xlpm.data,(_xlpm.states="new jersey")+(_xlpm.states="M&amp;A"))))</f>
        <v>108.39047619047618</v>
      </c>
      <c r="S11" s="168" cm="1">
        <f t="array" ref="S11">_xlfn.LET(_xlpm.data,_xlfn.VSTACK(_xlfn.VSTACK(MS:META!S11),_xlfn.VSTACK('MDA1:NCA9'!S2)),_xlpm.states,_xlfn.VSTACK('MS:NCA9'!$B$2),
SUM(_xlfn._xlws.FILTER(_xlpm.data,(_xlpm.states="new jersey")+(_xlpm.states="M&amp;A"))))</f>
        <v>117.33809523809524</v>
      </c>
      <c r="T11" s="168" cm="1">
        <f t="array" ref="T11">_xlfn.LET(_xlpm.data,_xlfn.VSTACK(_xlfn.VSTACK(MS:META!T11),_xlfn.VSTACK('MDA1:NCA9'!T2)),_xlpm.states,_xlfn.VSTACK('MS:NCA9'!$B$2),
SUM(_xlfn._xlws.FILTER(_xlpm.data,(_xlpm.states="new jersey")+(_xlpm.states="M&amp;A"))))</f>
        <v>119.93809523809526</v>
      </c>
      <c r="U11" s="168" cm="1">
        <f t="array" ref="U11">_xlfn.LET(_xlpm.data,_xlfn.VSTACK(_xlfn.VSTACK(MS:META!U11),_xlfn.VSTACK('MDA1:NCA9'!U2)),_xlpm.states,_xlfn.VSTACK('MS:NCA9'!$B$2),
SUM(_xlfn._xlws.FILTER(_xlpm.data,(_xlpm.states="new jersey")+(_xlpm.states="M&amp;A"))))</f>
        <v>120.75714285714282</v>
      </c>
      <c r="V11" s="168" cm="1">
        <f t="array" ref="V11">_xlfn.LET(_xlpm.data,_xlfn.VSTACK(_xlfn.VSTACK(MS:META!V11),_xlfn.VSTACK('MDA1:NCA9'!V2)),_xlpm.states,_xlfn.VSTACK('MS:NCA9'!$B$2),
SUM(_xlfn._xlws.FILTER(_xlpm.data,(_xlpm.states="new jersey")+(_xlpm.states="M&amp;A"))))</f>
        <v>124.24285714285715</v>
      </c>
      <c r="W11" s="168" cm="1">
        <f t="array" ref="W11">_xlfn.LET(_xlpm.data,_xlfn.VSTACK(_xlfn.VSTACK(MS:META!W11),_xlfn.VSTACK('MDA1:NCA9'!W2)),_xlpm.states,_xlfn.VSTACK('MS:NCA9'!$B$2),
SUM(_xlfn._xlws.FILTER(_xlpm.data,(_xlpm.states="new jersey")+(_xlpm.states="M&amp;A"))))</f>
        <v>129.62380952380957</v>
      </c>
      <c r="X11" s="168" cm="1">
        <f t="array" ref="X11">_xlfn.LET(_xlpm.data,_xlfn.VSTACK(_xlfn.VSTACK(MS:META!X11),_xlfn.VSTACK('MDA1:NCA9'!X2)),_xlpm.states,_xlfn.VSTACK('MS:NCA9'!$B$2),
SUM(_xlfn._xlws.FILTER(_xlpm.data,(_xlpm.states="new jersey")+(_xlpm.states="M&amp;A"))))</f>
        <v>133.55714285714282</v>
      </c>
      <c r="Y11" s="168" cm="1">
        <f t="array" ref="Y11">_xlfn.LET(_xlpm.data,_xlfn.VSTACK(_xlfn.VSTACK(MS:META!Y11),_xlfn.VSTACK('MDA1:NCA9'!Y2)),_xlpm.states,_xlfn.VSTACK('MS:NCA9'!$B$2),
SUM(_xlfn._xlws.FILTER(_xlpm.data,(_xlpm.states="new jersey")+(_xlpm.states="M&amp;A"))))</f>
        <v>140.45714285714286</v>
      </c>
      <c r="Z11" s="168" cm="1">
        <f t="array" ref="Z11">_xlfn.LET(_xlpm.data,_xlfn.VSTACK(_xlfn.VSTACK(MS:META!Z11),_xlfn.VSTACK('MDA1:NCA9'!Z2)),_xlpm.states,_xlfn.VSTACK('MS:NCA9'!$B$2),
SUM(_xlfn._xlws.FILTER(_xlpm.data,(_xlpm.states="new jersey")+(_xlpm.states="M&amp;A"))))</f>
        <v>141.55714285714288</v>
      </c>
      <c r="AA11" s="168" cm="1">
        <f t="array" ref="AA11">_xlfn.LET(_xlpm.data,_xlfn.VSTACK(_xlfn.VSTACK(MS:META!AA11),_xlfn.VSTACK('MDA1:NCA9'!AA2)),_xlpm.states,_xlfn.VSTACK('MS:NCA9'!$B$2),
SUM(_xlfn._xlws.FILTER(_xlpm.data,(_xlpm.states="new jersey")+(_xlpm.states="M&amp;A"))))</f>
        <v>145.55714285714282</v>
      </c>
      <c r="AB11" s="168" cm="1">
        <f t="array" ref="AB11">_xlfn.LET(_xlpm.data,_xlfn.VSTACK(_xlfn.VSTACK(MS:META!AB11),_xlfn.VSTACK('MDA1:NCA9'!AB2)),_xlpm.states,_xlfn.VSTACK('MS:NCA9'!$B$2),
SUM(_xlfn._xlws.FILTER(_xlpm.data,(_xlpm.states="new jersey")+(_xlpm.states="M&amp;A"))))</f>
        <v>147.84285714285713</v>
      </c>
      <c r="AC11" s="168" cm="1">
        <f t="array" ref="AC11">_xlfn.LET(_xlpm.data,_xlfn.VSTACK(_xlfn.VSTACK(MS:META!AC11),_xlfn.VSTACK('MDA1:NCA9'!AC2)),_xlpm.states,_xlfn.VSTACK('MS:NCA9'!$B$2),
SUM(_xlfn._xlws.FILTER(_xlpm.data,(_xlpm.states="new jersey")+(_xlpm.states="M&amp;A"))))</f>
        <v>156.97619047619048</v>
      </c>
      <c r="AD11" s="168" cm="1">
        <f t="array" ref="AD11">_xlfn.LET(_xlpm.data,_xlfn.VSTACK(_xlfn.VSTACK(MS:META!AD11),_xlfn.VSTACK('MDA1:NCA9'!AD2)),_xlpm.states,_xlfn.VSTACK('MS:NCA9'!$B$2),
SUM(_xlfn._xlws.FILTER(_xlpm.data,(_xlpm.states="new jersey")+(_xlpm.states="M&amp;A"))))</f>
        <v>162.60952380952381</v>
      </c>
      <c r="AE11" s="168" cm="1">
        <f t="array" ref="AE11">_xlfn.LET(_xlpm.data,_xlfn.VSTACK(_xlfn.VSTACK(MS:META!AE11),_xlfn.VSTACK('MDA1:NCA9'!AE2)),_xlpm.states,_xlfn.VSTACK('MS:NCA9'!$B$2),
SUM(_xlfn._xlws.FILTER(_xlpm.data,(_xlpm.states="new jersey")+(_xlpm.states="M&amp;A"))))</f>
        <v>166.46190476190475</v>
      </c>
      <c r="AF11" s="168" cm="1">
        <f t="array" ref="AF11">_xlfn.LET(_xlpm.data,_xlfn.VSTACK(_xlfn.VSTACK(MS:META!AF11),_xlfn.VSTACK('MDA1:NCA9'!AF2)),_xlpm.states,_xlfn.VSTACK('MS:NCA9'!$B$2),
SUM(_xlfn._xlws.FILTER(_xlpm.data,(_xlpm.states="new jersey")+(_xlpm.states="M&amp;A"))))</f>
        <v>170.47619047619048</v>
      </c>
      <c r="AG11" s="168" cm="1">
        <f t="array" ref="AG11">_xlfn.LET(_xlpm.data,_xlfn.VSTACK(_xlfn.VSTACK(MS:META!AG11),_xlfn.VSTACK('MDA1:NCA9'!AG2)),_xlpm.states,_xlfn.VSTACK('MS:NCA9'!$B$2),
SUM(_xlfn._xlws.FILTER(_xlpm.data,(_xlpm.states="new jersey")+(_xlpm.states="M&amp;A"))))</f>
        <v>175.60952380952381</v>
      </c>
      <c r="AH11" s="168" cm="1">
        <f t="array" ref="AH11">_xlfn.LET(_xlpm.data,_xlfn.VSTACK(_xlfn.VSTACK(MS:META!AH11),_xlfn.VSTACK('MDA1:NCA9'!AH2)),_xlpm.states,_xlfn.VSTACK('MS:NCA9'!$B$2),
SUM(_xlfn._xlws.FILTER(_xlpm.data,(_xlpm.states="new jersey")+(_xlpm.states="M&amp;A"))))</f>
        <v>180.94285714285715</v>
      </c>
      <c r="AI11" s="168" cm="1">
        <f t="array" ref="AI11">_xlfn.LET(_xlpm.data,_xlfn.VSTACK(_xlfn.VSTACK(MS:META!AI11),_xlfn.VSTACK('MDA1:NCA9'!AI2)),_xlpm.states,_xlfn.VSTACK('MS:NCA9'!$B$2),
SUM(_xlfn._xlws.FILTER(_xlpm.data,(_xlpm.states="new jersey")+(_xlpm.states="M&amp;A"))))</f>
        <v>184.27619047619049</v>
      </c>
      <c r="AJ11" s="168" cm="1">
        <f t="array" ref="AJ11">_xlfn.LET(_xlpm.data,_xlfn.VSTACK(_xlfn.VSTACK(MS:META!AJ11),_xlfn.VSTACK('MDA1:NCA9'!AJ2)),_xlpm.states,_xlfn.VSTACK('MS:NCA9'!$B$2),
SUM(_xlfn._xlws.FILTER(_xlpm.data,(_xlpm.states="new jersey")+(_xlpm.states="M&amp;A"))))</f>
        <v>187.90952380952382</v>
      </c>
      <c r="AK11" s="168" cm="1">
        <f t="array" ref="AK11">_xlfn.LET(_xlpm.data,_xlfn.VSTACK(_xlfn.VSTACK(MS:META!AK11),_xlfn.VSTACK('MDA1:NCA9'!AK2)),_xlpm.states,_xlfn.VSTACK('MS:NCA9'!$B$2),
SUM(_xlfn._xlws.FILTER(_xlpm.data,(_xlpm.states="new jersey")+(_xlpm.states="M&amp;A"))))</f>
        <v>191.50952380952378</v>
      </c>
      <c r="AL11" s="168" cm="1">
        <f t="array" ref="AL11">_xlfn.LET(_xlpm.data,_xlfn.VSTACK(_xlfn.VSTACK(MS:META!AL11),_xlfn.VSTACK('MDA1:NCA9'!AL2)),_xlpm.states,_xlfn.VSTACK('MS:NCA9'!$B$2),
SUM(_xlfn._xlws.FILTER(_xlpm.data,(_xlpm.states="new jersey")+(_xlpm.states="M&amp;A"))))</f>
        <v>200.09047619047621</v>
      </c>
      <c r="AM11" s="168" cm="1">
        <f t="array" ref="AM11">_xlfn.LET(_xlpm.data,_xlfn.VSTACK(_xlfn.VSTACK(MS:META!AM11),_xlfn.VSTACK('MDA1:NCA9'!AM2)),_xlpm.states,_xlfn.VSTACK('MS:NCA9'!$B$2),
SUM(_xlfn._xlws.FILTER(_xlpm.data,(_xlpm.states="new jersey")+(_xlpm.states="M&amp;A"))))</f>
        <v>204.74285714285713</v>
      </c>
      <c r="AN11" s="168" cm="1">
        <f t="array" ref="AN11">_xlfn.LET(_xlpm.data,_xlfn.VSTACK(_xlfn.VSTACK(MS:META!AN11),_xlfn.VSTACK('MDA1:NCA9'!AN2)),_xlpm.states,_xlfn.VSTACK('MS:NCA9'!$B$2),
SUM(_xlfn._xlws.FILTER(_xlpm.data,(_xlpm.states="new jersey")+(_xlpm.states="M&amp;A"))))</f>
        <v>207.90952380952385</v>
      </c>
    </row>
    <row r="12" spans="1:40" hidden="1" outlineLevel="1" x14ac:dyDescent="0.25">
      <c r="B12" s="55" t="s">
        <v>463</v>
      </c>
      <c r="C12" s="3"/>
      <c r="D12" s="96"/>
      <c r="E12" s="168" cm="1">
        <f t="array" ref="E12">_xlfn.LET(_xlpm.data,_xlfn.VSTACK(_xlfn.VSTACK(MS:META!E12),_xlfn.VSTACK('MDA1:NCA9'!E3)),_xlpm.states,_xlfn.VSTACK('MS:NCA9'!$B$2),
SUM(_xlfn._xlws.FILTER(_xlpm.data,(_xlpm.states="new jersey")+(_xlpm.states="M&amp;A"))))</f>
        <v>81.099999999999994</v>
      </c>
      <c r="F12" s="168" cm="1">
        <f t="array" ref="F12">_xlfn.LET(_xlpm.data,_xlfn.VSTACK(_xlfn.VSTACK(MS:META!F12),_xlfn.VSTACK('MDA1:NCA9'!F3)),_xlpm.states,_xlfn.VSTACK('MS:NCA9'!$B$2),
SUM(_xlfn._xlws.FILTER(_xlpm.data,(_xlpm.states="new jersey")+(_xlpm.states="M&amp;A"))))</f>
        <v>158.76666666666668</v>
      </c>
      <c r="G12" s="168" cm="1">
        <f t="array" ref="G12">_xlfn.LET(_xlpm.data,_xlfn.VSTACK(_xlfn.VSTACK(MS:META!G12),_xlfn.VSTACK('MDA1:NCA9'!G3)),_xlpm.states,_xlfn.VSTACK('MS:NCA9'!$B$2),
SUM(_xlfn._xlws.FILTER(_xlpm.data,(_xlpm.states="new jersey")+(_xlpm.states="M&amp;A"))))</f>
        <v>237.5333333333333</v>
      </c>
      <c r="H12" s="168" cm="1">
        <f t="array" ref="H12">_xlfn.LET(_xlpm.data,_xlfn.VSTACK(_xlfn.VSTACK(MS:META!H12),_xlfn.VSTACK('MDA1:NCA9'!H3)),_xlpm.states,_xlfn.VSTACK('MS:NCA9'!$B$2),
SUM(_xlfn._xlws.FILTER(_xlpm.data,(_xlpm.states="new jersey")+(_xlpm.states="M&amp;A"))))</f>
        <v>316.63333333333338</v>
      </c>
      <c r="I12" s="168" cm="1">
        <f t="array" ref="I12">_xlfn.LET(_xlpm.data,_xlfn.VSTACK(_xlfn.VSTACK(MS:META!I12),_xlfn.VSTACK('MDA1:NCA9'!I3)),_xlpm.states,_xlfn.VSTACK('MS:NCA9'!$B$2),
SUM(_xlfn._xlws.FILTER(_xlpm.data,(_xlpm.states="new jersey")+(_xlpm.states="M&amp;A"))))</f>
        <v>394.96666666666664</v>
      </c>
      <c r="J12" s="168" cm="1">
        <f t="array" ref="J12">_xlfn.LET(_xlpm.data,_xlfn.VSTACK(_xlfn.VSTACK(MS:META!J12),_xlfn.VSTACK('MDA1:NCA9'!J3)),_xlpm.states,_xlfn.VSTACK('MS:NCA9'!$B$2),
SUM(_xlfn._xlws.FILTER(_xlpm.data,(_xlpm.states="new jersey")+(_xlpm.states="M&amp;A"))))</f>
        <v>474.4</v>
      </c>
      <c r="K12" s="168" cm="1">
        <f t="array" ref="K12">_xlfn.LET(_xlpm.data,_xlfn.VSTACK(_xlfn.VSTACK(MS:META!K12),_xlfn.VSTACK('MDA1:NCA9'!K3)),_xlpm.states,_xlfn.VSTACK('MS:NCA9'!$B$2),
SUM(_xlfn._xlws.FILTER(_xlpm.data,(_xlpm.states="new jersey")+(_xlpm.states="M&amp;A"))))</f>
        <v>480.13333333333338</v>
      </c>
      <c r="L12" s="168" cm="1">
        <f t="array" ref="L12">_xlfn.LET(_xlpm.data,_xlfn.VSTACK(_xlfn.VSTACK(MS:META!L12),_xlfn.VSTACK('MDA1:NCA9'!L3)),_xlpm.states,_xlfn.VSTACK('MS:NCA9'!$B$2),
SUM(_xlfn._xlws.FILTER(_xlpm.data,(_xlpm.states="new jersey")+(_xlpm.states="M&amp;A"))))</f>
        <v>486.0333333333333</v>
      </c>
      <c r="M12" s="168" cm="1">
        <f t="array" ref="M12">_xlfn.LET(_xlpm.data,_xlfn.VSTACK(_xlfn.VSTACK(MS:META!M12),_xlfn.VSTACK('MDA1:NCA9'!M3)),_xlpm.states,_xlfn.VSTACK('MS:NCA9'!$B$2),
SUM(_xlfn._xlws.FILTER(_xlpm.data,(_xlpm.states="new jersey")+(_xlpm.states="M&amp;A"))))</f>
        <v>491.93333333333334</v>
      </c>
      <c r="N12" s="168" cm="1">
        <f t="array" ref="N12">_xlfn.LET(_xlpm.data,_xlfn.VSTACK(_xlfn.VSTACK(MS:META!N12),_xlfn.VSTACK('MDA1:NCA9'!N3)),_xlpm.states,_xlfn.VSTACK('MS:NCA9'!$B$2),
SUM(_xlfn._xlws.FILTER(_xlpm.data,(_xlpm.states="new jersey")+(_xlpm.states="M&amp;A"))))</f>
        <v>522.20000000000005</v>
      </c>
      <c r="O12" s="168" cm="1">
        <f t="array" ref="O12">_xlfn.LET(_xlpm.data,_xlfn.VSTACK(_xlfn.VSTACK(MS:META!O12),_xlfn.VSTACK('MDA1:NCA9'!O3)),_xlpm.states,_xlfn.VSTACK('MS:NCA9'!$B$2),
SUM(_xlfn._xlws.FILTER(_xlpm.data,(_xlpm.states="new jersey")+(_xlpm.states="M&amp;A"))))</f>
        <v>553.73333333333335</v>
      </c>
      <c r="P12" s="168" cm="1">
        <f t="array" ref="P12">_xlfn.LET(_xlpm.data,_xlfn.VSTACK(_xlfn.VSTACK(MS:META!P12),_xlfn.VSTACK('MDA1:NCA9'!P3)),_xlpm.states,_xlfn.VSTACK('MS:NCA9'!$B$2),
SUM(_xlfn._xlws.FILTER(_xlpm.data,(_xlpm.states="new jersey")+(_xlpm.states="M&amp;A"))))</f>
        <v>584.5</v>
      </c>
      <c r="Q12" s="168" cm="1">
        <f t="array" ref="Q12">_xlfn.LET(_xlpm.data,_xlfn.VSTACK(_xlfn.VSTACK(MS:META!Q12),_xlfn.VSTACK('MDA1:NCA9'!Q3)),_xlpm.states,_xlfn.VSTACK('MS:NCA9'!$B$2),
SUM(_xlfn._xlws.FILTER(_xlpm.data,(_xlpm.states="new jersey")+(_xlpm.states="M&amp;A"))))</f>
        <v>639.4666666666667</v>
      </c>
      <c r="R12" s="168" cm="1">
        <f t="array" ref="R12">_xlfn.LET(_xlpm.data,_xlfn.VSTACK(_xlfn.VSTACK(MS:META!R12),_xlfn.VSTACK('MDA1:NCA9'!R3)),_xlpm.states,_xlfn.VSTACK('MS:NCA9'!$B$2),
SUM(_xlfn._xlws.FILTER(_xlpm.data,(_xlpm.states="new jersey")+(_xlpm.states="M&amp;A"))))</f>
        <v>695.53333333333342</v>
      </c>
      <c r="S12" s="168" cm="1">
        <f t="array" ref="S12">_xlfn.LET(_xlpm.data,_xlfn.VSTACK(_xlfn.VSTACK(MS:META!S12),_xlfn.VSTACK('MDA1:NCA9'!S3)),_xlpm.states,_xlfn.VSTACK('MS:NCA9'!$B$2),
SUM(_xlfn._xlws.FILTER(_xlpm.data,(_xlpm.states="new jersey")+(_xlpm.states="M&amp;A"))))</f>
        <v>751.76666666666665</v>
      </c>
      <c r="T12" s="168" cm="1">
        <f t="array" ref="T12">_xlfn.LET(_xlpm.data,_xlfn.VSTACK(_xlfn.VSTACK(MS:META!T12),_xlfn.VSTACK('MDA1:NCA9'!T3)),_xlpm.states,_xlfn.VSTACK('MS:NCA9'!$B$2),
SUM(_xlfn._xlws.FILTER(_xlpm.data,(_xlpm.states="new jersey")+(_xlpm.states="M&amp;A"))))</f>
        <v>788.36666666666656</v>
      </c>
      <c r="U12" s="168" cm="1">
        <f t="array" ref="U12">_xlfn.LET(_xlpm.data,_xlfn.VSTACK(_xlfn.VSTACK(MS:META!U12),_xlfn.VSTACK('MDA1:NCA9'!U3)),_xlpm.states,_xlfn.VSTACK('MS:NCA9'!$B$2),
SUM(_xlfn._xlws.FILTER(_xlpm.data,(_xlpm.states="new jersey")+(_xlpm.states="M&amp;A"))))</f>
        <v>825.90000000000009</v>
      </c>
      <c r="V12" s="168" cm="1">
        <f t="array" ref="V12">_xlfn.LET(_xlpm.data,_xlfn.VSTACK(_xlfn.VSTACK(MS:META!V12),_xlfn.VSTACK('MDA1:NCA9'!V3)),_xlpm.states,_xlfn.VSTACK('MS:NCA9'!$B$2),
SUM(_xlfn._xlws.FILTER(_xlpm.data,(_xlpm.states="new jersey")+(_xlpm.states="M&amp;A"))))</f>
        <v>863.1</v>
      </c>
      <c r="W12" s="168" cm="1">
        <f t="array" ref="W12">_xlfn.LET(_xlpm.data,_xlfn.VSTACK(_xlfn.VSTACK(MS:META!W12),_xlfn.VSTACK('MDA1:NCA9'!W3)),_xlpm.states,_xlfn.VSTACK('MS:NCA9'!$B$2),
SUM(_xlfn._xlws.FILTER(_xlpm.data,(_xlpm.states="new jersey")+(_xlpm.states="M&amp;A"))))</f>
        <v>881.76666666666654</v>
      </c>
      <c r="X12" s="168" cm="1">
        <f t="array" ref="X12">_xlfn.LET(_xlpm.data,_xlfn.VSTACK(_xlfn.VSTACK(MS:META!X12),_xlfn.VSTACK('MDA1:NCA9'!X3)),_xlpm.states,_xlfn.VSTACK('MS:NCA9'!$B$2),
SUM(_xlfn._xlws.FILTER(_xlpm.data,(_xlpm.states="new jersey")+(_xlpm.states="M&amp;A"))))</f>
        <v>901.70000000000016</v>
      </c>
      <c r="Y12" s="168" cm="1">
        <f t="array" ref="Y12">_xlfn.LET(_xlpm.data,_xlfn.VSTACK(_xlfn.VSTACK(MS:META!Y12),_xlfn.VSTACK('MDA1:NCA9'!Y3)),_xlpm.states,_xlfn.VSTACK('MS:NCA9'!$B$2),
SUM(_xlfn._xlws.FILTER(_xlpm.data,(_xlpm.states="new jersey")+(_xlpm.states="M&amp;A"))))</f>
        <v>919.59999999999991</v>
      </c>
      <c r="Z12" s="168" cm="1">
        <f t="array" ref="Z12">_xlfn.LET(_xlpm.data,_xlfn.VSTACK(_xlfn.VSTACK(MS:META!Z12),_xlfn.VSTACK('MDA1:NCA9'!Z3)),_xlpm.states,_xlfn.VSTACK('MS:NCA9'!$B$2),
SUM(_xlfn._xlws.FILTER(_xlpm.data,(_xlpm.states="new jersey")+(_xlpm.states="M&amp;A"))))</f>
        <v>939.69999999999982</v>
      </c>
      <c r="AA12" s="168" cm="1">
        <f t="array" ref="AA12">_xlfn.LET(_xlpm.data,_xlfn.VSTACK(_xlfn.VSTACK(MS:META!AA12),_xlfn.VSTACK('MDA1:NCA9'!AA3)),_xlpm.states,_xlfn.VSTACK('MS:NCA9'!$B$2),
SUM(_xlfn._xlws.FILTER(_xlpm.data,(_xlpm.states="new jersey")+(_xlpm.states="M&amp;A"))))</f>
        <v>958.70000000000016</v>
      </c>
      <c r="AB12" s="168" cm="1">
        <f t="array" ref="AB12">_xlfn.LET(_xlpm.data,_xlfn.VSTACK(_xlfn.VSTACK(MS:META!AB12),_xlfn.VSTACK('MDA1:NCA9'!AB3)),_xlpm.states,_xlfn.VSTACK('MS:NCA9'!$B$2),
SUM(_xlfn._xlws.FILTER(_xlpm.data,(_xlpm.states="new jersey")+(_xlpm.states="M&amp;A"))))</f>
        <v>977.7</v>
      </c>
      <c r="AC12" s="168" cm="1">
        <f t="array" ref="AC12">_xlfn.LET(_xlpm.data,_xlfn.VSTACK(_xlfn.VSTACK(MS:META!AC12),_xlfn.VSTACK('MDA1:NCA9'!AC3)),_xlpm.states,_xlfn.VSTACK('MS:NCA9'!$B$2),
SUM(_xlfn._xlws.FILTER(_xlpm.data,(_xlpm.states="new jersey")+(_xlpm.states="M&amp;A"))))</f>
        <v>1021.8333333333333</v>
      </c>
      <c r="AD12" s="168" cm="1">
        <f t="array" ref="AD12">_xlfn.LET(_xlpm.data,_xlfn.VSTACK(_xlfn.VSTACK(MS:META!AD12),_xlfn.VSTACK('MDA1:NCA9'!AD3)),_xlpm.states,_xlfn.VSTACK('MS:NCA9'!$B$2),
SUM(_xlfn._xlws.FILTER(_xlpm.data,(_xlpm.states="new jersey")+(_xlpm.states="M&amp;A"))))</f>
        <v>1060.4666666666665</v>
      </c>
      <c r="AE12" s="168" cm="1">
        <f t="array" ref="AE12">_xlfn.LET(_xlpm.data,_xlfn.VSTACK(_xlfn.VSTACK(MS:META!AE12),_xlfn.VSTACK('MDA1:NCA9'!AE3)),_xlpm.states,_xlfn.VSTACK('MS:NCA9'!$B$2),
SUM(_xlfn._xlws.FILTER(_xlpm.data,(_xlpm.states="new jersey")+(_xlpm.states="M&amp;A"))))</f>
        <v>1100.0333333333333</v>
      </c>
      <c r="AF12" s="168" cm="1">
        <f t="array" ref="AF12">_xlfn.LET(_xlpm.data,_xlfn.VSTACK(_xlfn.VSTACK(MS:META!AF12),_xlfn.VSTACK('MDA1:NCA9'!AF3)),_xlpm.states,_xlfn.VSTACK('MS:NCA9'!$B$2),
SUM(_xlfn._xlws.FILTER(_xlpm.data,(_xlpm.states="new jersey")+(_xlpm.states="M&amp;A"))))</f>
        <v>1138.3333333333335</v>
      </c>
      <c r="AG12" s="168" cm="1">
        <f t="array" ref="AG12">_xlfn.LET(_xlpm.data,_xlfn.VSTACK(_xlfn.VSTACK(MS:META!AG12),_xlfn.VSTACK('MDA1:NCA9'!AG3)),_xlpm.states,_xlfn.VSTACK('MS:NCA9'!$B$2),
SUM(_xlfn._xlws.FILTER(_xlpm.data,(_xlpm.states="new jersey")+(_xlpm.states="M&amp;A"))))</f>
        <v>1176.4666666666665</v>
      </c>
      <c r="AH12" s="168" cm="1">
        <f t="array" ref="AH12">_xlfn.LET(_xlpm.data,_xlfn.VSTACK(_xlfn.VSTACK(MS:META!AH12),_xlfn.VSTACK('MDA1:NCA9'!AH3)),_xlpm.states,_xlfn.VSTACK('MS:NCA9'!$B$2),
SUM(_xlfn._xlws.FILTER(_xlpm.data,(_xlpm.states="new jersey")+(_xlpm.states="M&amp;A"))))</f>
        <v>1216.8</v>
      </c>
      <c r="AI12" s="168" cm="1">
        <f t="array" ref="AI12">_xlfn.LET(_xlpm.data,_xlfn.VSTACK(_xlfn.VSTACK(MS:META!AI12),_xlfn.VSTACK('MDA1:NCA9'!AI3)),_xlpm.states,_xlfn.VSTACK('MS:NCA9'!$B$2),
SUM(_xlfn._xlws.FILTER(_xlpm.data,(_xlpm.states="new jersey")+(_xlpm.states="M&amp;A"))))</f>
        <v>1235.1333333333334</v>
      </c>
      <c r="AJ12" s="168" cm="1">
        <f t="array" ref="AJ12">_xlfn.LET(_xlpm.data,_xlfn.VSTACK(_xlfn.VSTACK(MS:META!AJ12),_xlfn.VSTACK('MDA1:NCA9'!AJ3)),_xlpm.states,_xlfn.VSTACK('MS:NCA9'!$B$2),
SUM(_xlfn._xlws.FILTER(_xlpm.data,(_xlpm.states="new jersey")+(_xlpm.states="M&amp;A"))))</f>
        <v>1256.7666666666664</v>
      </c>
      <c r="AK12" s="168" cm="1">
        <f t="array" ref="AK12">_xlfn.LET(_xlpm.data,_xlfn.VSTACK(_xlfn.VSTACK(MS:META!AK12),_xlfn.VSTACK('MDA1:NCA9'!AK3)),_xlpm.states,_xlfn.VSTACK('MS:NCA9'!$B$2),
SUM(_xlfn._xlws.FILTER(_xlpm.data,(_xlpm.states="new jersey")+(_xlpm.states="M&amp;A"))))</f>
        <v>1276.3666666666668</v>
      </c>
      <c r="AL12" s="168" cm="1">
        <f t="array" ref="AL12">_xlfn.LET(_xlpm.data,_xlfn.VSTACK(_xlfn.VSTACK(MS:META!AL12),_xlfn.VSTACK('MDA1:NCA9'!AL3)),_xlpm.states,_xlfn.VSTACK('MS:NCA9'!$B$2),
SUM(_xlfn._xlws.FILTER(_xlpm.data,(_xlpm.states="new jersey")+(_xlpm.states="M&amp;A"))))</f>
        <v>1297.2333333333333</v>
      </c>
      <c r="AM12" s="168" cm="1">
        <f t="array" ref="AM12">_xlfn.LET(_xlpm.data,_xlfn.VSTACK(_xlfn.VSTACK(MS:META!AM12),_xlfn.VSTACK('MDA1:NCA9'!AM3)),_xlpm.states,_xlfn.VSTACK('MS:NCA9'!$B$2),
SUM(_xlfn._xlws.FILTER(_xlpm.data,(_xlpm.states="new jersey")+(_xlpm.states="M&amp;A"))))</f>
        <v>1312.6</v>
      </c>
      <c r="AN12" s="168" cm="1">
        <f t="array" ref="AN12">_xlfn.LET(_xlpm.data,_xlfn.VSTACK(_xlfn.VSTACK(MS:META!AN12),_xlfn.VSTACK('MDA1:NCA9'!AN3)),_xlpm.states,_xlfn.VSTACK('MS:NCA9'!$B$2),
SUM(_xlfn._xlws.FILTER(_xlpm.data,(_xlpm.states="new jersey")+(_xlpm.states="M&amp;A"))))</f>
        <v>1325.7666666666669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</row>
    <row r="22" spans="2:40" collapsed="1" x14ac:dyDescent="0.25">
      <c r="B22" s="2" t="s">
        <v>346</v>
      </c>
      <c r="D22" s="55"/>
      <c r="E22" s="60" cm="1">
        <f t="array" ref="E22:AN22">_xlfn.BYCOL($E$26:$AN$30,_xlfn.LAMBDA(_xlpm.a,SUM(_xlpm.a)))/$E$23:$AN$23*0.94</f>
        <v>167.97826809444499</v>
      </c>
      <c r="F22" s="60">
        <v>168.39586033175758</v>
      </c>
      <c r="G22" s="60">
        <v>168.52631447833534</v>
      </c>
      <c r="H22" s="60">
        <v>168.55537002308739</v>
      </c>
      <c r="I22" s="60">
        <v>168.60971621311978</v>
      </c>
      <c r="J22" s="60">
        <v>168.6521881950961</v>
      </c>
      <c r="K22" s="60">
        <v>168.52249741606181</v>
      </c>
      <c r="L22" s="60">
        <v>168.40721916186789</v>
      </c>
      <c r="M22" s="60">
        <v>168.28762663914947</v>
      </c>
      <c r="N22" s="60">
        <v>168.23218886093159</v>
      </c>
      <c r="O22" s="60">
        <v>168.17411958261562</v>
      </c>
      <c r="P22" s="60">
        <v>168.12488300867318</v>
      </c>
      <c r="Q22" s="60">
        <v>142.26124044890204</v>
      </c>
      <c r="R22" s="60">
        <v>139.51350604468422</v>
      </c>
      <c r="S22" s="60">
        <v>137.27669169672481</v>
      </c>
      <c r="T22" s="60">
        <v>137.04760567672093</v>
      </c>
      <c r="U22" s="60">
        <v>136.36960912787779</v>
      </c>
      <c r="V22" s="60">
        <v>135.74092300315414</v>
      </c>
      <c r="W22" s="60">
        <v>136.99693006817012</v>
      </c>
      <c r="X22" s="60">
        <v>138.06954026471357</v>
      </c>
      <c r="Y22" s="60">
        <v>138.90925120804826</v>
      </c>
      <c r="Z22" s="60">
        <v>139.62658772557236</v>
      </c>
      <c r="AA22" s="60">
        <v>140.3413238432031</v>
      </c>
      <c r="AB22" s="60">
        <v>140.75856844017414</v>
      </c>
      <c r="AC22" s="60">
        <v>139.42143034637996</v>
      </c>
      <c r="AD22" s="60">
        <v>138.55003015567453</v>
      </c>
      <c r="AE22" s="60">
        <v>137.50215160383459</v>
      </c>
      <c r="AF22" s="60">
        <v>136.59781350734366</v>
      </c>
      <c r="AG22" s="60">
        <v>135.69316376386737</v>
      </c>
      <c r="AH22" s="60">
        <v>135.15663853686735</v>
      </c>
      <c r="AI22" s="60">
        <v>135.99006098664407</v>
      </c>
      <c r="AJ22" s="60">
        <v>136.6196315145595</v>
      </c>
      <c r="AK22" s="60">
        <v>137.14757053900863</v>
      </c>
      <c r="AL22" s="60">
        <v>137.38236354279411</v>
      </c>
      <c r="AM22" s="60">
        <v>137.96022160604488</v>
      </c>
      <c r="AN22" s="60">
        <v>138.55374292406063</v>
      </c>
    </row>
    <row r="23" spans="2:40" x14ac:dyDescent="0.25">
      <c r="B23" s="2" t="s">
        <v>55</v>
      </c>
      <c r="C23" s="3"/>
      <c r="D23" s="3"/>
      <c r="E23" s="53" cm="1">
        <f t="array" ref="E23">_xlfn.LET(_xlpm.data,_xlfn.VSTACK('MS:NCA9'!E23),_xlpm.states,_xlfn.VSTACK('MS:NCA9'!$B$2),
SUM(_xlfn._xlws.FILTER(_xlpm.data,(_xlpm.states="new jersey")+(_xlpm.states="M&amp;A"))))</f>
        <v>9110.3466666666664</v>
      </c>
      <c r="F23" s="53" cm="1">
        <f t="array" ref="F23">_xlfn.LET(_xlpm.data,_xlfn.VSTACK('MS:NCA9'!F23),_xlpm.states,_xlfn.VSTACK('MS:NCA9'!$B$2),
SUM(_xlfn._xlws.FILTER(_xlpm.data,(_xlpm.states="new jersey")+(_xlpm.states="M&amp;A"))))</f>
        <v>13877.599999999999</v>
      </c>
      <c r="G23" s="53" cm="1">
        <f t="array" ref="G23">_xlfn.LET(_xlpm.data,_xlfn.VSTACK('MS:NCA9'!G23),_xlpm.states,_xlfn.VSTACK('MS:NCA9'!$B$2),
SUM(_xlfn._xlws.FILTER(_xlpm.data,(_xlpm.states="new jersey")+(_xlpm.states="M&amp;A"))))</f>
        <v>19221.546666666669</v>
      </c>
      <c r="H23" s="53" cm="1">
        <f t="array" ref="H23">_xlfn.LET(_xlpm.data,_xlfn.VSTACK('MS:NCA9'!H23),_xlpm.states,_xlfn.VSTACK('MS:NCA9'!$B$2),
SUM(_xlfn._xlws.FILTER(_xlpm.data,(_xlpm.states="new jersey")+(_xlpm.states="M&amp;A"))))</f>
        <v>25035.266666666663</v>
      </c>
      <c r="I23" s="53" cm="1">
        <f t="array" ref="I23">_xlfn.LET(_xlpm.data,_xlfn.VSTACK('MS:NCA9'!I23),_xlpm.states,_xlfn.VSTACK('MS:NCA9'!$B$2),
SUM(_xlfn._xlws.FILTER(_xlpm.data,(_xlpm.states="new jersey")+(_xlpm.states="M&amp;A"))))</f>
        <v>30375.399999999994</v>
      </c>
      <c r="J23" s="53" cm="1">
        <f t="array" ref="J23">_xlfn.LET(_xlpm.data,_xlfn.VSTACK('MS:NCA9'!J23),_xlpm.states,_xlfn.VSTACK('MS:NCA9'!$B$2),
SUM(_xlfn._xlws.FILTER(_xlpm.data,(_xlpm.states="new jersey")+(_xlpm.states="M&amp;A"))))</f>
        <v>35818.786666666667</v>
      </c>
      <c r="K23" s="53" cm="1">
        <f t="array" ref="K23">_xlfn.LET(_xlpm.data,_xlfn.VSTACK('MS:NCA9'!K23),_xlpm.states,_xlfn.VSTACK('MS:NCA9'!$B$2),
SUM(_xlfn._xlws.FILTER(_xlpm.data,(_xlpm.states="new jersey")+(_xlpm.states="M&amp;A"))))</f>
        <v>38068.506666666661</v>
      </c>
      <c r="L23" s="53" cm="1">
        <f t="array" ref="L23">_xlfn.LET(_xlpm.data,_xlfn.VSTACK('MS:NCA9'!L23),_xlpm.states,_xlfn.VSTACK('MS:NCA9'!$B$2),
SUM(_xlfn._xlws.FILTER(_xlpm.data,(_xlpm.states="new jersey")+(_xlpm.states="M&amp;A"))))</f>
        <v>40316.32</v>
      </c>
      <c r="M23" s="53" cm="1">
        <f t="array" ref="M23">_xlfn.LET(_xlpm.data,_xlfn.VSTACK('MS:NCA9'!M23),_xlpm.states,_xlfn.VSTACK('MS:NCA9'!$B$2),
SUM(_xlfn._xlws.FILTER(_xlpm.data,(_xlpm.states="new jersey")+(_xlpm.states="M&amp;A"))))</f>
        <v>42930.799999999996</v>
      </c>
      <c r="N23" s="53" cm="1">
        <f t="array" ref="N23">_xlfn.LET(_xlpm.data,_xlfn.VSTACK('MS:NCA9'!N23),_xlpm.states,_xlfn.VSTACK('MS:NCA9'!$B$2),
SUM(_xlfn._xlws.FILTER(_xlpm.data,(_xlpm.states="new jersey")+(_xlpm.states="M&amp;A"))))</f>
        <v>46732.693333333329</v>
      </c>
      <c r="O23" s="53" cm="1">
        <f t="array" ref="O23">_xlfn.LET(_xlpm.data,_xlfn.VSTACK('MS:NCA9'!O23),_xlpm.states,_xlfn.VSTACK('MS:NCA9'!$B$2),
SUM(_xlfn._xlws.FILTER(_xlpm.data,(_xlpm.states="new jersey")+(_xlpm.states="M&amp;A"))))</f>
        <v>50954.786666666652</v>
      </c>
      <c r="P23" s="53" cm="1">
        <f t="array" ref="P23">_xlfn.LET(_xlpm.data,_xlfn.VSTACK('MS:NCA9'!P23),_xlpm.states,_xlfn.VSTACK('MS:NCA9'!$B$2),
SUM(_xlfn._xlws.FILTER(_xlpm.data,(_xlpm.states="new jersey")+(_xlpm.states="M&amp;A"))))</f>
        <v>55174.973333333335</v>
      </c>
      <c r="Q23" s="53" cm="1">
        <f t="array" ref="Q23">_xlfn.LET(_xlpm.data,_xlfn.VSTACK('MS:NCA9'!Q23),_xlpm.states,_xlfn.VSTACK('MS:NCA9'!$B$2),
SUM(_xlfn._xlws.FILTER(_xlpm.data,(_xlpm.states="new jersey")+(_xlpm.states="M&amp;A"))))</f>
        <v>60530.946666666663</v>
      </c>
      <c r="R23" s="53" cm="1">
        <f t="array" ref="R23">_xlfn.LET(_xlpm.data,_xlfn.VSTACK('MS:NCA9'!R23),_xlpm.states,_xlfn.VSTACK('MS:NCA9'!$B$2),
SUM(_xlfn._xlws.FILTER(_xlpm.data,(_xlpm.states="new jersey")+(_xlpm.states="M&amp;A"))))</f>
        <v>65310.373333333329</v>
      </c>
      <c r="S23" s="53" cm="1">
        <f t="array" ref="S23">_xlfn.LET(_xlpm.data,_xlfn.VSTACK('MS:NCA9'!S23),_xlpm.states,_xlfn.VSTACK('MS:NCA9'!$B$2),
SUM(_xlfn._xlws.FILTER(_xlpm.data,(_xlpm.states="new jersey")+(_xlpm.states="M&amp;A"))))</f>
        <v>70506.186666666646</v>
      </c>
      <c r="T23" s="53" cm="1">
        <f t="array" ref="T23">_xlfn.LET(_xlpm.data,_xlfn.VSTACK('MS:NCA9'!T23),_xlpm.states,_xlfn.VSTACK('MS:NCA9'!$B$2),
SUM(_xlfn._xlws.FILTER(_xlpm.data,(_xlpm.states="new jersey")+(_xlpm.states="M&amp;A"))))</f>
        <v>74824.34666666665</v>
      </c>
      <c r="U23" s="53" cm="1">
        <f t="array" ref="U23">_xlfn.LET(_xlpm.data,_xlfn.VSTACK('MS:NCA9'!U23),_xlpm.states,_xlfn.VSTACK('MS:NCA9'!$B$2),
SUM(_xlfn._xlws.FILTER(_xlpm.data,(_xlpm.states="new jersey")+(_xlpm.states="M&amp;A"))))</f>
        <v>78460.799999999988</v>
      </c>
      <c r="V23" s="53" cm="1">
        <f t="array" ref="V23">_xlfn.LET(_xlpm.data,_xlfn.VSTACK('MS:NCA9'!V23),_xlpm.states,_xlfn.VSTACK('MS:NCA9'!$B$2),
SUM(_xlfn._xlws.FILTER(_xlpm.data,(_xlpm.states="new jersey")+(_xlpm.states="M&amp;A"))))</f>
        <v>81786.026666666643</v>
      </c>
      <c r="W23" s="53" cm="1">
        <f t="array" ref="W23">_xlfn.LET(_xlpm.data,_xlfn.VSTACK('MS:NCA9'!W23),_xlpm.states,_xlfn.VSTACK('MS:NCA9'!$B$2),
SUM(_xlfn._xlws.FILTER(_xlpm.data,(_xlpm.states="new jersey")+(_xlpm.states="M&amp;A"))))</f>
        <v>84548.639999999985</v>
      </c>
      <c r="X23" s="53" cm="1">
        <f t="array" ref="X23">_xlfn.LET(_xlpm.data,_xlfn.VSTACK('MS:NCA9'!X23),_xlpm.states,_xlfn.VSTACK('MS:NCA9'!$B$2),
SUM(_xlfn._xlws.FILTER(_xlpm.data,(_xlpm.states="new jersey")+(_xlpm.states="M&amp;A"))))</f>
        <v>87626.293333333306</v>
      </c>
      <c r="Y23" s="53" cm="1">
        <f t="array" ref="Y23">_xlfn.LET(_xlpm.data,_xlfn.VSTACK('MS:NCA9'!Y23),_xlpm.states,_xlfn.VSTACK('MS:NCA9'!$B$2),
SUM(_xlfn._xlws.FILTER(_xlpm.data,(_xlpm.states="new jersey")+(_xlpm.states="M&amp;A"))))</f>
        <v>90182.39999999998</v>
      </c>
      <c r="Z23" s="53" cm="1">
        <f t="array" ref="Z23">_xlfn.LET(_xlpm.data,_xlfn.VSTACK('MS:NCA9'!Z23),_xlpm.states,_xlfn.VSTACK('MS:NCA9'!$B$2),
SUM(_xlfn._xlws.FILTER(_xlpm.data,(_xlpm.states="new jersey")+(_xlpm.states="M&amp;A"))))</f>
        <v>93048.266666666648</v>
      </c>
      <c r="AA23" s="53" cm="1">
        <f t="array" ref="AA23">_xlfn.LET(_xlpm.data,_xlfn.VSTACK('MS:NCA9'!AA23),_xlpm.states,_xlfn.VSTACK('MS:NCA9'!$B$2),
SUM(_xlfn._xlws.FILTER(_xlpm.data,(_xlpm.states="new jersey")+(_xlpm.states="M&amp;A"))))</f>
        <v>95914.133333333302</v>
      </c>
      <c r="AB23" s="53" cm="1">
        <f t="array" ref="AB23">_xlfn.LET(_xlpm.data,_xlfn.VSTACK('MS:NCA9'!AB23),_xlpm.states,_xlfn.VSTACK('MS:NCA9'!$B$2),
SUM(_xlfn._xlws.FILTER(_xlpm.data,(_xlpm.states="new jersey")+(_xlpm.states="M&amp;A"))))</f>
        <v>98940.15999999996</v>
      </c>
      <c r="AC23" s="53" cm="1">
        <f t="array" ref="AC23">_xlfn.LET(_xlpm.data,_xlfn.VSTACK('MS:NCA9'!AC23),_xlpm.states,_xlfn.VSTACK('MS:NCA9'!$B$2),
SUM(_xlfn._xlws.FILTER(_xlpm.data,(_xlpm.states="new jersey")+(_xlpm.states="M&amp;A"))))</f>
        <v>102683.67999999995</v>
      </c>
      <c r="AD23" s="53" cm="1">
        <f t="array" ref="AD23">_xlfn.LET(_xlpm.data,_xlfn.VSTACK('MS:NCA9'!AD23),_xlpm.states,_xlfn.VSTACK('MS:NCA9'!$B$2),
SUM(_xlfn._xlws.FILTER(_xlpm.data,(_xlpm.states="new jersey")+(_xlpm.states="M&amp;A"))))</f>
        <v>106272.31999999995</v>
      </c>
      <c r="AE23" s="53" cm="1">
        <f t="array" ref="AE23">_xlfn.LET(_xlpm.data,_xlfn.VSTACK('MS:NCA9'!AE23),_xlpm.states,_xlfn.VSTACK('MS:NCA9'!$B$2),
SUM(_xlfn._xlws.FILTER(_xlpm.data,(_xlpm.states="new jersey")+(_xlpm.states="M&amp;A"))))</f>
        <v>109964.21333333327</v>
      </c>
      <c r="AF23" s="53" cm="1">
        <f t="array" ref="AF23">_xlfn.LET(_xlpm.data,_xlfn.VSTACK('MS:NCA9'!AF23),_xlpm.states,_xlfn.VSTACK('MS:NCA9'!$B$2),
SUM(_xlfn._xlws.FILTER(_xlpm.data,(_xlpm.states="new jersey")+(_xlpm.states="M&amp;A"))))</f>
        <v>113501.22666666661</v>
      </c>
      <c r="AG23" s="53" cm="1">
        <f t="array" ref="AG23">_xlfn.LET(_xlpm.data,_xlfn.VSTACK('MS:NCA9'!AG23),_xlpm.states,_xlfn.VSTACK('MS:NCA9'!$B$2),
SUM(_xlfn._xlws.FILTER(_xlpm.data,(_xlpm.states="new jersey")+(_xlpm.states="M&amp;A"))))</f>
        <v>116723.19999999994</v>
      </c>
      <c r="AH23" s="53" cm="1">
        <f t="array" ref="AH23">_xlfn.LET(_xlpm.data,_xlfn.VSTACK('MS:NCA9'!AH23),_xlpm.states,_xlfn.VSTACK('MS:NCA9'!$B$2),
SUM(_xlfn._xlws.FILTER(_xlpm.data,(_xlpm.states="new jersey")+(_xlpm.states="M&amp;A"))))</f>
        <v>120100.05333333327</v>
      </c>
      <c r="AI23" s="53" cm="1">
        <f t="array" ref="AI23">_xlfn.LET(_xlpm.data,_xlfn.VSTACK('MS:NCA9'!AI23),_xlpm.states,_xlfn.VSTACK('MS:NCA9'!$B$2),
SUM(_xlfn._xlws.FILTER(_xlpm.data,(_xlpm.states="new jersey")+(_xlpm.states="M&amp;A"))))</f>
        <v>122862.6666666666</v>
      </c>
      <c r="AJ23" s="53" cm="1">
        <f t="array" ref="AJ23">_xlfn.LET(_xlpm.data,_xlfn.VSTACK('MS:NCA9'!AJ23),_xlpm.states,_xlfn.VSTACK('MS:NCA9'!$B$2),
SUM(_xlfn._xlws.FILTER(_xlpm.data,(_xlpm.states="new jersey")+(_xlpm.states="M&amp;A"))))</f>
        <v>125940.31999999992</v>
      </c>
      <c r="AK23" s="53" cm="1">
        <f t="array" ref="AK23">_xlfn.LET(_xlpm.data,_xlfn.VSTACK('MS:NCA9'!AK23),_xlpm.states,_xlfn.VSTACK('MS:NCA9'!$B$2),
SUM(_xlfn._xlws.FILTER(_xlpm.data,(_xlpm.states="new jersey")+(_xlpm.states="M&amp;A"))))</f>
        <v>128966.34666666658</v>
      </c>
      <c r="AL23" s="53" cm="1">
        <f t="array" ref="AL23">_xlfn.LET(_xlpm.data,_xlfn.VSTACK('MS:NCA9'!AL23),_xlpm.states,_xlfn.VSTACK('MS:NCA9'!$B$2),
SUM(_xlfn._xlws.FILTER(_xlpm.data,(_xlpm.states="new jersey")+(_xlpm.states="M&amp;A"))))</f>
        <v>132095.62666666659</v>
      </c>
      <c r="AM23" s="53" cm="1">
        <f t="array" ref="AM23">_xlfn.LET(_xlpm.data,_xlfn.VSTACK('MS:NCA9'!AM23),_xlpm.states,_xlfn.VSTACK('MS:NCA9'!$B$2),
SUM(_xlfn._xlws.FILTER(_xlpm.data,(_xlpm.states="new jersey")+(_xlpm.states="M&amp;A"))))</f>
        <v>135333.43999999992</v>
      </c>
      <c r="AN23" s="53" cm="1">
        <f t="array" ref="AN23">_xlfn.LET(_xlpm.data,_xlfn.VSTACK('MS:NCA9'!AN23),_xlpm.states,_xlfn.VSTACK('MS:NCA9'!$B$2),
SUM(_xlfn._xlws.FILTER(_xlpm.data,(_xlpm.states="new jersey")+(_xlpm.states="M&amp;A"))))</f>
        <v>138364.74666666659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449</v>
      </c>
      <c r="E26" s="12" cm="1">
        <f t="array" ref="E26">_xlfn.LET(_xlpm.data,_xlfn.VSTACK('MS:NCA9'!E26),_xlpm.states,_xlfn.VSTACK('MS:NCA9'!$B$2),
SUM(_xlfn._xlws.FILTER(_xlpm.data,(_xlpm.states="New Jersey")+(_xlpm.states="M&amp;A"))))</f>
        <v>1355790.67</v>
      </c>
      <c r="F26" s="12" cm="1">
        <f t="array" ref="F26">_xlfn.LET(_xlpm.data,_xlfn.VSTACK('MS:NCA9'!F26),_xlpm.states,_xlfn.VSTACK('MS:NCA9'!$B$2),
SUM(_xlfn._xlws.FILTER(_xlpm.data,(_xlpm.states="New Jersey")+(_xlpm.states="M&amp;A"))))</f>
        <v>2077226.8833333326</v>
      </c>
      <c r="G26" s="12" cm="1">
        <f t="array" ref="G26">_xlfn.LET(_xlpm.data,_xlfn.VSTACK('MS:NCA9'!G26),_xlpm.states,_xlfn.VSTACK('MS:NCA9'!$B$2),
SUM(_xlfn._xlws.FILTER(_xlpm.data,(_xlpm.states="New Jersey")+(_xlpm.states="M&amp;A"))))</f>
        <v>2882302.8866666663</v>
      </c>
      <c r="H26" s="12" cm="1">
        <f t="array" ref="H26">_xlfn.LET(_xlpm.data,_xlfn.VSTACK('MS:NCA9'!H26),_xlpm.states,_xlfn.VSTACK('MS:NCA9'!$B$2),
SUM(_xlfn._xlws.FILTER(_xlpm.data,(_xlpm.states="New Jersey")+(_xlpm.states="M&amp;A"))))</f>
        <v>3755529.8299999991</v>
      </c>
      <c r="I26" s="12" cm="1">
        <f t="array" ref="I26">_xlfn.LET(_xlpm.data,_xlfn.VSTACK('MS:NCA9'!I26),_xlpm.states,_xlfn.VSTACK('MS:NCA9'!$B$2),
SUM(_xlfn._xlws.FILTER(_xlpm.data,(_xlpm.states="New Jersey")+(_xlpm.states="M&amp;A"))))</f>
        <v>4559917.4399999985</v>
      </c>
      <c r="J26" s="12" cm="1">
        <f t="array" ref="J26">_xlfn.LET(_xlpm.data,_xlfn.VSTACK('MS:NCA9'!J26),_xlpm.states,_xlfn.VSTACK('MS:NCA9'!$B$2),
SUM(_xlfn._xlws.FILTER(_xlpm.data,(_xlpm.states="New Jersey")+(_xlpm.states="M&amp;A"))))</f>
        <v>5380138.0966666657</v>
      </c>
      <c r="K26" s="12" cm="1">
        <f t="array" ref="K26">_xlfn.LET(_xlpm.data,_xlfn.VSTACK('MS:NCA9'!K26),_xlpm.states,_xlfn.VSTACK('MS:NCA9'!$B$2),
SUM(_xlfn._xlws.FILTER(_xlpm.data,(_xlpm.states="New Jersey")+(_xlpm.states="M&amp;A"))))</f>
        <v>5707813.3233333323</v>
      </c>
      <c r="L26" s="12" cm="1">
        <f t="array" ref="L26">_xlfn.LET(_xlpm.data,_xlfn.VSTACK('MS:NCA9'!L26),_xlpm.states,_xlfn.VSTACK('MS:NCA9'!$B$2),
SUM(_xlfn._xlws.FILTER(_xlpm.data,(_xlpm.states="New Jersey")+(_xlpm.states="M&amp;A"))))</f>
        <v>6035144.3533333307</v>
      </c>
      <c r="M26" s="12" cm="1">
        <f t="array" ref="M26">_xlfn.LET(_xlpm.data,_xlfn.VSTACK('MS:NCA9'!M26),_xlpm.states,_xlfn.VSTACK('MS:NCA9'!$B$2),
SUM(_xlfn._xlws.FILTER(_xlpm.data,(_xlpm.states="New Jersey")+(_xlpm.states="M&amp;A"))))</f>
        <v>6415825.8666666644</v>
      </c>
      <c r="N26" s="12" cm="1">
        <f t="array" ref="N26">_xlfn.LET(_xlpm.data,_xlfn.VSTACK('MS:NCA9'!N26),_xlpm.states,_xlfn.VSTACK('MS:NCA9'!$B$2),
SUM(_xlfn._xlws.FILTER(_xlpm.data,(_xlpm.states="New Jersey")+(_xlpm.states="M&amp;A"))))</f>
        <v>6978587.4166666651</v>
      </c>
      <c r="O26" s="12" cm="1">
        <f t="array" ref="O26">_xlfn.LET(_xlpm.data,_xlfn.VSTACK('MS:NCA9'!O26),_xlpm.states,_xlfn.VSTACK('MS:NCA9'!$B$2),
SUM(_xlfn._xlws.FILTER(_xlpm.data,(_xlpm.states="New Jersey")+(_xlpm.states="M&amp;A"))))</f>
        <v>7602960.1699999981</v>
      </c>
      <c r="P26" s="12" cm="1">
        <f t="array" ref="P26">_xlfn.LET(_xlpm.data,_xlfn.VSTACK('MS:NCA9'!P26),_xlpm.states,_xlfn.VSTACK('MS:NCA9'!$B$2),
SUM(_xlfn._xlws.FILTER(_xlpm.data,(_xlpm.states="New Jersey")+(_xlpm.states="M&amp;A"))))</f>
        <v>8226988.7266666647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450</v>
      </c>
      <c r="E27" s="12" cm="1">
        <f t="array" ref="E27">_xlfn.LET(_xlpm.data,_xlfn.VSTACK('MS:NCA9'!E27),_xlpm.states,_xlfn.VSTACK('MS:NCA9'!$B$2),
SUM(_xlfn._xlws.FILTER(_xlpm.data,(_xlpm.states="New Jersey")+(_xlpm.states="M&amp;A"))))</f>
        <v>38183.426666666659</v>
      </c>
      <c r="F27" s="12" cm="1">
        <f t="array" ref="F27">_xlfn.LET(_xlpm.data,_xlfn.VSTACK('MS:NCA9'!F27),_xlpm.states,_xlfn.VSTACK('MS:NCA9'!$B$2),
SUM(_xlfn._xlws.FILTER(_xlpm.data,(_xlpm.states="New Jersey")+(_xlpm.states="M&amp;A"))))</f>
        <v>47063.293333333328</v>
      </c>
      <c r="G27" s="12" cm="1">
        <f t="array" ref="G27">_xlfn.LET(_xlpm.data,_xlfn.VSTACK('MS:NCA9'!G27),_xlpm.states,_xlfn.VSTACK('MS:NCA9'!$B$2),
SUM(_xlfn._xlws.FILTER(_xlpm.data,(_xlpm.states="New Jersey")+(_xlpm.states="M&amp;A"))))</f>
        <v>60383.093333333316</v>
      </c>
      <c r="H27" s="12" cm="1">
        <f t="array" ref="H27">_xlfn.LET(_xlpm.data,_xlfn.VSTACK('MS:NCA9'!H27),_xlpm.states,_xlfn.VSTACK('MS:NCA9'!$B$2),
SUM(_xlfn._xlws.FILTER(_xlpm.data,(_xlpm.states="New Jersey")+(_xlpm.states="M&amp;A"))))</f>
        <v>77254.84</v>
      </c>
      <c r="I27" s="12" cm="1">
        <f t="array" ref="I27">_xlfn.LET(_xlpm.data,_xlfn.VSTACK('MS:NCA9'!I27),_xlpm.states,_xlfn.VSTACK('MS:NCA9'!$B$2),
SUM(_xlfn._xlws.FILTER(_xlpm.data,(_xlpm.states="New Jersey")+(_xlpm.states="M&amp;A"))))</f>
        <v>90574.64</v>
      </c>
      <c r="J27" s="12" cm="1">
        <f t="array" ref="J27">_xlfn.LET(_xlpm.data,_xlfn.VSTACK('MS:NCA9'!J27),_xlpm.states,_xlfn.VSTACK('MS:NCA9'!$B$2),
SUM(_xlfn._xlws.FILTER(_xlpm.data,(_xlpm.states="New Jersey")+(_xlpm.states="M&amp;A"))))</f>
        <v>103894.43999999999</v>
      </c>
      <c r="K27" s="12" cm="1">
        <f t="array" ref="K27">_xlfn.LET(_xlpm.data,_xlfn.VSTACK('MS:NCA9'!K27),_xlpm.states,_xlfn.VSTACK('MS:NCA9'!$B$2),
SUM(_xlfn._xlws.FILTER(_xlpm.data,(_xlpm.states="New Jersey")+(_xlpm.states="M&amp;A"))))</f>
        <v>119878.19999999998</v>
      </c>
      <c r="L27" s="12" cm="1">
        <f t="array" ref="L27">_xlfn.LET(_xlpm.data,_xlfn.VSTACK('MS:NCA9'!L27),_xlpm.states,_xlfn.VSTACK('MS:NCA9'!$B$2),
SUM(_xlfn._xlws.FILTER(_xlpm.data,(_xlpm.states="New Jersey")+(_xlpm.states="M&amp;A"))))</f>
        <v>135861.96</v>
      </c>
      <c r="M27" s="12" cm="1">
        <f t="array" ref="M27">_xlfn.LET(_xlpm.data,_xlfn.VSTACK('MS:NCA9'!M27),_xlpm.states,_xlfn.VSTACK('MS:NCA9'!$B$2),
SUM(_xlfn._xlws.FILTER(_xlpm.data,(_xlpm.states="New Jersey")+(_xlpm.states="M&amp;A"))))</f>
        <v>154509.67999999996</v>
      </c>
      <c r="N27" s="12" cm="1">
        <f t="array" ref="N27">_xlfn.LET(_xlpm.data,_xlfn.VSTACK('MS:NCA9'!N27),_xlpm.states,_xlfn.VSTACK('MS:NCA9'!$B$2),
SUM(_xlfn._xlws.FILTER(_xlpm.data,(_xlpm.states="New Jersey")+(_xlpm.states="M&amp;A"))))</f>
        <v>173157.4</v>
      </c>
      <c r="O27" s="12" cm="1">
        <f t="array" ref="O27">_xlfn.LET(_xlpm.data,_xlfn.VSTACK('MS:NCA9'!O27),_xlpm.states,_xlfn.VSTACK('MS:NCA9'!$B$2),
SUM(_xlfn._xlws.FILTER(_xlpm.data,(_xlpm.states="New Jersey")+(_xlpm.states="M&amp;A"))))</f>
        <v>194469.07999999996</v>
      </c>
      <c r="P27" s="12" cm="1">
        <f t="array" ref="P27">_xlfn.LET(_xlpm.data,_xlfn.VSTACK('MS:NCA9'!P27),_xlpm.states,_xlfn.VSTACK('MS:NCA9'!$B$2),
SUM(_xlfn._xlws.FILTER(_xlpm.data,(_xlpm.states="New Jersey")+(_xlpm.states="M&amp;A"))))</f>
        <v>215780.75999999998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451</v>
      </c>
      <c r="E28" s="12" cm="1">
        <f t="array" ref="E28">_xlfn.LET(_xlpm.data,_xlfn.VSTACK('MS:NCA9'!E28),_xlpm.states,_xlfn.VSTACK('MS:NCA9'!$B$2),
SUM(_xlfn._xlws.FILTER(_xlpm.data,(_xlpm.states="New Jersey")+(_xlpm.states="M&amp;A"))))</f>
        <v>184659.47499999995</v>
      </c>
      <c r="F28" s="12" cm="1">
        <f t="array" ref="F28">_xlfn.LET(_xlpm.data,_xlfn.VSTACK('MS:NCA9'!F28),_xlpm.states,_xlfn.VSTACK('MS:NCA9'!$B$2),
SUM(_xlfn._xlws.FILTER(_xlpm.data,(_xlpm.states="New Jersey")+(_xlpm.states="M&amp;A"))))</f>
        <v>281737.59899999993</v>
      </c>
      <c r="G28" s="12" cm="1">
        <f t="array" ref="G28">_xlfn.LET(_xlpm.data,_xlfn.VSTACK('MS:NCA9'!G28),_xlpm.states,_xlfn.VSTACK('MS:NCA9'!$B$2),
SUM(_xlfn._xlws.FILTER(_xlpm.data,(_xlpm.states="New Jersey")+(_xlpm.states="M&amp;A"))))</f>
        <v>390422.88999999978</v>
      </c>
      <c r="H28" s="12" cm="1">
        <f t="array" ref="H28">_xlfn.LET(_xlpm.data,_xlfn.VSTACK('MS:NCA9'!H28),_xlpm.states,_xlfn.VSTACK('MS:NCA9'!$B$2),
SUM(_xlfn._xlws.FILTER(_xlpm.data,(_xlpm.states="New Jersey")+(_xlpm.states="M&amp;A"))))</f>
        <v>508604.95399999979</v>
      </c>
      <c r="I28" s="12" cm="1">
        <f t="array" ref="I28">_xlfn.LET(_xlpm.data,_xlfn.VSTACK('MS:NCA9'!I28),_xlpm.states,_xlfn.VSTACK('MS:NCA9'!$B$2),
SUM(_xlfn._xlws.FILTER(_xlpm.data,(_xlpm.states="New Jersey")+(_xlpm.states="M&amp;A"))))</f>
        <v>617290.24499999976</v>
      </c>
      <c r="J28" s="12" cm="1">
        <f t="array" ref="J28">_xlfn.LET(_xlpm.data,_xlfn.VSTACK('MS:NCA9'!J28),_xlpm.states,_xlfn.VSTACK('MS:NCA9'!$B$2),
SUM(_xlfn._xlws.FILTER(_xlpm.data,(_xlpm.states="New Jersey")+(_xlpm.states="M&amp;A"))))</f>
        <v>728085.92999999982</v>
      </c>
      <c r="K28" s="12" cm="1">
        <f t="array" ref="K28">_xlfn.LET(_xlpm.data,_xlfn.VSTACK('MS:NCA9'!K28),_xlpm.states,_xlfn.VSTACK('MS:NCA9'!$B$2),
SUM(_xlfn._xlws.FILTER(_xlpm.data,(_xlpm.states="New Jersey")+(_xlpm.states="M&amp;A"))))</f>
        <v>773459.40099999984</v>
      </c>
      <c r="L28" s="12" cm="1">
        <f t="array" ref="L28">_xlfn.LET(_xlpm.data,_xlfn.VSTACK('MS:NCA9'!L28),_xlpm.states,_xlfn.VSTACK('MS:NCA9'!$B$2),
SUM(_xlfn._xlws.FILTER(_xlpm.data,(_xlpm.states="New Jersey")+(_xlpm.states="M&amp;A"))))</f>
        <v>818832.87199999974</v>
      </c>
      <c r="M28" s="12" cm="1">
        <f t="array" ref="M28">_xlfn.LET(_xlpm.data,_xlfn.VSTACK('MS:NCA9'!M28),_xlpm.states,_xlfn.VSTACK('MS:NCA9'!$B$2),
SUM(_xlfn._xlws.FILTER(_xlpm.data,(_xlpm.states="New Jersey")+(_xlpm.states="M&amp;A"))))</f>
        <v>871592.7219999996</v>
      </c>
      <c r="N28" s="12" cm="1">
        <f t="array" ref="N28">_xlfn.LET(_xlpm.data,_xlfn.VSTACK('MS:NCA9'!N28),_xlpm.states,_xlfn.VSTACK('MS:NCA9'!$B$2),
SUM(_xlfn._xlws.FILTER(_xlpm.data,(_xlpm.states="New Jersey")+(_xlpm.states="M&amp;A"))))</f>
        <v>948622.10299999965</v>
      </c>
      <c r="O28" s="12" cm="1">
        <f t="array" ref="O28">_xlfn.LET(_xlpm.data,_xlfn.VSTACK('MS:NCA9'!O28),_xlpm.states,_xlfn.VSTACK('MS:NCA9'!$B$2),
SUM(_xlfn._xlws.FILTER(_xlpm.data,(_xlpm.states="New Jersey")+(_xlpm.states="M&amp;A"))))</f>
        <v>1034093.0599999999</v>
      </c>
      <c r="P28" s="12" cm="1">
        <f t="array" ref="P28">_xlfn.LET(_xlpm.data,_xlfn.VSTACK('MS:NCA9'!P28),_xlpm.states,_xlfn.VSTACK('MS:NCA9'!$B$2),
SUM(_xlfn._xlws.FILTER(_xlpm.data,(_xlpm.states="New Jersey")+(_xlpm.states="M&amp;A"))))</f>
        <v>1119564.0169999995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453</v>
      </c>
      <c r="E29" s="12" cm="1">
        <f t="array" ref="E29">_xlfn.LET(_xlpm.data,_xlfn.VSTACK('MS:NCA9'!E29),_xlpm.states,_xlfn.VSTACK('MS:NCA9'!$B$2),
SUM(_xlfn._xlws.FILTER(_xlpm.data,(_xlpm.states="New Jersey")+(_xlpm.states="M&amp;A"))))</f>
        <v>21428.615999999998</v>
      </c>
      <c r="F29" s="12" cm="1">
        <f t="array" ref="F29">_xlfn.LET(_xlpm.data,_xlfn.VSTACK('MS:NCA9'!F29),_xlpm.states,_xlfn.VSTACK('MS:NCA9'!$B$2),
SUM(_xlfn._xlws.FILTER(_xlpm.data,(_xlpm.states="New Jersey")+(_xlpm.states="M&amp;A"))))</f>
        <v>34740.332000000002</v>
      </c>
      <c r="G29" s="12" cm="1">
        <f t="array" ref="G29">_xlfn.LET(_xlpm.data,_xlfn.VSTACK('MS:NCA9'!G29),_xlpm.states,_xlfn.VSTACK('MS:NCA9'!$B$2),
SUM(_xlfn._xlws.FILTER(_xlpm.data,(_xlpm.states="New Jersey")+(_xlpm.states="M&amp;A"))))</f>
        <v>49026.075999999994</v>
      </c>
      <c r="H29" s="12" cm="1">
        <f t="array" ref="H29">_xlfn.LET(_xlpm.data,_xlfn.VSTACK('MS:NCA9'!H29),_xlpm.states,_xlfn.VSTACK('MS:NCA9'!$B$2),
SUM(_xlfn._xlws.FILTER(_xlpm.data,(_xlpm.states="New Jersey")+(_xlpm.states="M&amp;A"))))</f>
        <v>64123.51</v>
      </c>
      <c r="I29" s="12" cm="1">
        <f t="array" ref="I29">_xlfn.LET(_xlpm.data,_xlfn.VSTACK('MS:NCA9'!I29),_xlpm.states,_xlfn.VSTACK('MS:NCA9'!$B$2),
SUM(_xlfn._xlws.FILTER(_xlpm.data,(_xlpm.states="New Jersey")+(_xlpm.states="M&amp;A"))))</f>
        <v>78409.254000000015</v>
      </c>
      <c r="J29" s="12" cm="1">
        <f t="array" ref="J29">_xlfn.LET(_xlpm.data,_xlfn.VSTACK('MS:NCA9'!J29),_xlpm.states,_xlfn.VSTACK('MS:NCA9'!$B$2),
SUM(_xlfn._xlws.FILTER(_xlpm.data,(_xlpm.states="New Jersey")+(_xlpm.states="M&amp;A"))))</f>
        <v>93019.67399999997</v>
      </c>
      <c r="K29" s="12" cm="1">
        <f t="array" ref="K29">_xlfn.LET(_xlpm.data,_xlfn.VSTACK('MS:NCA9'!K29),_xlpm.states,_xlfn.VSTACK('MS:NCA9'!$B$2),
SUM(_xlfn._xlws.FILTER(_xlpm.data,(_xlpm.states="New Jersey")+(_xlpm.states="M&amp;A"))))</f>
        <v>97078.123999999982</v>
      </c>
      <c r="L29" s="12" cm="1">
        <f t="array" ref="L29">_xlfn.LET(_xlpm.data,_xlfn.VSTACK('MS:NCA9'!L29),_xlpm.states,_xlfn.VSTACK('MS:NCA9'!$B$2),
SUM(_xlfn._xlws.FILTER(_xlpm.data,(_xlpm.states="New Jersey")+(_xlpm.states="M&amp;A"))))</f>
        <v>101136.57400000002</v>
      </c>
      <c r="M29" s="12" cm="1">
        <f t="array" ref="M29">_xlfn.LET(_xlpm.data,_xlfn.VSTACK('MS:NCA9'!M29),_xlpm.states,_xlfn.VSTACK('MS:NCA9'!$B$2),
SUM(_xlfn._xlws.FILTER(_xlpm.data,(_xlpm.states="New Jersey")+(_xlpm.states="M&amp;A"))))</f>
        <v>105844.37599999997</v>
      </c>
      <c r="N29" s="12" cm="1">
        <f t="array" ref="N29">_xlfn.LET(_xlpm.data,_xlfn.VSTACK('MS:NCA9'!N29),_xlpm.states,_xlfn.VSTACK('MS:NCA9'!$B$2),
SUM(_xlfn._xlws.FILTER(_xlpm.data,(_xlpm.states="New Jersey")+(_xlpm.states="M&amp;A"))))</f>
        <v>114285.95199999998</v>
      </c>
      <c r="O29" s="12" cm="1">
        <f t="array" ref="O29">_xlfn.LET(_xlpm.data,_xlfn.VSTACK('MS:NCA9'!O29),_xlpm.states,_xlfn.VSTACK('MS:NCA9'!$B$2),
SUM(_xlfn._xlws.FILTER(_xlpm.data,(_xlpm.states="New Jersey")+(_xlpm.states="M&amp;A"))))</f>
        <v>123539.21799999999</v>
      </c>
      <c r="P29" s="12" cm="1">
        <f t="array" ref="P29">_xlfn.LET(_xlpm.data,_xlfn.VSTACK('MS:NCA9'!P29),_xlpm.states,_xlfn.VSTACK('MS:NCA9'!$B$2),
SUM(_xlfn._xlws.FILTER(_xlpm.data,(_xlpm.states="New Jersey")+(_xlpm.states="M&amp;A"))))</f>
        <v>132792.48399999997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452</v>
      </c>
      <c r="E30" s="12" cm="1">
        <f t="array" ref="E30">_xlfn.LET(_xlpm.data,_xlfn.VSTACK('MS:NCA9'!E30),_xlpm.states,_xlfn.VSTACK('MS:NCA9'!$B$2),
SUM(_xlfn._xlws.FILTER(_xlpm.data,(_xlpm.states="New Jersey")+(_xlpm.states="M&amp;A"))))</f>
        <v>27959.359999999997</v>
      </c>
      <c r="F30" s="12" cm="1">
        <f t="array" ref="F30">_xlfn.LET(_xlpm.data,_xlfn.VSTACK('MS:NCA9'!F30),_xlpm.states,_xlfn.VSTACK('MS:NCA9'!$B$2),
SUM(_xlfn._xlws.FILTER(_xlpm.data,(_xlpm.states="New Jersey")+(_xlpm.states="M&amp;A"))))</f>
        <v>45328.05333333333</v>
      </c>
      <c r="G30" s="12" cm="1">
        <f t="array" ref="G30">_xlfn.LET(_xlpm.data,_xlfn.VSTACK('MS:NCA9'!G30),_xlpm.states,_xlfn.VSTACK('MS:NCA9'!$B$2),
SUM(_xlfn._xlws.FILTER(_xlpm.data,(_xlpm.states="New Jersey")+(_xlpm.states="M&amp;A"))))</f>
        <v>63967.626666666663</v>
      </c>
      <c r="H30" s="12" cm="1">
        <f t="array" ref="H30">_xlfn.LET(_xlpm.data,_xlfn.VSTACK('MS:NCA9'!H30),_xlpm.states,_xlfn.VSTACK('MS:NCA9'!$B$2),
SUM(_xlfn._xlws.FILTER(_xlpm.data,(_xlpm.states="New Jersey")+(_xlpm.states="M&amp;A"))))</f>
        <v>83666.266666666677</v>
      </c>
      <c r="I30" s="12" cm="1">
        <f t="array" ref="I30">_xlfn.LET(_xlpm.data,_xlfn.VSTACK('MS:NCA9'!I30),_xlpm.states,_xlfn.VSTACK('MS:NCA9'!$B$2),
SUM(_xlfn._xlws.FILTER(_xlpm.data,(_xlpm.states="New Jersey")+(_xlpm.states="M&amp;A"))))</f>
        <v>102305.84000000003</v>
      </c>
      <c r="J30" s="12" cm="1">
        <f t="array" ref="J30">_xlfn.LET(_xlpm.data,_xlfn.VSTACK('MS:NCA9'!J30),_xlpm.states,_xlfn.VSTACK('MS:NCA9'!$B$2),
SUM(_xlfn._xlws.FILTER(_xlpm.data,(_xlpm.states="New Jersey")+(_xlpm.states="M&amp;A"))))</f>
        <v>121369.04</v>
      </c>
      <c r="K30" s="12" cm="1">
        <f t="array" ref="K30">_xlfn.LET(_xlpm.data,_xlfn.VSTACK('MS:NCA9'!K30),_xlpm.states,_xlfn.VSTACK('MS:NCA9'!$B$2),
SUM(_xlfn._xlws.FILTER(_xlpm.data,(_xlpm.states="New Jersey")+(_xlpm.states="M&amp;A"))))</f>
        <v>126664.37333333334</v>
      </c>
      <c r="L30" s="12" cm="1">
        <f t="array" ref="L30">_xlfn.LET(_xlpm.data,_xlfn.VSTACK('MS:NCA9'!L30),_xlpm.states,_xlfn.VSTACK('MS:NCA9'!$B$2),
SUM(_xlfn._xlws.FILTER(_xlpm.data,(_xlpm.states="New Jersey")+(_xlpm.states="M&amp;A"))))</f>
        <v>131959.70666666664</v>
      </c>
      <c r="M30" s="12" cm="1">
        <f t="array" ref="M30">_xlfn.LET(_xlpm.data,_xlfn.VSTACK('MS:NCA9'!M30),_xlpm.states,_xlfn.VSTACK('MS:NCA9'!$B$2),
SUM(_xlfn._xlws.FILTER(_xlpm.data,(_xlpm.states="New Jersey")+(_xlpm.states="M&amp;A"))))</f>
        <v>138102.29333333331</v>
      </c>
      <c r="N30" s="12" cm="1">
        <f t="array" ref="N30">_xlfn.LET(_xlpm.data,_xlfn.VSTACK('MS:NCA9'!N30),_xlpm.states,_xlfn.VSTACK('MS:NCA9'!$B$2),
SUM(_xlfn._xlws.FILTER(_xlpm.data,(_xlpm.states="New Jersey")+(_xlpm.states="M&amp;A"))))</f>
        <v>149116.58666666661</v>
      </c>
      <c r="O30" s="12" cm="1">
        <f t="array" ref="O30">_xlfn.LET(_xlpm.data,_xlfn.VSTACK('MS:NCA9'!O30),_xlpm.states,_xlfn.VSTACK('MS:NCA9'!$B$2),
SUM(_xlfn._xlws.FILTER(_xlpm.data,(_xlpm.states="New Jersey")+(_xlpm.states="M&amp;A"))))</f>
        <v>161189.94666666663</v>
      </c>
      <c r="P30" s="12" cm="1">
        <f t="array" ref="P30">_xlfn.LET(_xlpm.data,_xlfn.VSTACK('MS:NCA9'!P30),_xlpm.states,_xlfn.VSTACK('MS:NCA9'!$B$2),
SUM(_xlfn._xlws.FILTER(_xlpm.data,(_xlpm.states="New Jersey")+(_xlpm.states="M&amp;A"))))</f>
        <v>173263.3066666667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473</v>
      </c>
      <c r="E31" s="12" cm="1">
        <f t="array" ref="E31">_xlfn.LET(_xlpm.data,_xlfn.VSTACK('MS:NCA9'!E31),_xlpm.states,_xlfn.VSTACK('MS:NCA9'!$B$2),
SUM(_xlfn._xlws.FILTER(_xlpm.data,(_xlpm.states="New Jersey")+(_xlpm.states="M&amp;A"))))</f>
        <v>0</v>
      </c>
      <c r="F31" s="12" cm="1">
        <f t="array" ref="F31">_xlfn.LET(_xlpm.data,_xlfn.VSTACK('MS:NCA9'!F31),_xlpm.states,_xlfn.VSTACK('MS:NCA9'!$B$2),
SUM(_xlfn._xlws.FILTER(_xlpm.data,(_xlpm.states="New Jersey")+(_xlpm.states="M&amp;A"))))</f>
        <v>0</v>
      </c>
      <c r="G31" s="12" cm="1">
        <f t="array" ref="G31">_xlfn.LET(_xlpm.data,_xlfn.VSTACK('MS:NCA9'!G31),_xlpm.states,_xlfn.VSTACK('MS:NCA9'!$B$2),
SUM(_xlfn._xlws.FILTER(_xlpm.data,(_xlpm.states="New Jersey")+(_xlpm.states="M&amp;A"))))</f>
        <v>0</v>
      </c>
      <c r="H31" s="12" cm="1">
        <f t="array" ref="H31">_xlfn.LET(_xlpm.data,_xlfn.VSTACK('MS:NCA9'!H31),_xlpm.states,_xlfn.VSTACK('MS:NCA9'!$B$2),
SUM(_xlfn._xlws.FILTER(_xlpm.data,(_xlpm.states="New Jersey")+(_xlpm.states="M&amp;A"))))</f>
        <v>0</v>
      </c>
      <c r="I31" s="12" cm="1">
        <f t="array" ref="I31">_xlfn.LET(_xlpm.data,_xlfn.VSTACK('MS:NCA9'!I31),_xlpm.states,_xlfn.VSTACK('MS:NCA9'!$B$2),
SUM(_xlfn._xlws.FILTER(_xlpm.data,(_xlpm.states="New Jersey")+(_xlpm.states="M&amp;A"))))</f>
        <v>0</v>
      </c>
      <c r="J31" s="12" cm="1">
        <f t="array" ref="J31">_xlfn.LET(_xlpm.data,_xlfn.VSTACK('MS:NCA9'!J31),_xlpm.states,_xlfn.VSTACK('MS:NCA9'!$B$2),
SUM(_xlfn._xlws.FILTER(_xlpm.data,(_xlpm.states="New Jersey")+(_xlpm.states="M&amp;A"))))</f>
        <v>0</v>
      </c>
      <c r="K31" s="12" cm="1">
        <f t="array" ref="K31">_xlfn.LET(_xlpm.data,_xlfn.VSTACK('MS:NCA9'!K31),_xlpm.states,_xlfn.VSTACK('MS:NCA9'!$B$2),
SUM(_xlfn._xlws.FILTER(_xlpm.data,(_xlpm.states="New Jersey")+(_xlpm.states="M&amp;A"))))</f>
        <v>0</v>
      </c>
      <c r="L31" s="12" cm="1">
        <f t="array" ref="L31">_xlfn.LET(_xlpm.data,_xlfn.VSTACK('MS:NCA9'!L31),_xlpm.states,_xlfn.VSTACK('MS:NCA9'!$B$2),
SUM(_xlfn._xlws.FILTER(_xlpm.data,(_xlpm.states="New Jersey")+(_xlpm.states="M&amp;A"))))</f>
        <v>0</v>
      </c>
      <c r="M31" s="12" cm="1">
        <f t="array" ref="M31">_xlfn.LET(_xlpm.data,_xlfn.VSTACK('MS:NCA9'!M31),_xlpm.states,_xlfn.VSTACK('MS:NCA9'!$B$2),
SUM(_xlfn._xlws.FILTER(_xlpm.data,(_xlpm.states="New Jersey")+(_xlpm.states="M&amp;A"))))</f>
        <v>0</v>
      </c>
      <c r="N31" s="12" cm="1">
        <f t="array" ref="N31">_xlfn.LET(_xlpm.data,_xlfn.VSTACK('MS:NCA9'!N31),_xlpm.states,_xlfn.VSTACK('MS:NCA9'!$B$2),
SUM(_xlfn._xlws.FILTER(_xlpm.data,(_xlpm.states="New Jersey")+(_xlpm.states="M&amp;A"))))</f>
        <v>0</v>
      </c>
      <c r="O31" s="12" cm="1">
        <f t="array" ref="O31">_xlfn.LET(_xlpm.data,_xlfn.VSTACK('MS:NCA9'!O31),_xlpm.states,_xlfn.VSTACK('MS:NCA9'!$B$2),
SUM(_xlfn._xlws.FILTER(_xlpm.data,(_xlpm.states="New Jersey")+(_xlpm.states="M&amp;A"))))</f>
        <v>0</v>
      </c>
      <c r="P31" s="12" cm="1">
        <f t="array" ref="P31">_xlfn.LET(_xlpm.data,_xlfn.VSTACK('MS:NCA9'!P31),_xlpm.states,_xlfn.VSTACK('MS:NCA9'!$B$2),
SUM(_xlfn._xlws.FILTER(_xlpm.data,(_xlpm.states="New Jersey")+(_xlpm.states="M&amp;A"))))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474</v>
      </c>
      <c r="E32" s="12" cm="1">
        <f t="array" ref="E32">_xlfn.LET(_xlpm.data,_xlfn.VSTACK('MS:NCA9'!E32),_xlpm.states,_xlfn.VSTACK('MS:NCA9'!$B$2),
SUM(_xlfn._xlws.FILTER(_xlpm.data,(_xlpm.states="New Jersey")+(_xlpm.states="M&amp;A"))))</f>
        <v>0</v>
      </c>
      <c r="F32" s="12" cm="1">
        <f t="array" ref="F32">_xlfn.LET(_xlpm.data,_xlfn.VSTACK('MS:NCA9'!F32),_xlpm.states,_xlfn.VSTACK('MS:NCA9'!$B$2),
SUM(_xlfn._xlws.FILTER(_xlpm.data,(_xlpm.states="New Jersey")+(_xlpm.states="M&amp;A"))))</f>
        <v>0</v>
      </c>
      <c r="G32" s="12" cm="1">
        <f t="array" ref="G32">_xlfn.LET(_xlpm.data,_xlfn.VSTACK('MS:NCA9'!G32),_xlpm.states,_xlfn.VSTACK('MS:NCA9'!$B$2),
SUM(_xlfn._xlws.FILTER(_xlpm.data,(_xlpm.states="New Jersey")+(_xlpm.states="M&amp;A"))))</f>
        <v>0</v>
      </c>
      <c r="H32" s="12" cm="1">
        <f t="array" ref="H32">_xlfn.LET(_xlpm.data,_xlfn.VSTACK('MS:NCA9'!H32),_xlpm.states,_xlfn.VSTACK('MS:NCA9'!$B$2),
SUM(_xlfn._xlws.FILTER(_xlpm.data,(_xlpm.states="New Jersey")+(_xlpm.states="M&amp;A"))))</f>
        <v>0</v>
      </c>
      <c r="I32" s="12" cm="1">
        <f t="array" ref="I32">_xlfn.LET(_xlpm.data,_xlfn.VSTACK('MS:NCA9'!I32),_xlpm.states,_xlfn.VSTACK('MS:NCA9'!$B$2),
SUM(_xlfn._xlws.FILTER(_xlpm.data,(_xlpm.states="New Jersey")+(_xlpm.states="M&amp;A"))))</f>
        <v>0</v>
      </c>
      <c r="J32" s="12" cm="1">
        <f t="array" ref="J32">_xlfn.LET(_xlpm.data,_xlfn.VSTACK('MS:NCA9'!J32),_xlpm.states,_xlfn.VSTACK('MS:NCA9'!$B$2),
SUM(_xlfn._xlws.FILTER(_xlpm.data,(_xlpm.states="New Jersey")+(_xlpm.states="M&amp;A"))))</f>
        <v>0</v>
      </c>
      <c r="K32" s="12" cm="1">
        <f t="array" ref="K32">_xlfn.LET(_xlpm.data,_xlfn.VSTACK('MS:NCA9'!K32),_xlpm.states,_xlfn.VSTACK('MS:NCA9'!$B$2),
SUM(_xlfn._xlws.FILTER(_xlpm.data,(_xlpm.states="New Jersey")+(_xlpm.states="M&amp;A"))))</f>
        <v>0</v>
      </c>
      <c r="L32" s="12" cm="1">
        <f t="array" ref="L32">_xlfn.LET(_xlpm.data,_xlfn.VSTACK('MS:NCA9'!L32),_xlpm.states,_xlfn.VSTACK('MS:NCA9'!$B$2),
SUM(_xlfn._xlws.FILTER(_xlpm.data,(_xlpm.states="New Jersey")+(_xlpm.states="M&amp;A"))))</f>
        <v>0</v>
      </c>
      <c r="M32" s="12" cm="1">
        <f t="array" ref="M32">_xlfn.LET(_xlpm.data,_xlfn.VSTACK('MS:NCA9'!M32),_xlpm.states,_xlfn.VSTACK('MS:NCA9'!$B$2),
SUM(_xlfn._xlws.FILTER(_xlpm.data,(_xlpm.states="New Jersey")+(_xlpm.states="M&amp;A"))))</f>
        <v>0</v>
      </c>
      <c r="N32" s="12" cm="1">
        <f t="array" ref="N32">_xlfn.LET(_xlpm.data,_xlfn.VSTACK('MS:NCA9'!N32),_xlpm.states,_xlfn.VSTACK('MS:NCA9'!$B$2),
SUM(_xlfn._xlws.FILTER(_xlpm.data,(_xlpm.states="New Jersey")+(_xlpm.states="M&amp;A"))))</f>
        <v>0</v>
      </c>
      <c r="O32" s="12" cm="1">
        <f t="array" ref="O32">_xlfn.LET(_xlpm.data,_xlfn.VSTACK('MS:NCA9'!O32),_xlpm.states,_xlfn.VSTACK('MS:NCA9'!$B$2),
SUM(_xlfn._xlws.FILTER(_xlpm.data,(_xlpm.states="New Jersey")+(_xlpm.states="M&amp;A"))))</f>
        <v>0</v>
      </c>
      <c r="P32" s="12" cm="1">
        <f t="array" ref="P32">_xlfn.LET(_xlpm.data,_xlfn.VSTACK('MS:NCA9'!P32),_xlpm.states,_xlfn.VSTACK('MS:NCA9'!$B$2),
SUM(_xlfn._xlws.FILTER(_xlpm.data,(_xlpm.states="New Jersey")+(_xlpm.states="M&amp;A"))))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475</v>
      </c>
      <c r="E33" s="12" cm="1">
        <f t="array" ref="E33">_xlfn.LET(_xlpm.data,_xlfn.VSTACK('MS:NCA9'!E33),_xlpm.states,_xlfn.VSTACK('MS:NCA9'!$B$2),
SUM(_xlfn._xlws.FILTER(_xlpm.data,(_xlpm.states="New Jersey")+(_xlpm.states="M&amp;A"))))</f>
        <v>77734.474999999991</v>
      </c>
      <c r="F33" s="12" cm="1">
        <f t="array" ref="F33">_xlfn.LET(_xlpm.data,_xlfn.VSTACK('MS:NCA9'!F33),_xlpm.states,_xlfn.VSTACK('MS:NCA9'!$B$2),
SUM(_xlfn._xlws.FILTER(_xlpm.data,(_xlpm.states="New Jersey")+(_xlpm.states="M&amp;A"))))</f>
        <v>77734.474999999991</v>
      </c>
      <c r="G33" s="12" cm="1">
        <f t="array" ref="G33">_xlfn.LET(_xlpm.data,_xlfn.VSTACK('MS:NCA9'!G33),_xlpm.states,_xlfn.VSTACK('MS:NCA9'!$B$2),
SUM(_xlfn._xlws.FILTER(_xlpm.data,(_xlpm.states="New Jersey")+(_xlpm.states="M&amp;A"))))</f>
        <v>129557.45833333333</v>
      </c>
      <c r="H33" s="12" cm="1">
        <f t="array" ref="H33">_xlfn.LET(_xlpm.data,_xlfn.VSTACK('MS:NCA9'!H33),_xlpm.states,_xlfn.VSTACK('MS:NCA9'!$B$2),
SUM(_xlfn._xlws.FILTER(_xlpm.data,(_xlpm.states="New Jersey")+(_xlpm.states="M&amp;A"))))</f>
        <v>155468.94999999998</v>
      </c>
      <c r="I33" s="12" cm="1">
        <f t="array" ref="I33">_xlfn.LET(_xlpm.data,_xlfn.VSTACK('MS:NCA9'!I33),_xlpm.states,_xlfn.VSTACK('MS:NCA9'!$B$2),
SUM(_xlfn._xlws.FILTER(_xlpm.data,(_xlpm.states="New Jersey")+(_xlpm.states="M&amp;A"))))</f>
        <v>155468.94999999998</v>
      </c>
      <c r="J33" s="12" cm="1">
        <f t="array" ref="J33">_xlfn.LET(_xlpm.data,_xlfn.VSTACK('MS:NCA9'!J33),_xlpm.states,_xlfn.VSTACK('MS:NCA9'!$B$2),
SUM(_xlfn._xlws.FILTER(_xlpm.data,(_xlpm.states="New Jersey")+(_xlpm.states="M&amp;A"))))</f>
        <v>155468.94999999998</v>
      </c>
      <c r="K33" s="12" cm="1">
        <f t="array" ref="K33">_xlfn.LET(_xlpm.data,_xlfn.VSTACK('MS:NCA9'!K33),_xlpm.states,_xlfn.VSTACK('MS:NCA9'!$B$2),
SUM(_xlfn._xlws.FILTER(_xlpm.data,(_xlpm.states="New Jersey")+(_xlpm.states="M&amp;A"))))</f>
        <v>181380.44166666665</v>
      </c>
      <c r="L33" s="12" cm="1">
        <f t="array" ref="L33">_xlfn.LET(_xlpm.data,_xlfn.VSTACK('MS:NCA9'!L33),_xlpm.states,_xlfn.VSTACK('MS:NCA9'!$B$2),
SUM(_xlfn._xlws.FILTER(_xlpm.data,(_xlpm.states="New Jersey")+(_xlpm.states="M&amp;A"))))</f>
        <v>181380.44166666665</v>
      </c>
      <c r="M33" s="12" cm="1">
        <f t="array" ref="M33">_xlfn.LET(_xlpm.data,_xlfn.VSTACK('MS:NCA9'!M33),_xlpm.states,_xlfn.VSTACK('MS:NCA9'!$B$2),
SUM(_xlfn._xlws.FILTER(_xlpm.data,(_xlpm.states="New Jersey")+(_xlpm.states="M&amp;A"))))</f>
        <v>207291.93333333332</v>
      </c>
      <c r="N33" s="12" cm="1">
        <f t="array" ref="N33">_xlfn.LET(_xlpm.data,_xlfn.VSTACK('MS:NCA9'!N33),_xlpm.states,_xlfn.VSTACK('MS:NCA9'!$B$2),
SUM(_xlfn._xlws.FILTER(_xlpm.data,(_xlpm.states="New Jersey")+(_xlpm.states="M&amp;A"))))</f>
        <v>207291.93333333332</v>
      </c>
      <c r="O33" s="12" cm="1">
        <f t="array" ref="O33">_xlfn.LET(_xlpm.data,_xlfn.VSTACK('MS:NCA9'!O33),_xlpm.states,_xlfn.VSTACK('MS:NCA9'!$B$2),
SUM(_xlfn._xlws.FILTER(_xlpm.data,(_xlpm.states="New Jersey")+(_xlpm.states="M&amp;A"))))</f>
        <v>233203.42499999999</v>
      </c>
      <c r="P33" s="12" cm="1">
        <f t="array" ref="P33">_xlfn.LET(_xlpm.data,_xlfn.VSTACK('MS:NCA9'!P33),_xlpm.states,_xlfn.VSTACK('MS:NCA9'!$B$2),
SUM(_xlfn._xlws.FILTER(_xlpm.data,(_xlpm.states="New Jersey")+(_xlpm.states="M&amp;A"))))</f>
        <v>233203.42499999999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476</v>
      </c>
      <c r="E34" s="12" cm="1">
        <f t="array" ref="E34">_xlfn.LET(_xlpm.data,_xlfn.VSTACK('MS:NCA9'!E34),_xlpm.states,_xlfn.VSTACK('MS:NCA9'!$B$2),
SUM(_xlfn._xlws.FILTER(_xlpm.data,(_xlpm.states="New Jersey")+(_xlpm.states="M&amp;A"))))</f>
        <v>0</v>
      </c>
      <c r="F34" s="12" cm="1">
        <f t="array" ref="F34">_xlfn.LET(_xlpm.data,_xlfn.VSTACK('MS:NCA9'!F34),_xlpm.states,_xlfn.VSTACK('MS:NCA9'!$B$2),
SUM(_xlfn._xlws.FILTER(_xlpm.data,(_xlpm.states="New Jersey")+(_xlpm.states="M&amp;A"))))</f>
        <v>0</v>
      </c>
      <c r="G34" s="12" cm="1">
        <f t="array" ref="G34">_xlfn.LET(_xlpm.data,_xlfn.VSTACK('MS:NCA9'!G34),_xlpm.states,_xlfn.VSTACK('MS:NCA9'!$B$2),
SUM(_xlfn._xlws.FILTER(_xlpm.data,(_xlpm.states="New Jersey")+(_xlpm.states="M&amp;A"))))</f>
        <v>0</v>
      </c>
      <c r="H34" s="12" cm="1">
        <f t="array" ref="H34">_xlfn.LET(_xlpm.data,_xlfn.VSTACK('MS:NCA9'!H34),_xlpm.states,_xlfn.VSTACK('MS:NCA9'!$B$2),
SUM(_xlfn._xlws.FILTER(_xlpm.data,(_xlpm.states="New Jersey")+(_xlpm.states="M&amp;A"))))</f>
        <v>0</v>
      </c>
      <c r="I34" s="12" cm="1">
        <f t="array" ref="I34">_xlfn.LET(_xlpm.data,_xlfn.VSTACK('MS:NCA9'!I34),_xlpm.states,_xlfn.VSTACK('MS:NCA9'!$B$2),
SUM(_xlfn._xlws.FILTER(_xlpm.data,(_xlpm.states="New Jersey")+(_xlpm.states="M&amp;A"))))</f>
        <v>0</v>
      </c>
      <c r="J34" s="12" cm="1">
        <f t="array" ref="J34">_xlfn.LET(_xlpm.data,_xlfn.VSTACK('MS:NCA9'!J34),_xlpm.states,_xlfn.VSTACK('MS:NCA9'!$B$2),
SUM(_xlfn._xlws.FILTER(_xlpm.data,(_xlpm.states="New Jersey")+(_xlpm.states="M&amp;A"))))</f>
        <v>0</v>
      </c>
      <c r="K34" s="12" cm="1">
        <f t="array" ref="K34">_xlfn.LET(_xlpm.data,_xlfn.VSTACK('MS:NCA9'!K34),_xlpm.states,_xlfn.VSTACK('MS:NCA9'!$B$2),
SUM(_xlfn._xlws.FILTER(_xlpm.data,(_xlpm.states="New Jersey")+(_xlpm.states="M&amp;A"))))</f>
        <v>0</v>
      </c>
      <c r="L34" s="12" cm="1">
        <f t="array" ref="L34">_xlfn.LET(_xlpm.data,_xlfn.VSTACK('MS:NCA9'!L34),_xlpm.states,_xlfn.VSTACK('MS:NCA9'!$B$2),
SUM(_xlfn._xlws.FILTER(_xlpm.data,(_xlpm.states="New Jersey")+(_xlpm.states="M&amp;A"))))</f>
        <v>0</v>
      </c>
      <c r="M34" s="12" cm="1">
        <f t="array" ref="M34">_xlfn.LET(_xlpm.data,_xlfn.VSTACK('MS:NCA9'!M34),_xlpm.states,_xlfn.VSTACK('MS:NCA9'!$B$2),
SUM(_xlfn._xlws.FILTER(_xlpm.data,(_xlpm.states="New Jersey")+(_xlpm.states="M&amp;A"))))</f>
        <v>0</v>
      </c>
      <c r="N34" s="12" cm="1">
        <f t="array" ref="N34">_xlfn.LET(_xlpm.data,_xlfn.VSTACK('MS:NCA9'!N34),_xlpm.states,_xlfn.VSTACK('MS:NCA9'!$B$2),
SUM(_xlfn._xlws.FILTER(_xlpm.data,(_xlpm.states="New Jersey")+(_xlpm.states="M&amp;A"))))</f>
        <v>0</v>
      </c>
      <c r="O34" s="12" cm="1">
        <f t="array" ref="O34">_xlfn.LET(_xlpm.data,_xlfn.VSTACK('MS:NCA9'!O34),_xlpm.states,_xlfn.VSTACK('MS:NCA9'!$B$2),
SUM(_xlfn._xlws.FILTER(_xlpm.data,(_xlpm.states="New Jersey")+(_xlpm.states="M&amp;A"))))</f>
        <v>0</v>
      </c>
      <c r="P34" s="12" cm="1">
        <f t="array" ref="P34">_xlfn.LET(_xlpm.data,_xlfn.VSTACK('MS:NCA9'!P34),_xlpm.states,_xlfn.VSTACK('MS:NCA9'!$B$2),
SUM(_xlfn._xlws.FILTER(_xlpm.data,(_xlpm.states="New Jersey")+(_xlpm.states="M&amp;A"))))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107</v>
      </c>
      <c r="E35" s="12" cm="1">
        <f t="array" ref="E35">_xlfn.LET(_xlpm.data,_xlfn.VSTACK('MS:NCA9'!E35),_xlpm.states,_xlfn.VSTACK('MS:NCA9'!$B$2),
SUM(_xlfn._xlws.FILTER(_xlpm.data,(_xlpm.states="New Jersey")+(_xlpm.states="M&amp;A"))))</f>
        <v>-204690.72271999999</v>
      </c>
      <c r="F35" s="12" cm="1">
        <f t="array" ref="F35">_xlfn.LET(_xlpm.data,_xlfn.VSTACK('MS:NCA9'!F35),_xlpm.states,_xlfn.VSTACK('MS:NCA9'!$B$2),
SUM(_xlfn._xlws.FILTER(_xlpm.data,(_xlpm.states="New Jersey")+(_xlpm.states="M&amp;A"))))</f>
        <v>-307659.67631999997</v>
      </c>
      <c r="G35" s="12" cm="1">
        <f t="array" ref="G35">_xlfn.LET(_xlpm.data,_xlfn.VSTACK('MS:NCA9'!G35),_xlpm.states,_xlfn.VSTACK('MS:NCA9'!$B$2),
SUM(_xlfn._xlws.FILTER(_xlpm.data,(_xlpm.states="New Jersey")+(_xlpm.states="M&amp;A"))))</f>
        <v>-429079.20371999999</v>
      </c>
      <c r="H35" s="12" cm="1">
        <f t="array" ref="H35">_xlfn.LET(_xlpm.data,_xlfn.VSTACK('MS:NCA9'!H35),_xlpm.states,_xlfn.VSTACK('MS:NCA9'!$B$2),
SUM(_xlfn._xlws.FILTER(_xlpm.data,(_xlpm.states="New Jersey")+(_xlpm.states="M&amp;A"))))</f>
        <v>-557357.80207999982</v>
      </c>
      <c r="I35" s="12" cm="1">
        <f t="array" ref="I35">_xlfn.LET(_xlpm.data,_xlfn.VSTACK('MS:NCA9'!I35),_xlpm.states,_xlfn.VSTACK('MS:NCA9'!$B$2),
SUM(_xlfn._xlws.FILTER(_xlpm.data,(_xlpm.states="New Jersey")+(_xlpm.states="M&amp;A"))))</f>
        <v>-672475.96427999984</v>
      </c>
      <c r="J35" s="12" cm="1">
        <f t="array" ref="J35">_xlfn.LET(_xlpm.data,_xlfn.VSTACK('MS:NCA9'!J35),_xlpm.states,_xlfn.VSTACK('MS:NCA9'!$B$2),
SUM(_xlfn._xlws.FILTER(_xlpm.data,(_xlpm.states="New Jersey")+(_xlpm.states="M&amp;A"))))</f>
        <v>-789837.13567999972</v>
      </c>
      <c r="K35" s="12" cm="1">
        <f t="array" ref="K35">_xlfn.LET(_xlpm.data,_xlfn.VSTACK('MS:NCA9'!K35),_xlpm.states,_xlfn.VSTACK('MS:NCA9'!$B$2),
SUM(_xlfn._xlws.FILTER(_xlpm.data,(_xlpm.states="New Jersey")+(_xlpm.states="M&amp;A"))))</f>
        <v>-840752.86359999969</v>
      </c>
      <c r="L35" s="12" cm="1">
        <f t="array" ref="L35">_xlfn.LET(_xlpm.data,_xlfn.VSTACK('MS:NCA9'!L35),_xlpm.states,_xlfn.VSTACK('MS:NCA9'!$B$2),
SUM(_xlfn._xlws.FILTER(_xlpm.data,(_xlpm.states="New Jersey")+(_xlpm.states="M&amp;A"))))</f>
        <v>-888517.90891999973</v>
      </c>
      <c r="M35" s="12" cm="1">
        <f t="array" ref="M35">_xlfn.LET(_xlpm.data,_xlfn.VSTACK('MS:NCA9'!M35),_xlpm.states,_xlfn.VSTACK('MS:NCA9'!$B$2),
SUM(_xlfn._xlws.FILTER(_xlpm.data,(_xlpm.states="New Jersey")+(_xlpm.states="M&amp;A"))))</f>
        <v>-947180.0245599997</v>
      </c>
      <c r="N35" s="12" cm="1">
        <f t="array" ref="N35">_xlfn.LET(_xlpm.data,_xlfn.VSTACK('MS:NCA9'!N35),_xlpm.states,_xlfn.VSTACK('MS:NCA9'!$B$2),
SUM(_xlfn._xlws.FILTER(_xlpm.data,(_xlpm.states="New Jersey")+(_xlpm.states="M&amp;A"))))</f>
        <v>-1028527.3669999997</v>
      </c>
      <c r="O35" s="12" cm="1">
        <f t="array" ref="O35">_xlfn.LET(_xlpm.data,_xlfn.VSTACK('MS:NCA9'!O35),_xlpm.states,_xlfn.VSTACK('MS:NCA9'!$B$2),
SUM(_xlfn._xlws.FILTER(_xlpm.data,(_xlpm.states="New Jersey")+(_xlpm.states="M&amp;A"))))</f>
        <v>-1121934.5879600001</v>
      </c>
      <c r="P35" s="12" cm="1">
        <f t="array" ref="P35">_xlfn.LET(_xlpm.data,_xlfn.VSTACK('MS:NCA9'!P35),_xlpm.states,_xlfn.VSTACK('MS:NCA9'!$B$2),
SUM(_xlfn._xlws.FILTER(_xlpm.data,(_xlpm.states="New Jersey")+(_xlpm.states="M&amp;A"))))</f>
        <v>-1212191.12632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320</v>
      </c>
      <c r="C36" s="4"/>
      <c r="E36" s="12" cm="1">
        <f t="array" ref="E36">_xlfn.LET(_xlpm.data,_xlfn.VSTACK('MS:NCA9'!E36),_xlpm.states,_xlfn.VSTACK('MS:NCA9'!$B$2),
SUM(_xlfn._xlws.FILTER(_xlpm.data,(_xlpm.states="New Jersey")+(_xlpm.states="M&amp;A"))))</f>
        <v>0</v>
      </c>
      <c r="F36" s="12" cm="1">
        <f t="array" ref="F36">_xlfn.LET(_xlpm.data,_xlfn.VSTACK('MS:NCA9'!F36),_xlpm.states,_xlfn.VSTACK('MS:NCA9'!$B$2),
SUM(_xlfn._xlws.FILTER(_xlpm.data,(_xlpm.states="New Jersey")+(_xlpm.states="M&amp;A"))))</f>
        <v>0</v>
      </c>
      <c r="G36" s="12" cm="1">
        <f t="array" ref="G36">_xlfn.LET(_xlpm.data,_xlfn.VSTACK('MS:NCA9'!G36),_xlpm.states,_xlfn.VSTACK('MS:NCA9'!$B$2),
SUM(_xlfn._xlws.FILTER(_xlpm.data,(_xlpm.states="New Jersey")+(_xlpm.states="M&amp;A"))))</f>
        <v>0</v>
      </c>
      <c r="H36" s="12" cm="1">
        <f t="array" ref="H36">_xlfn.LET(_xlpm.data,_xlfn.VSTACK('MS:NCA9'!H36),_xlpm.states,_xlfn.VSTACK('MS:NCA9'!$B$2),
SUM(_xlfn._xlws.FILTER(_xlpm.data,(_xlpm.states="New Jersey")+(_xlpm.states="M&amp;A"))))</f>
        <v>0</v>
      </c>
      <c r="I36" s="12" cm="1">
        <f t="array" ref="I36">_xlfn.LET(_xlpm.data,_xlfn.VSTACK('MS:NCA9'!I36),_xlpm.states,_xlfn.VSTACK('MS:NCA9'!$B$2),
SUM(_xlfn._xlws.FILTER(_xlpm.data,(_xlpm.states="New Jersey")+(_xlpm.states="M&amp;A"))))</f>
        <v>0</v>
      </c>
      <c r="J36" s="12" cm="1">
        <f t="array" ref="J36">_xlfn.LET(_xlpm.data,_xlfn.VSTACK('MS:NCA9'!J36),_xlpm.states,_xlfn.VSTACK('MS:NCA9'!$B$2),
SUM(_xlfn._xlws.FILTER(_xlpm.data,(_xlpm.states="New Jersey")+(_xlpm.states="M&amp;A"))))</f>
        <v>0</v>
      </c>
      <c r="K36" s="12" cm="1">
        <f t="array" ref="K36">_xlfn.LET(_xlpm.data,_xlfn.VSTACK('MS:NCA9'!K36),_xlpm.states,_xlfn.VSTACK('MS:NCA9'!$B$2),
SUM(_xlfn._xlws.FILTER(_xlpm.data,(_xlpm.states="New Jersey")+(_xlpm.states="M&amp;A"))))</f>
        <v>0</v>
      </c>
      <c r="L36" s="12" cm="1">
        <f t="array" ref="L36">_xlfn.LET(_xlpm.data,_xlfn.VSTACK('MS:NCA9'!L36),_xlpm.states,_xlfn.VSTACK('MS:NCA9'!$B$2),
SUM(_xlfn._xlws.FILTER(_xlpm.data,(_xlpm.states="New Jersey")+(_xlpm.states="M&amp;A"))))</f>
        <v>0</v>
      </c>
      <c r="M36" s="12" cm="1">
        <f t="array" ref="M36">_xlfn.LET(_xlpm.data,_xlfn.VSTACK('MS:NCA9'!M36),_xlpm.states,_xlfn.VSTACK('MS:NCA9'!$B$2),
SUM(_xlfn._xlws.FILTER(_xlpm.data,(_xlpm.states="New Jersey")+(_xlpm.states="M&amp;A"))))</f>
        <v>0</v>
      </c>
      <c r="N36" s="12" cm="1">
        <f t="array" ref="N36">_xlfn.LET(_xlpm.data,_xlfn.VSTACK('MS:NCA9'!N36),_xlpm.states,_xlfn.VSTACK('MS:NCA9'!$B$2),
SUM(_xlfn._xlws.FILTER(_xlpm.data,(_xlpm.states="New Jersey")+(_xlpm.states="M&amp;A"))))</f>
        <v>0</v>
      </c>
      <c r="O36" s="12" cm="1">
        <f t="array" ref="O36">_xlfn.LET(_xlpm.data,_xlfn.VSTACK('MS:NCA9'!O36),_xlpm.states,_xlfn.VSTACK('MS:NCA9'!$B$2),
SUM(_xlfn._xlws.FILTER(_xlpm.data,(_xlpm.states="New Jersey")+(_xlpm.states="M&amp;A"))))</f>
        <v>0</v>
      </c>
      <c r="P36" s="12" cm="1">
        <f t="array" ref="P36">_xlfn.LET(_xlpm.data,_xlfn.VSTACK('MS:NCA9'!P36),_xlpm.states,_xlfn.VSTACK('MS:NCA9'!$B$2),
SUM(_xlfn._xlws.FILTER(_xlpm.data,(_xlpm.states="New Jersey")+(_xlpm.states="M&amp;A"))))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331</v>
      </c>
      <c r="C37" s="15"/>
      <c r="E37" s="13">
        <f t="shared" ref="E37:AN37" si="0">SUM(E26:E36)</f>
        <v>1501065.2999466667</v>
      </c>
      <c r="F37" s="13">
        <f t="shared" si="0"/>
        <v>2256170.9596799989</v>
      </c>
      <c r="G37" s="13">
        <f t="shared" si="0"/>
        <v>3146580.8272799989</v>
      </c>
      <c r="H37" s="13">
        <f t="shared" si="0"/>
        <v>4087290.5485866657</v>
      </c>
      <c r="I37" s="13">
        <f t="shared" si="0"/>
        <v>4931490.4047199981</v>
      </c>
      <c r="J37" s="13">
        <f t="shared" si="0"/>
        <v>5792138.9949866664</v>
      </c>
      <c r="K37" s="13">
        <f t="shared" si="0"/>
        <v>6165520.9997333316</v>
      </c>
      <c r="L37" s="13">
        <f t="shared" si="0"/>
        <v>6515797.9987466643</v>
      </c>
      <c r="M37" s="13">
        <f t="shared" si="0"/>
        <v>6945986.8467733311</v>
      </c>
      <c r="N37" s="13">
        <f t="shared" si="0"/>
        <v>7542534.0246666642</v>
      </c>
      <c r="O37" s="13">
        <f t="shared" si="0"/>
        <v>8227520.3117066668</v>
      </c>
      <c r="P37" s="13">
        <f t="shared" si="0"/>
        <v>8889401.5930133294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si="0"/>
        <v>17157128.049590562</v>
      </c>
      <c r="AL37" s="13">
        <f t="shared" si="0"/>
        <v>17611428.784240745</v>
      </c>
      <c r="AM37" s="13">
        <f t="shared" si="0"/>
        <v>18124552.547327995</v>
      </c>
      <c r="AN37" s="13">
        <f t="shared" si="0"/>
        <v>18592939.256202463</v>
      </c>
    </row>
    <row r="39" spans="2:40" x14ac:dyDescent="0.25">
      <c r="B39" s="1" t="s">
        <v>132</v>
      </c>
    </row>
    <row r="40" spans="2:40" outlineLevel="1" x14ac:dyDescent="0.25">
      <c r="B40" s="39" t="s">
        <v>23</v>
      </c>
      <c r="E40" s="12" cm="1">
        <f t="array" ref="E40">_xlfn.LET(_xlpm.data,_xlfn.VSTACK('MS:NCA9'!E40),_xlpm.states,_xlfn.VSTACK('MS:NCA9'!$B$2),
SUM(_xlfn._xlws.FILTER(_xlpm.data,(_xlpm.states="New Jersey")+(_xlpm.states="M&amp;A"))))</f>
        <v>527622.50521214504</v>
      </c>
      <c r="F40" s="12" cm="1">
        <f t="array" ref="F40">_xlfn.LET(_xlpm.data,_xlfn.VSTACK('MS:NCA9'!F40),_xlpm.states,_xlfn.VSTACK('MS:NCA9'!$B$2),
SUM(_xlfn._xlws.FILTER(_xlpm.data,(_xlpm.states="New Jersey")+(_xlpm.states="M&amp;A"))))</f>
        <v>596378.1836787347</v>
      </c>
      <c r="G40" s="12" cm="1">
        <f t="array" ref="G40">_xlfn.LET(_xlpm.data,_xlfn.VSTACK('MS:NCA9'!G40),_xlpm.states,_xlfn.VSTACK('MS:NCA9'!$B$2),
SUM(_xlfn._xlws.FILTER(_xlpm.data,(_xlpm.states="New Jersey")+(_xlpm.states="M&amp;A"))))</f>
        <v>746480.14092977438</v>
      </c>
      <c r="H40" s="12" cm="1">
        <f t="array" ref="H40">_xlfn.LET(_xlpm.data,_xlfn.VSTACK('MS:NCA9'!H40),_xlpm.states,_xlfn.VSTACK('MS:NCA9'!$B$2),
SUM(_xlfn._xlws.FILTER(_xlpm.data,(_xlpm.states="New Jersey")+(_xlpm.states="M&amp;A"))))</f>
        <v>923654.15297277446</v>
      </c>
      <c r="I40" s="12" cm="1">
        <f t="array" ref="I40">_xlfn.LET(_xlpm.data,_xlfn.VSTACK('MS:NCA9'!I40),_xlpm.states,_xlfn.VSTACK('MS:NCA9'!$B$2),
SUM(_xlfn._xlws.FILTER(_xlpm.data,(_xlpm.states="New Jersey")+(_xlpm.states="M&amp;A"))))</f>
        <v>1058868.0152282147</v>
      </c>
      <c r="J40" s="12" cm="1">
        <f t="array" ref="J40">_xlfn.LET(_xlpm.data,_xlfn.VSTACK('MS:NCA9'!J40),_xlpm.states,_xlfn.VSTACK('MS:NCA9'!$B$2),
SUM(_xlfn._xlws.FILTER(_xlpm.data,(_xlpm.states="New Jersey")+(_xlpm.states="M&amp;A"))))</f>
        <v>1173417.7545324997</v>
      </c>
      <c r="K40" s="12" cm="1">
        <f t="array" ref="K40">_xlfn.LET(_xlpm.data,_xlfn.VSTACK('MS:NCA9'!K40),_xlpm.states,_xlfn.VSTACK('MS:NCA9'!$B$2),
SUM(_xlfn._xlws.FILTER(_xlpm.data,(_xlpm.states="New Jersey")+(_xlpm.states="M&amp;A"))))</f>
        <v>1321946.6769441655</v>
      </c>
      <c r="L40" s="12" cm="1">
        <f t="array" ref="L40">_xlfn.LET(_xlpm.data,_xlfn.VSTACK('MS:NCA9'!L40),_xlpm.states,_xlfn.VSTACK('MS:NCA9'!$B$2),
SUM(_xlfn._xlws.FILTER(_xlpm.data,(_xlpm.states="New Jersey")+(_xlpm.states="M&amp;A"))))</f>
        <v>1458463.9688447202</v>
      </c>
      <c r="M40" s="12" cm="1">
        <f t="array" ref="M40">_xlfn.LET(_xlpm.data,_xlfn.VSTACK('MS:NCA9'!M40),_xlpm.states,_xlfn.VSTACK('MS:NCA9'!$B$2),
SUM(_xlfn._xlws.FILTER(_xlpm.data,(_xlpm.states="New Jersey")+(_xlpm.states="M&amp;A"))))</f>
        <v>1628498.2207503449</v>
      </c>
      <c r="N40" s="12" cm="1">
        <f t="array" ref="N40">_xlfn.LET(_xlpm.data,_xlfn.VSTACK('MS:NCA9'!N40),_xlpm.states,_xlfn.VSTACK('MS:NCA9'!$B$2),
SUM(_xlfn._xlws.FILTER(_xlpm.data,(_xlpm.states="New Jersey")+(_xlpm.states="M&amp;A"))))</f>
        <v>1798435.5792270373</v>
      </c>
      <c r="O40" s="12" cm="1">
        <f t="array" ref="O40">_xlfn.LET(_xlpm.data,_xlfn.VSTACK('MS:NCA9'!O40),_xlpm.states,_xlfn.VSTACK('MS:NCA9'!$B$2),
SUM(_xlfn._xlws.FILTER(_xlpm.data,(_xlpm.states="New Jersey")+(_xlpm.states="M&amp;A"))))</f>
        <v>2012853.9924432442</v>
      </c>
      <c r="P40" s="12" cm="1">
        <f t="array" ref="P40">_xlfn.LET(_xlpm.data,_xlfn.VSTACK('MS:NCA9'!P40),_xlpm.states,_xlfn.VSTACK('MS:NCA9'!$B$2),
SUM(_xlfn._xlws.FILTER(_xlpm.data,(_xlpm.states="New Jersey")+(_xlpm.states="M&amp;A"))))</f>
        <v>2205685.0090638516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 cm="1">
        <f t="array" ref="E41">_xlfn.LET(_xlpm.data,_xlfn.VSTACK('MS:NCA9'!E41),_xlpm.states,_xlfn.VSTACK('MS:NCA9'!$B$2),
SUM(_xlfn._xlws.FILTER(_xlpm.data,(_xlpm.states="New Jersey")+(_xlpm.states="M&amp;A"))))</f>
        <v>329894.39999999997</v>
      </c>
      <c r="F41" s="12" cm="1">
        <f t="array" ref="F41">_xlfn.LET(_xlpm.data,_xlfn.VSTACK('MS:NCA9'!F41),_xlpm.states,_xlfn.VSTACK('MS:NCA9'!$B$2),
SUM(_xlfn._xlws.FILTER(_xlpm.data,(_xlpm.states="New Jersey")+(_xlpm.states="M&amp;A"))))</f>
        <v>655142.40000000002</v>
      </c>
      <c r="G41" s="12" cm="1">
        <f t="array" ref="G41">_xlfn.LET(_xlpm.data,_xlfn.VSTACK('MS:NCA9'!G41),_xlpm.states,_xlfn.VSTACK('MS:NCA9'!$B$2),
SUM(_xlfn._xlws.FILTER(_xlpm.data,(_xlpm.states="New Jersey")+(_xlpm.states="M&amp;A"))))</f>
        <v>985036.79999999993</v>
      </c>
      <c r="H41" s="12" cm="1">
        <f t="array" ref="H41">_xlfn.LET(_xlpm.data,_xlfn.VSTACK('MS:NCA9'!H41),_xlpm.states,_xlfn.VSTACK('MS:NCA9'!$B$2),
SUM(_xlfn._xlws.FILTER(_xlpm.data,(_xlpm.states="New Jersey")+(_xlpm.states="M&amp;A"))))</f>
        <v>1314931.1999999997</v>
      </c>
      <c r="I41" s="12" cm="1">
        <f t="array" ref="I41">_xlfn.LET(_xlpm.data,_xlfn.VSTACK('MS:NCA9'!I41),_xlpm.states,_xlfn.VSTACK('MS:NCA9'!$B$2),
SUM(_xlfn._xlws.FILTER(_xlpm.data,(_xlpm.states="New Jersey")+(_xlpm.states="M&amp;A"))))</f>
        <v>1640179.1999999997</v>
      </c>
      <c r="J41" s="12" cm="1">
        <f t="array" ref="J41">_xlfn.LET(_xlpm.data,_xlfn.VSTACK('MS:NCA9'!J41),_xlpm.states,_xlfn.VSTACK('MS:NCA9'!$B$2),
SUM(_xlfn._xlws.FILTER(_xlpm.data,(_xlpm.states="New Jersey")+(_xlpm.states="M&amp;A"))))</f>
        <v>1970073.5999999999</v>
      </c>
      <c r="K41" s="12" cm="1">
        <f t="array" ref="K41">_xlfn.LET(_xlpm.data,_xlfn.VSTACK('MS:NCA9'!K41),_xlpm.states,_xlfn.VSTACK('MS:NCA9'!$B$2),
SUM(_xlfn._xlws.FILTER(_xlpm.data,(_xlpm.states="New Jersey")+(_xlpm.states="M&amp;A"))))</f>
        <v>1988659.2</v>
      </c>
      <c r="L41" s="12" cm="1">
        <f t="array" ref="L41">_xlfn.LET(_xlpm.data,_xlfn.VSTACK('MS:NCA9'!L41),_xlpm.states,_xlfn.VSTACK('MS:NCA9'!$B$2),
SUM(_xlfn._xlws.FILTER(_xlpm.data,(_xlpm.states="New Jersey")+(_xlpm.states="M&amp;A"))))</f>
        <v>2007244.8</v>
      </c>
      <c r="M41" s="12" cm="1">
        <f t="array" ref="M41">_xlfn.LET(_xlpm.data,_xlfn.VSTACK('MS:NCA9'!M41),_xlpm.states,_xlfn.VSTACK('MS:NCA9'!$B$2),
SUM(_xlfn._xlws.FILTER(_xlpm.data,(_xlpm.states="New Jersey")+(_xlpm.states="M&amp;A"))))</f>
        <v>2025830.3999999997</v>
      </c>
      <c r="N41" s="12" cm="1">
        <f t="array" ref="N41">_xlfn.LET(_xlpm.data,_xlfn.VSTACK('MS:NCA9'!N41),_xlpm.states,_xlfn.VSTACK('MS:NCA9'!$B$2),
SUM(_xlfn._xlws.FILTER(_xlpm.data,(_xlpm.states="New Jersey")+(_xlpm.states="M&amp;A"))))</f>
        <v>2146636.7999999998</v>
      </c>
      <c r="O41" s="12" cm="1">
        <f t="array" ref="O41">_xlfn.LET(_xlpm.data,_xlfn.VSTACK('MS:NCA9'!O41),_xlpm.states,_xlfn.VSTACK('MS:NCA9'!$B$2),
SUM(_xlfn._xlws.FILTER(_xlpm.data,(_xlpm.states="New Jersey")+(_xlpm.states="M&amp;A"))))</f>
        <v>2272089.5999999996</v>
      </c>
      <c r="P41" s="12" cm="1">
        <f t="array" ref="P41">_xlfn.LET(_xlpm.data,_xlfn.VSTACK('MS:NCA9'!P41),_xlpm.states,_xlfn.VSTACK('MS:NCA9'!$B$2),
SUM(_xlfn._xlws.FILTER(_xlpm.data,(_xlpm.states="New Jersey")+(_xlpm.states="M&amp;A"))))</f>
        <v>2392896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 cm="1">
        <f t="array" ref="E42">_xlfn.LET(_xlpm.data,_xlfn.VSTACK('MS:NCA9'!E42),_xlpm.states,_xlfn.VSTACK('MS:NCA9'!$B$2),
SUM(_xlfn._xlws.FILTER(_xlpm.data,(_xlpm.states="New Jersey")+(_xlpm.states="M&amp;A"))))</f>
        <v>51161.490000000005</v>
      </c>
      <c r="F42" s="12" cm="1">
        <f t="array" ref="F42">_xlfn.LET(_xlpm.data,_xlfn.VSTACK('MS:NCA9'!F42),_xlpm.states,_xlfn.VSTACK('MS:NCA9'!$B$2),
SUM(_xlfn._xlws.FILTER(_xlpm.data,(_xlpm.states="New Jersey")+(_xlpm.states="M&amp;A"))))</f>
        <v>51161.490000000005</v>
      </c>
      <c r="G42" s="12" cm="1">
        <f t="array" ref="G42">_xlfn.LET(_xlpm.data,_xlfn.VSTACK('MS:NCA9'!G42),_xlpm.states,_xlfn.VSTACK('MS:NCA9'!$B$2),
SUM(_xlfn._xlws.FILTER(_xlpm.data,(_xlpm.states="New Jersey")+(_xlpm.states="M&amp;A"))))</f>
        <v>81161.490000000005</v>
      </c>
      <c r="H42" s="12" cm="1">
        <f t="array" ref="H42">_xlfn.LET(_xlpm.data,_xlfn.VSTACK('MS:NCA9'!H42),_xlpm.states,_xlfn.VSTACK('MS:NCA9'!$B$2),
SUM(_xlfn._xlws.FILTER(_xlpm.data,(_xlpm.states="New Jersey")+(_xlpm.states="M&amp;A"))))</f>
        <v>96161.49</v>
      </c>
      <c r="I42" s="12" cm="1">
        <f t="array" ref="I42">_xlfn.LET(_xlpm.data,_xlfn.VSTACK('MS:NCA9'!I42),_xlpm.states,_xlfn.VSTACK('MS:NCA9'!$B$2),
SUM(_xlfn._xlws.FILTER(_xlpm.data,(_xlpm.states="New Jersey")+(_xlpm.states="M&amp;A"))))</f>
        <v>96161.49</v>
      </c>
      <c r="J42" s="12" cm="1">
        <f t="array" ref="J42">_xlfn.LET(_xlpm.data,_xlfn.VSTACK('MS:NCA9'!J42),_xlpm.states,_xlfn.VSTACK('MS:NCA9'!$B$2),
SUM(_xlfn._xlws.FILTER(_xlpm.data,(_xlpm.states="New Jersey")+(_xlpm.states="M&amp;A"))))</f>
        <v>96161.49</v>
      </c>
      <c r="K42" s="12" cm="1">
        <f t="array" ref="K42">_xlfn.LET(_xlpm.data,_xlfn.VSTACK('MS:NCA9'!K42),_xlpm.states,_xlfn.VSTACK('MS:NCA9'!$B$2),
SUM(_xlfn._xlws.FILTER(_xlpm.data,(_xlpm.states="New Jersey")+(_xlpm.states="M&amp;A"))))</f>
        <v>111161.49</v>
      </c>
      <c r="L42" s="12" cm="1">
        <f t="array" ref="L42">_xlfn.LET(_xlpm.data,_xlfn.VSTACK('MS:NCA9'!L42),_xlpm.states,_xlfn.VSTACK('MS:NCA9'!$B$2),
SUM(_xlfn._xlws.FILTER(_xlpm.data,(_xlpm.states="New Jersey")+(_xlpm.states="M&amp;A"))))</f>
        <v>111161.49</v>
      </c>
      <c r="M42" s="12" cm="1">
        <f t="array" ref="M42">_xlfn.LET(_xlpm.data,_xlfn.VSTACK('MS:NCA9'!M42),_xlpm.states,_xlfn.VSTACK('MS:NCA9'!$B$2),
SUM(_xlfn._xlws.FILTER(_xlpm.data,(_xlpm.states="New Jersey")+(_xlpm.states="M&amp;A"))))</f>
        <v>126161.49</v>
      </c>
      <c r="N42" s="12" cm="1">
        <f t="array" ref="N42">_xlfn.LET(_xlpm.data,_xlfn.VSTACK('MS:NCA9'!N42),_xlpm.states,_xlfn.VSTACK('MS:NCA9'!$B$2),
SUM(_xlfn._xlws.FILTER(_xlpm.data,(_xlpm.states="New Jersey")+(_xlpm.states="M&amp;A"))))</f>
        <v>126161.49</v>
      </c>
      <c r="O42" s="12" cm="1">
        <f t="array" ref="O42">_xlfn.LET(_xlpm.data,_xlfn.VSTACK('MS:NCA9'!O42),_xlpm.states,_xlfn.VSTACK('MS:NCA9'!$B$2),
SUM(_xlfn._xlws.FILTER(_xlpm.data,(_xlpm.states="New Jersey")+(_xlpm.states="M&amp;A"))))</f>
        <v>141161.49</v>
      </c>
      <c r="P42" s="12" cm="1">
        <f t="array" ref="P42">_xlfn.LET(_xlpm.data,_xlfn.VSTACK('MS:NCA9'!P42),_xlpm.states,_xlfn.VSTACK('MS:NCA9'!$B$2),
SUM(_xlfn._xlws.FILTER(_xlpm.data,(_xlpm.states="New Jersey")+(_xlpm.states="M&amp;A"))))</f>
        <v>141161.49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 cm="1">
        <f t="array" ref="E43">_xlfn.LET(_xlpm.data,_xlfn.VSTACK('MS:NCA9'!E43),_xlpm.states,_xlfn.VSTACK('MS:NCA9'!$B$2),
SUM(_xlfn._xlws.FILTER(_xlpm.data,(_xlpm.states="New Jersey")+(_xlpm.states="M&amp;A"))))</f>
        <v>22061.67</v>
      </c>
      <c r="F43" s="12" cm="1">
        <f t="array" ref="F43">_xlfn.LET(_xlpm.data,_xlfn.VSTACK('MS:NCA9'!F43),_xlpm.states,_xlfn.VSTACK('MS:NCA9'!$B$2),
SUM(_xlfn._xlws.FILTER(_xlpm.data,(_xlpm.states="New Jersey")+(_xlpm.states="M&amp;A"))))</f>
        <v>22061.67</v>
      </c>
      <c r="G43" s="12" cm="1">
        <f t="array" ref="G43">_xlfn.LET(_xlpm.data,_xlfn.VSTACK('MS:NCA9'!G43),_xlpm.states,_xlfn.VSTACK('MS:NCA9'!$B$2),
SUM(_xlfn._xlws.FILTER(_xlpm.data,(_xlpm.states="New Jersey")+(_xlpm.states="M&amp;A"))))</f>
        <v>39461.67</v>
      </c>
      <c r="H43" s="12" cm="1">
        <f t="array" ref="H43">_xlfn.LET(_xlpm.data,_xlfn.VSTACK('MS:NCA9'!H43),_xlpm.states,_xlfn.VSTACK('MS:NCA9'!$B$2),
SUM(_xlfn._xlws.FILTER(_xlpm.data,(_xlpm.states="New Jersey")+(_xlpm.states="M&amp;A"))))</f>
        <v>48161.67</v>
      </c>
      <c r="I43" s="12" cm="1">
        <f t="array" ref="I43">_xlfn.LET(_xlpm.data,_xlfn.VSTACK('MS:NCA9'!I43),_xlpm.states,_xlfn.VSTACK('MS:NCA9'!$B$2),
SUM(_xlfn._xlws.FILTER(_xlpm.data,(_xlpm.states="New Jersey")+(_xlpm.states="M&amp;A"))))</f>
        <v>48161.67</v>
      </c>
      <c r="J43" s="12" cm="1">
        <f t="array" ref="J43">_xlfn.LET(_xlpm.data,_xlfn.VSTACK('MS:NCA9'!J43),_xlpm.states,_xlfn.VSTACK('MS:NCA9'!$B$2),
SUM(_xlfn._xlws.FILTER(_xlpm.data,(_xlpm.states="New Jersey")+(_xlpm.states="M&amp;A"))))</f>
        <v>48161.67</v>
      </c>
      <c r="K43" s="12" cm="1">
        <f t="array" ref="K43">_xlfn.LET(_xlpm.data,_xlfn.VSTACK('MS:NCA9'!K43),_xlpm.states,_xlfn.VSTACK('MS:NCA9'!$B$2),
SUM(_xlfn._xlws.FILTER(_xlpm.data,(_xlpm.states="New Jersey")+(_xlpm.states="M&amp;A"))))</f>
        <v>56861.67</v>
      </c>
      <c r="L43" s="12" cm="1">
        <f t="array" ref="L43">_xlfn.LET(_xlpm.data,_xlfn.VSTACK('MS:NCA9'!L43),_xlpm.states,_xlfn.VSTACK('MS:NCA9'!$B$2),
SUM(_xlfn._xlws.FILTER(_xlpm.data,(_xlpm.states="New Jersey")+(_xlpm.states="M&amp;A"))))</f>
        <v>56861.67</v>
      </c>
      <c r="M43" s="12" cm="1">
        <f t="array" ref="M43">_xlfn.LET(_xlpm.data,_xlfn.VSTACK('MS:NCA9'!M43),_xlpm.states,_xlfn.VSTACK('MS:NCA9'!$B$2),
SUM(_xlfn._xlws.FILTER(_xlpm.data,(_xlpm.states="New Jersey")+(_xlpm.states="M&amp;A"))))</f>
        <v>65561.67</v>
      </c>
      <c r="N43" s="12" cm="1">
        <f t="array" ref="N43">_xlfn.LET(_xlpm.data,_xlfn.VSTACK('MS:NCA9'!N43),_xlpm.states,_xlfn.VSTACK('MS:NCA9'!$B$2),
SUM(_xlfn._xlws.FILTER(_xlpm.data,(_xlpm.states="New Jersey")+(_xlpm.states="M&amp;A"))))</f>
        <v>65561.67</v>
      </c>
      <c r="O43" s="12" cm="1">
        <f t="array" ref="O43">_xlfn.LET(_xlpm.data,_xlfn.VSTACK('MS:NCA9'!O43),_xlpm.states,_xlfn.VSTACK('MS:NCA9'!$B$2),
SUM(_xlfn._xlws.FILTER(_xlpm.data,(_xlpm.states="New Jersey")+(_xlpm.states="M&amp;A"))))</f>
        <v>74261.67</v>
      </c>
      <c r="P43" s="12" cm="1">
        <f t="array" ref="P43">_xlfn.LET(_xlpm.data,_xlfn.VSTACK('MS:NCA9'!P43),_xlpm.states,_xlfn.VSTACK('MS:NCA9'!$B$2),
SUM(_xlfn._xlws.FILTER(_xlpm.data,(_xlpm.states="New Jersey")+(_xlpm.states="M&amp;A"))))</f>
        <v>74261.67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 cm="1">
        <f t="array" ref="E44">_xlfn.LET(_xlpm.data,_xlfn.VSTACK('MS:NCA9'!E44),_xlpm.states,_xlfn.VSTACK('MS:NCA9'!$B$2),
SUM(_xlfn._xlws.FILTER(_xlpm.data,(_xlpm.states="New Jersey")+(_xlpm.states="M&amp;A"))))</f>
        <v>4235.3357999999998</v>
      </c>
      <c r="F44" s="12" cm="1">
        <f t="array" ref="F44">_xlfn.LET(_xlpm.data,_xlfn.VSTACK('MS:NCA9'!F44),_xlpm.states,_xlfn.VSTACK('MS:NCA9'!$B$2),
SUM(_xlfn._xlws.FILTER(_xlpm.data,(_xlpm.states="New Jersey")+(_xlpm.states="M&amp;A"))))</f>
        <v>4346.5259999999998</v>
      </c>
      <c r="G44" s="12" cm="1">
        <f t="array" ref="G44">_xlfn.LET(_xlpm.data,_xlfn.VSTACK('MS:NCA9'!G44),_xlpm.states,_xlfn.VSTACK('MS:NCA9'!$B$2),
SUM(_xlfn._xlws.FILTER(_xlpm.data,(_xlpm.states="New Jersey")+(_xlpm.states="M&amp;A"))))</f>
        <v>5198.9841999999999</v>
      </c>
      <c r="H44" s="12" cm="1">
        <f t="array" ref="H44">_xlfn.LET(_xlpm.data,_xlfn.VSTACK('MS:NCA9'!H44),_xlpm.states,_xlfn.VSTACK('MS:NCA9'!$B$2),
SUM(_xlfn._xlws.FILTER(_xlpm.data,(_xlpm.states="New Jersey")+(_xlpm.states="M&amp;A"))))</f>
        <v>6819.6656000000003</v>
      </c>
      <c r="I44" s="12" cm="1">
        <f t="array" ref="I44">_xlfn.LET(_xlpm.data,_xlfn.VSTACK('MS:NCA9'!I44),_xlpm.states,_xlfn.VSTACK('MS:NCA9'!$B$2),
SUM(_xlfn._xlws.FILTER(_xlpm.data,(_xlpm.states="New Jersey")+(_xlpm.states="M&amp;A"))))</f>
        <v>8436.9776000000002</v>
      </c>
      <c r="J44" s="12" cm="1">
        <f t="array" ref="J44">_xlfn.LET(_xlpm.data,_xlfn.VSTACK('MS:NCA9'!J44),_xlpm.states,_xlfn.VSTACK('MS:NCA9'!$B$2),
SUM(_xlfn._xlws.FILTER(_xlpm.data,(_xlpm.states="New Jersey")+(_xlpm.states="M&amp;A"))))</f>
        <v>9104.1188000000002</v>
      </c>
      <c r="K44" s="12" cm="1">
        <f t="array" ref="K44">_xlfn.LET(_xlpm.data,_xlfn.VSTACK('MS:NCA9'!K44),_xlpm.states,_xlfn.VSTACK('MS:NCA9'!$B$2),
SUM(_xlfn._xlws.FILTER(_xlpm.data,(_xlpm.states="New Jersey")+(_xlpm.states="M&amp;A"))))</f>
        <v>9683.6556</v>
      </c>
      <c r="L44" s="12" cm="1">
        <f t="array" ref="L44">_xlfn.LET(_xlpm.data,_xlfn.VSTACK('MS:NCA9'!L44),_xlpm.states,_xlfn.VSTACK('MS:NCA9'!$B$2),
SUM(_xlfn._xlws.FILTER(_xlpm.data,(_xlpm.states="New Jersey")+(_xlpm.states="M&amp;A"))))</f>
        <v>10526.0056</v>
      </c>
      <c r="M44" s="12" cm="1">
        <f t="array" ref="M44">_xlfn.LET(_xlpm.data,_xlfn.VSTACK('MS:NCA9'!M44),_xlpm.states,_xlfn.VSTACK('MS:NCA9'!$B$2),
SUM(_xlfn._xlws.FILTER(_xlpm.data,(_xlpm.states="New Jersey")+(_xlpm.states="M&amp;A"))))</f>
        <v>11122.389400000002</v>
      </c>
      <c r="N44" s="12" cm="1">
        <f t="array" ref="N44">_xlfn.LET(_xlpm.data,_xlfn.VSTACK('MS:NCA9'!N44),_xlpm.states,_xlfn.VSTACK('MS:NCA9'!$B$2),
SUM(_xlfn._xlws.FILTER(_xlpm.data,(_xlpm.states="New Jersey")+(_xlpm.states="M&amp;A"))))</f>
        <v>12328.634600000001</v>
      </c>
      <c r="O44" s="12" cm="1">
        <f t="array" ref="O44">_xlfn.LET(_xlpm.data,_xlfn.VSTACK('MS:NCA9'!O44),_xlpm.states,_xlfn.VSTACK('MS:NCA9'!$B$2),
SUM(_xlfn._xlws.FILTER(_xlpm.data,(_xlpm.states="New Jersey")+(_xlpm.states="M&amp;A"))))</f>
        <v>13831.387000000001</v>
      </c>
      <c r="P44" s="12" cm="1">
        <f t="array" ref="P44">_xlfn.LET(_xlpm.data,_xlfn.VSTACK('MS:NCA9'!P44),_xlpm.states,_xlfn.VSTACK('MS:NCA9'!$B$2),
SUM(_xlfn._xlws.FILTER(_xlpm.data,(_xlpm.states="New Jersey")+(_xlpm.states="M&amp;A"))))</f>
        <v>15212.841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37</v>
      </c>
      <c r="E45" s="12" cm="1">
        <f t="array" ref="E45">_xlfn.LET(_xlpm.data,_xlfn.VSTACK('MS:NCA9'!E45),_xlpm.states,_xlfn.VSTACK('MS:NCA9'!$B$2),
SUM(_xlfn._xlws.FILTER(_xlpm.data,(_xlpm.states="New Jersey")+(_xlpm.states="M&amp;A"))))</f>
        <v>22500</v>
      </c>
      <c r="F45" s="12" cm="1">
        <f t="array" ref="F45">_xlfn.LET(_xlpm.data,_xlfn.VSTACK('MS:NCA9'!F45),_xlpm.states,_xlfn.VSTACK('MS:NCA9'!$B$2),
SUM(_xlfn._xlws.FILTER(_xlpm.data,(_xlpm.states="New Jersey")+(_xlpm.states="M&amp;A"))))</f>
        <v>22500</v>
      </c>
      <c r="G45" s="12" cm="1">
        <f t="array" ref="G45">_xlfn.LET(_xlpm.data,_xlfn.VSTACK('MS:NCA9'!G45),_xlpm.states,_xlfn.VSTACK('MS:NCA9'!$B$2),
SUM(_xlfn._xlws.FILTER(_xlpm.data,(_xlpm.states="New Jersey")+(_xlpm.states="M&amp;A"))))</f>
        <v>37500</v>
      </c>
      <c r="H45" s="12" cm="1">
        <f t="array" ref="H45">_xlfn.LET(_xlpm.data,_xlfn.VSTACK('MS:NCA9'!H45),_xlpm.states,_xlfn.VSTACK('MS:NCA9'!$B$2),
SUM(_xlfn._xlws.FILTER(_xlpm.data,(_xlpm.states="New Jersey")+(_xlpm.states="M&amp;A"))))</f>
        <v>45000</v>
      </c>
      <c r="I45" s="12" cm="1">
        <f t="array" ref="I45">_xlfn.LET(_xlpm.data,_xlfn.VSTACK('MS:NCA9'!I45),_xlpm.states,_xlfn.VSTACK('MS:NCA9'!$B$2),
SUM(_xlfn._xlws.FILTER(_xlpm.data,(_xlpm.states="New Jersey")+(_xlpm.states="M&amp;A"))))</f>
        <v>45000</v>
      </c>
      <c r="J45" s="12" cm="1">
        <f t="array" ref="J45">_xlfn.LET(_xlpm.data,_xlfn.VSTACK('MS:NCA9'!J45),_xlpm.states,_xlfn.VSTACK('MS:NCA9'!$B$2),
SUM(_xlfn._xlws.FILTER(_xlpm.data,(_xlpm.states="New Jersey")+(_xlpm.states="M&amp;A"))))</f>
        <v>45000</v>
      </c>
      <c r="K45" s="12" cm="1">
        <f t="array" ref="K45">_xlfn.LET(_xlpm.data,_xlfn.VSTACK('MS:NCA9'!K45),_xlpm.states,_xlfn.VSTACK('MS:NCA9'!$B$2),
SUM(_xlfn._xlws.FILTER(_xlpm.data,(_xlpm.states="New Jersey")+(_xlpm.states="M&amp;A"))))</f>
        <v>52500</v>
      </c>
      <c r="L45" s="12" cm="1">
        <f t="array" ref="L45">_xlfn.LET(_xlpm.data,_xlfn.VSTACK('MS:NCA9'!L45),_xlpm.states,_xlfn.VSTACK('MS:NCA9'!$B$2),
SUM(_xlfn._xlws.FILTER(_xlpm.data,(_xlpm.states="New Jersey")+(_xlpm.states="M&amp;A"))))</f>
        <v>52500</v>
      </c>
      <c r="M45" s="12" cm="1">
        <f t="array" ref="M45">_xlfn.LET(_xlpm.data,_xlfn.VSTACK('MS:NCA9'!M45),_xlpm.states,_xlfn.VSTACK('MS:NCA9'!$B$2),
SUM(_xlfn._xlws.FILTER(_xlpm.data,(_xlpm.states="New Jersey")+(_xlpm.states="M&amp;A"))))</f>
        <v>60000</v>
      </c>
      <c r="N45" s="12" cm="1">
        <f t="array" ref="N45">_xlfn.LET(_xlpm.data,_xlfn.VSTACK('MS:NCA9'!N45),_xlpm.states,_xlfn.VSTACK('MS:NCA9'!$B$2),
SUM(_xlfn._xlws.FILTER(_xlpm.data,(_xlpm.states="New Jersey")+(_xlpm.states="M&amp;A"))))</f>
        <v>60000</v>
      </c>
      <c r="O45" s="12" cm="1">
        <f t="array" ref="O45">_xlfn.LET(_xlpm.data,_xlfn.VSTACK('MS:NCA9'!O45),_xlpm.states,_xlfn.VSTACK('MS:NCA9'!$B$2),
SUM(_xlfn._xlws.FILTER(_xlpm.data,(_xlpm.states="New Jersey")+(_xlpm.states="M&amp;A"))))</f>
        <v>67500</v>
      </c>
      <c r="P45" s="12" cm="1">
        <f t="array" ref="P45">_xlfn.LET(_xlpm.data,_xlfn.VSTACK('MS:NCA9'!P45),_xlpm.states,_xlfn.VSTACK('MS:NCA9'!$B$2),
SUM(_xlfn._xlws.FILTER(_xlpm.data,(_xlpm.states="New Jersey")+(_xlpm.states="M&amp;A"))))</f>
        <v>67500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40</v>
      </c>
      <c r="E46" s="12" cm="1">
        <f t="array" ref="E46">_xlfn.LET(_xlpm.data,_xlfn.VSTACK('MS:NCA9'!E46),_xlpm.states,_xlfn.VSTACK('MS:NCA9'!$B$2),
SUM(_xlfn._xlws.FILTER(_xlpm.data,(_xlpm.states="New Jersey")+(_xlpm.states="M&amp;A"))))</f>
        <v>34664.5</v>
      </c>
      <c r="F46" s="12" cm="1">
        <f t="array" ref="F46">_xlfn.LET(_xlpm.data,_xlfn.VSTACK('MS:NCA9'!F46),_xlpm.states,_xlfn.VSTACK('MS:NCA9'!$B$2),
SUM(_xlfn._xlws.FILTER(_xlpm.data,(_xlpm.states="New Jersey")+(_xlpm.states="M&amp;A"))))</f>
        <v>39478.5</v>
      </c>
      <c r="G46" s="12" cm="1">
        <f t="array" ref="G46">_xlfn.LET(_xlpm.data,_xlfn.VSTACK('MS:NCA9'!G46),_xlpm.states,_xlfn.VSTACK('MS:NCA9'!$B$2),
SUM(_xlfn._xlws.FILTER(_xlpm.data,(_xlpm.states="New Jersey")+(_xlpm.states="M&amp;A"))))</f>
        <v>50961.999999999985</v>
      </c>
      <c r="H46" s="12" cm="1">
        <f t="array" ref="H46">_xlfn.LET(_xlpm.data,_xlfn.VSTACK('MS:NCA9'!H46),_xlpm.states,_xlfn.VSTACK('MS:NCA9'!$B$2),
SUM(_xlfn._xlws.FILTER(_xlpm.data,(_xlpm.states="New Jersey")+(_xlpm.states="M&amp;A"))))</f>
        <v>64702.5</v>
      </c>
      <c r="I46" s="12" cm="1">
        <f t="array" ref="I46">_xlfn.LET(_xlpm.data,_xlfn.VSTACK('MS:NCA9'!I46),_xlpm.states,_xlfn.VSTACK('MS:NCA9'!$B$2),
SUM(_xlfn._xlws.FILTER(_xlpm.data,(_xlpm.states="New Jersey")+(_xlpm.states="M&amp;A"))))</f>
        <v>75153</v>
      </c>
      <c r="J46" s="12" cm="1">
        <f t="array" ref="J46">_xlfn.LET(_xlpm.data,_xlfn.VSTACK('MS:NCA9'!J46),_xlpm.states,_xlfn.VSTACK('MS:NCA9'!$B$2),
SUM(_xlfn._xlws.FILTER(_xlpm.data,(_xlpm.states="New Jersey")+(_xlpm.states="M&amp;A"))))</f>
        <v>83344.5</v>
      </c>
      <c r="K46" s="12" cm="1">
        <f t="array" ref="K46">_xlfn.LET(_xlpm.data,_xlfn.VSTACK('MS:NCA9'!K46),_xlpm.states,_xlfn.VSTACK('MS:NCA9'!$B$2),
SUM(_xlfn._xlws.FILTER(_xlpm.data,(_xlpm.states="New Jersey")+(_xlpm.states="M&amp;A"))))</f>
        <v>94134.5</v>
      </c>
      <c r="L46" s="12" cm="1">
        <f t="array" ref="L46">_xlfn.LET(_xlpm.data,_xlfn.VSTACK('MS:NCA9'!L46),_xlpm.states,_xlfn.VSTACK('MS:NCA9'!$B$2),
SUM(_xlfn._xlws.FILTER(_xlpm.data,(_xlpm.states="New Jersey")+(_xlpm.states="M&amp;A"))))</f>
        <v>103297.5</v>
      </c>
      <c r="M46" s="12" cm="1">
        <f t="array" ref="M46">_xlfn.LET(_xlpm.data,_xlfn.VSTACK('MS:NCA9'!M46),_xlpm.states,_xlfn.VSTACK('MS:NCA9'!$B$2),
SUM(_xlfn._xlws.FILTER(_xlpm.data,(_xlpm.states="New Jersey")+(_xlpm.states="M&amp;A"))))</f>
        <v>115607.5</v>
      </c>
      <c r="N46" s="12" cm="1">
        <f t="array" ref="N46">_xlfn.LET(_xlpm.data,_xlfn.VSTACK('MS:NCA9'!N46),_xlpm.states,_xlfn.VSTACK('MS:NCA9'!$B$2),
SUM(_xlfn._xlws.FILTER(_xlpm.data,(_xlpm.states="New Jersey")+(_xlpm.states="M&amp;A"))))</f>
        <v>128435</v>
      </c>
      <c r="O46" s="12" cm="1">
        <f t="array" ref="O46">_xlfn.LET(_xlpm.data,_xlfn.VSTACK('MS:NCA9'!O46),_xlpm.states,_xlfn.VSTACK('MS:NCA9'!$B$2),
SUM(_xlfn._xlws.FILTER(_xlpm.data,(_xlpm.states="New Jersey")+(_xlpm.states="M&amp;A"))))</f>
        <v>145257.5</v>
      </c>
      <c r="P46" s="12" cm="1">
        <f t="array" ref="P46">_xlfn.LET(_xlpm.data,_xlfn.VSTACK('MS:NCA9'!P46),_xlpm.states,_xlfn.VSTACK('MS:NCA9'!$B$2),
SUM(_xlfn._xlws.FILTER(_xlpm.data,(_xlpm.states="New Jersey")+(_xlpm.states="M&amp;A"))))</f>
        <v>158763.5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42</v>
      </c>
      <c r="E47" s="12" cm="1">
        <f t="array" ref="E47">_xlfn.LET(_xlpm.data,_xlfn.VSTACK('MS:NCA9'!E47),_xlpm.states,_xlfn.VSTACK('MS:NCA9'!$B$2),
SUM(_xlfn._xlws.FILTER(_xlpm.data,(_xlpm.states="New Jersey")+(_xlpm.states="M&amp;A"))))</f>
        <v>18000</v>
      </c>
      <c r="F47" s="12" cm="1">
        <f t="array" ref="F47">_xlfn.LET(_xlpm.data,_xlfn.VSTACK('MS:NCA9'!F47),_xlpm.states,_xlfn.VSTACK('MS:NCA9'!$B$2),
SUM(_xlfn._xlws.FILTER(_xlpm.data,(_xlpm.states="New Jersey")+(_xlpm.states="M&amp;A"))))</f>
        <v>18000</v>
      </c>
      <c r="G47" s="12" cm="1">
        <f t="array" ref="G47">_xlfn.LET(_xlpm.data,_xlfn.VSTACK('MS:NCA9'!G47),_xlpm.states,_xlfn.VSTACK('MS:NCA9'!$B$2),
SUM(_xlfn._xlws.FILTER(_xlpm.data,(_xlpm.states="New Jersey")+(_xlpm.states="M&amp;A"))))</f>
        <v>30000</v>
      </c>
      <c r="H47" s="12" cm="1">
        <f t="array" ref="H47">_xlfn.LET(_xlpm.data,_xlfn.VSTACK('MS:NCA9'!H47),_xlpm.states,_xlfn.VSTACK('MS:NCA9'!$B$2),
SUM(_xlfn._xlws.FILTER(_xlpm.data,(_xlpm.states="New Jersey")+(_xlpm.states="M&amp;A"))))</f>
        <v>36000</v>
      </c>
      <c r="I47" s="12" cm="1">
        <f t="array" ref="I47">_xlfn.LET(_xlpm.data,_xlfn.VSTACK('MS:NCA9'!I47),_xlpm.states,_xlfn.VSTACK('MS:NCA9'!$B$2),
SUM(_xlfn._xlws.FILTER(_xlpm.data,(_xlpm.states="New Jersey")+(_xlpm.states="M&amp;A"))))</f>
        <v>36000</v>
      </c>
      <c r="J47" s="12" cm="1">
        <f t="array" ref="J47">_xlfn.LET(_xlpm.data,_xlfn.VSTACK('MS:NCA9'!J47),_xlpm.states,_xlfn.VSTACK('MS:NCA9'!$B$2),
SUM(_xlfn._xlws.FILTER(_xlpm.data,(_xlpm.states="New Jersey")+(_xlpm.states="M&amp;A"))))</f>
        <v>36000</v>
      </c>
      <c r="K47" s="12" cm="1">
        <f t="array" ref="K47">_xlfn.LET(_xlpm.data,_xlfn.VSTACK('MS:NCA9'!K47),_xlpm.states,_xlfn.VSTACK('MS:NCA9'!$B$2),
SUM(_xlfn._xlws.FILTER(_xlpm.data,(_xlpm.states="New Jersey")+(_xlpm.states="M&amp;A"))))</f>
        <v>42000</v>
      </c>
      <c r="L47" s="12" cm="1">
        <f t="array" ref="L47">_xlfn.LET(_xlpm.data,_xlfn.VSTACK('MS:NCA9'!L47),_xlpm.states,_xlfn.VSTACK('MS:NCA9'!$B$2),
SUM(_xlfn._xlws.FILTER(_xlpm.data,(_xlpm.states="New Jersey")+(_xlpm.states="M&amp;A"))))</f>
        <v>42000</v>
      </c>
      <c r="M47" s="12" cm="1">
        <f t="array" ref="M47">_xlfn.LET(_xlpm.data,_xlfn.VSTACK('MS:NCA9'!M47),_xlpm.states,_xlfn.VSTACK('MS:NCA9'!$B$2),
SUM(_xlfn._xlws.FILTER(_xlpm.data,(_xlpm.states="New Jersey")+(_xlpm.states="M&amp;A"))))</f>
        <v>48000</v>
      </c>
      <c r="N47" s="12" cm="1">
        <f t="array" ref="N47">_xlfn.LET(_xlpm.data,_xlfn.VSTACK('MS:NCA9'!N47),_xlpm.states,_xlfn.VSTACK('MS:NCA9'!$B$2),
SUM(_xlfn._xlws.FILTER(_xlpm.data,(_xlpm.states="New Jersey")+(_xlpm.states="M&amp;A"))))</f>
        <v>48000</v>
      </c>
      <c r="O47" s="12" cm="1">
        <f t="array" ref="O47">_xlfn.LET(_xlpm.data,_xlfn.VSTACK('MS:NCA9'!O47),_xlpm.states,_xlfn.VSTACK('MS:NCA9'!$B$2),
SUM(_xlfn._xlws.FILTER(_xlpm.data,(_xlpm.states="New Jersey")+(_xlpm.states="M&amp;A"))))</f>
        <v>54000</v>
      </c>
      <c r="P47" s="12" cm="1">
        <f t="array" ref="P47">_xlfn.LET(_xlpm.data,_xlfn.VSTACK('MS:NCA9'!P47),_xlpm.states,_xlfn.VSTACK('MS:NCA9'!$B$2),
SUM(_xlfn._xlws.FILTER(_xlpm.data,(_xlpm.states="New Jersey")+(_xlpm.states="M&amp;A"))))</f>
        <v>54000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43</v>
      </c>
      <c r="E48" s="12" cm="1">
        <f t="array" ref="E48">_xlfn.LET(_xlpm.data,_xlfn.VSTACK('MS:NCA9'!E48),_xlpm.states,_xlfn.VSTACK('MS:NCA9'!$B$2),
SUM(_xlfn._xlws.FILTER(_xlpm.data,(_xlpm.states="New Jersey")+(_xlpm.states="M&amp;A"))))</f>
        <v>280234.46999999997</v>
      </c>
      <c r="F48" s="12" cm="1">
        <f t="array" ref="F48">_xlfn.LET(_xlpm.data,_xlfn.VSTACK('MS:NCA9'!F48),_xlpm.states,_xlfn.VSTACK('MS:NCA9'!$B$2),
SUM(_xlfn._xlws.FILTER(_xlpm.data,(_xlpm.states="New Jersey")+(_xlpm.states="M&amp;A"))))</f>
        <v>151234.47</v>
      </c>
      <c r="G48" s="12" cm="1">
        <f t="array" ref="G48">_xlfn.LET(_xlpm.data,_xlfn.VSTACK('MS:NCA9'!G48),_xlpm.states,_xlfn.VSTACK('MS:NCA9'!$B$2),
SUM(_xlfn._xlws.FILTER(_xlpm.data,(_xlpm.states="New Jersey")+(_xlpm.states="M&amp;A"))))</f>
        <v>0</v>
      </c>
      <c r="H48" s="12" cm="1">
        <f t="array" ref="H48">_xlfn.LET(_xlpm.data,_xlfn.VSTACK('MS:NCA9'!H48),_xlpm.states,_xlfn.VSTACK('MS:NCA9'!$B$2),
SUM(_xlfn._xlws.FILTER(_xlpm.data,(_xlpm.states="New Jersey")+(_xlpm.states="M&amp;A"))))</f>
        <v>0</v>
      </c>
      <c r="I48" s="12" cm="1">
        <f t="array" ref="I48">_xlfn.LET(_xlpm.data,_xlfn.VSTACK('MS:NCA9'!I48),_xlpm.states,_xlfn.VSTACK('MS:NCA9'!$B$2),
SUM(_xlfn._xlws.FILTER(_xlpm.data,(_xlpm.states="New Jersey")+(_xlpm.states="M&amp;A"))))</f>
        <v>151234.47</v>
      </c>
      <c r="J48" s="12" cm="1">
        <f t="array" ref="J48">_xlfn.LET(_xlpm.data,_xlfn.VSTACK('MS:NCA9'!J48),_xlpm.states,_xlfn.VSTACK('MS:NCA9'!$B$2),
SUM(_xlfn._xlws.FILTER(_xlpm.data,(_xlpm.states="New Jersey")+(_xlpm.states="M&amp;A"))))</f>
        <v>0</v>
      </c>
      <c r="K48" s="12" cm="1">
        <f t="array" ref="K48">_xlfn.LET(_xlpm.data,_xlfn.VSTACK('MS:NCA9'!K48),_xlpm.states,_xlfn.VSTACK('MS:NCA9'!$B$2),
SUM(_xlfn._xlws.FILTER(_xlpm.data,(_xlpm.states="New Jersey")+(_xlpm.states="M&amp;A"))))</f>
        <v>151234.47</v>
      </c>
      <c r="L48" s="12" cm="1">
        <f t="array" ref="L48">_xlfn.LET(_xlpm.data,_xlfn.VSTACK('MS:NCA9'!L48),_xlpm.states,_xlfn.VSTACK('MS:NCA9'!$B$2),
SUM(_xlfn._xlws.FILTER(_xlpm.data,(_xlpm.states="New Jersey")+(_xlpm.states="M&amp;A"))))</f>
        <v>0</v>
      </c>
      <c r="M48" s="12" cm="1">
        <f t="array" ref="M48">_xlfn.LET(_xlpm.data,_xlfn.VSTACK('MS:NCA9'!M48),_xlpm.states,_xlfn.VSTACK('MS:NCA9'!$B$2),
SUM(_xlfn._xlws.FILTER(_xlpm.data,(_xlpm.states="New Jersey")+(_xlpm.states="M&amp;A"))))</f>
        <v>151234.47</v>
      </c>
      <c r="N48" s="12" cm="1">
        <f t="array" ref="N48">_xlfn.LET(_xlpm.data,_xlfn.VSTACK('MS:NCA9'!N48),_xlpm.states,_xlfn.VSTACK('MS:NCA9'!$B$2),
SUM(_xlfn._xlws.FILTER(_xlpm.data,(_xlpm.states="New Jersey")+(_xlpm.states="M&amp;A"))))</f>
        <v>0</v>
      </c>
      <c r="O48" s="12" cm="1">
        <f t="array" ref="O48">_xlfn.LET(_xlpm.data,_xlfn.VSTACK('MS:NCA9'!O48),_xlpm.states,_xlfn.VSTACK('MS:NCA9'!$B$2),
SUM(_xlfn._xlws.FILTER(_xlpm.data,(_xlpm.states="New Jersey")+(_xlpm.states="M&amp;A"))))</f>
        <v>0</v>
      </c>
      <c r="P48" s="12" cm="1">
        <f t="array" ref="P48">_xlfn.LET(_xlpm.data,_xlfn.VSTACK('MS:NCA9'!P48),_xlpm.states,_xlfn.VSTACK('MS:NCA9'!$B$2),
SUM(_xlfn._xlws.FILTER(_xlpm.data,(_xlpm.states="New Jersey")+(_xlpm.states="M&amp;A"))))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44</v>
      </c>
      <c r="E49" s="12" cm="1">
        <f t="array" ref="E49">_xlfn.LET(_xlpm.data,_xlfn.VSTACK('MS:NCA9'!E49),_xlpm.states,_xlfn.VSTACK('MS:NCA9'!$B$2),
SUM(_xlfn._xlws.FILTER(_xlpm.data,(_xlpm.states="New Jersey")+(_xlpm.states="M&amp;A"))))</f>
        <v>203994.11360525663</v>
      </c>
      <c r="F49" s="12" cm="1">
        <f t="array" ref="F49">_xlfn.LET(_xlpm.data,_xlfn.VSTACK('MS:NCA9'!F49),_xlpm.states,_xlfn.VSTACK('MS:NCA9'!$B$2),
SUM(_xlfn._xlws.FILTER(_xlpm.data,(_xlpm.states="New Jersey")+(_xlpm.states="M&amp;A"))))</f>
        <v>228989.35792440444</v>
      </c>
      <c r="G49" s="12" cm="1">
        <f t="array" ref="G49">_xlfn.LET(_xlpm.data,_xlfn.VSTACK('MS:NCA9'!G49),_xlpm.states,_xlfn.VSTACK('MS:NCA9'!$B$2),
SUM(_xlfn._xlws.FILTER(_xlpm.data,(_xlpm.states="New Jersey")+(_xlpm.states="M&amp;A"))))</f>
        <v>267058.02230076655</v>
      </c>
      <c r="H49" s="12" cm="1">
        <f t="array" ref="H49">_xlfn.LET(_xlpm.data,_xlfn.VSTACK('MS:NCA9'!H49),_xlpm.states,_xlfn.VSTACK('MS:NCA9'!$B$2),
SUM(_xlfn._xlws.FILTER(_xlpm.data,(_xlpm.states="New Jersey")+(_xlpm.states="M&amp;A"))))</f>
        <v>306618.11162889254</v>
      </c>
      <c r="I49" s="12" cm="1">
        <f t="array" ref="I49">_xlfn.LET(_xlpm.data,_xlfn.VSTACK('MS:NCA9'!I49),_xlpm.states,_xlfn.VSTACK('MS:NCA9'!$B$2),
SUM(_xlfn._xlws.FILTER(_xlpm.data,(_xlpm.states="New Jersey")+(_xlpm.states="M&amp;A"))))</f>
        <v>332846.33405744459</v>
      </c>
      <c r="J49" s="12" cm="1">
        <f t="array" ref="J49">_xlfn.LET(_xlpm.data,_xlfn.VSTACK('MS:NCA9'!J49),_xlpm.states,_xlfn.VSTACK('MS:NCA9'!$B$2),
SUM(_xlfn._xlws.FILTER(_xlpm.data,(_xlpm.states="New Jersey")+(_xlpm.states="M&amp;A"))))</f>
        <v>354112.91682811722</v>
      </c>
      <c r="K49" s="12" cm="1">
        <f t="array" ref="K49">_xlfn.LET(_xlpm.data,_xlfn.VSTACK('MS:NCA9'!K49),_xlpm.states,_xlfn.VSTACK('MS:NCA9'!$B$2),
SUM(_xlfn._xlws.FILTER(_xlpm.data,(_xlpm.states="New Jersey")+(_xlpm.states="M&amp;A"))))</f>
        <v>374161.16259736277</v>
      </c>
      <c r="L49" s="12" cm="1">
        <f t="array" ref="L49">_xlfn.LET(_xlpm.data,_xlfn.VSTACK('MS:NCA9'!L49),_xlpm.states,_xlfn.VSTACK('MS:NCA9'!$B$2),
SUM(_xlfn._xlws.FILTER(_xlpm.data,(_xlpm.states="New Jersey")+(_xlpm.states="M&amp;A"))))</f>
        <v>396428.71401001647</v>
      </c>
      <c r="M49" s="12" cm="1">
        <f t="array" ref="M49">_xlfn.LET(_xlpm.data,_xlfn.VSTACK('MS:NCA9'!M49),_xlpm.states,_xlfn.VSTACK('MS:NCA9'!$B$2),
SUM(_xlfn._xlws.FILTER(_xlpm.data,(_xlpm.states="New Jersey")+(_xlpm.states="M&amp;A"))))</f>
        <v>422218.46078981232</v>
      </c>
      <c r="N49" s="12" cm="1">
        <f t="array" ref="N49">_xlfn.LET(_xlpm.data,_xlfn.VSTACK('MS:NCA9'!N49),_xlpm.states,_xlfn.VSTACK('MS:NCA9'!$B$2),
SUM(_xlfn._xlws.FILTER(_xlpm.data,(_xlpm.states="New Jersey")+(_xlpm.states="M&amp;A"))))</f>
        <v>444073.25089884805</v>
      </c>
      <c r="O49" s="12" cm="1">
        <f t="array" ref="O49">_xlfn.LET(_xlpm.data,_xlfn.VSTACK('MS:NCA9'!O49),_xlpm.states,_xlfn.VSTACK('MS:NCA9'!$B$2),
SUM(_xlfn._xlws.FILTER(_xlpm.data,(_xlpm.states="New Jersey")+(_xlpm.states="M&amp;A"))))</f>
        <v>468244.56656866858</v>
      </c>
      <c r="P49" s="12" cm="1">
        <f t="array" ref="P49">_xlfn.LET(_xlpm.data,_xlfn.VSTACK('MS:NCA9'!P49),_xlpm.states,_xlfn.VSTACK('MS:NCA9'!$B$2),
SUM(_xlfn._xlws.FILTER(_xlpm.data,(_xlpm.states="New Jersey")+(_xlpm.states="M&amp;A"))))</f>
        <v>490174.31971602881</v>
      </c>
      <c r="Q49" s="12">
        <f>SUM('MDA1:NCA9'!Q49)</f>
        <v>895041.79931503895</v>
      </c>
      <c r="R49" s="12">
        <f>SUM('MDA1:NCA9'!R49)</f>
        <v>910668.36856786034</v>
      </c>
      <c r="S49" s="12">
        <f>SUM('MDA1:NCA9'!S49)</f>
        <v>927466.93051464309</v>
      </c>
      <c r="T49" s="12">
        <f>SUM('MDA1:NCA9'!T49)</f>
        <v>944656.15669274668</v>
      </c>
      <c r="U49" s="12">
        <f>SUM('MDA1:NCA9'!U49)</f>
        <v>958720.06902028539</v>
      </c>
      <c r="V49" s="12">
        <f>SUM('MDA1:NCA9'!V49)</f>
        <v>972002.65288518334</v>
      </c>
      <c r="W49" s="12">
        <f>SUM('MDA1:NCA9'!W49)</f>
        <v>987238.557906684</v>
      </c>
      <c r="X49" s="12">
        <f>SUM('MDA1:NCA9'!X49)</f>
        <v>1002865.1271595053</v>
      </c>
      <c r="Y49" s="12">
        <f>SUM('MDA1:NCA9'!Y49)</f>
        <v>1016147.7110244035</v>
      </c>
      <c r="Z49" s="12">
        <f>SUM('MDA1:NCA9'!Z49)</f>
        <v>1030992.9518145833</v>
      </c>
      <c r="AA49" s="12">
        <f>SUM('MDA1:NCA9'!AA49)</f>
        <v>1045838.192604763</v>
      </c>
      <c r="AB49" s="12">
        <f>SUM('MDA1:NCA9'!AB49)</f>
        <v>1059511.440700982</v>
      </c>
      <c r="AC49" s="12">
        <f>SUM('MDA1:NCA9'!AC49)</f>
        <v>1177350.138964657</v>
      </c>
      <c r="AD49" s="12">
        <f>SUM('MDA1:NCA9'!AD49)</f>
        <v>1191101.5199071399</v>
      </c>
      <c r="AE49" s="12">
        <f>SUM('MDA1:NCA9'!AE49)</f>
        <v>1203993.4395407173</v>
      </c>
      <c r="AF49" s="12">
        <f>SUM('MDA1:NCA9'!AF49)</f>
        <v>1216025.8978653899</v>
      </c>
      <c r="AG49" s="12">
        <f>SUM('MDA1:NCA9'!AG49)</f>
        <v>1227198.8948811567</v>
      </c>
      <c r="AH49" s="12">
        <f>SUM('MDA1:NCA9'!AH49)</f>
        <v>1240950.2758236397</v>
      </c>
      <c r="AI49" s="12">
        <f>SUM('MDA1:NCA9'!AI49)</f>
        <v>1257280.040692837</v>
      </c>
      <c r="AJ49" s="12">
        <f>SUM('MDA1:NCA9'!AJ49)</f>
        <v>1273180.074907583</v>
      </c>
      <c r="AK49" s="12">
        <f>SUM('MDA1:NCA9'!AK49)</f>
        <v>1288650.3784678755</v>
      </c>
      <c r="AL49" s="12">
        <f>SUM('MDA1:NCA9'!AL49)</f>
        <v>1303261.2207192646</v>
      </c>
      <c r="AM49" s="12">
        <f>SUM('MDA1:NCA9'!AM49)</f>
        <v>1319590.9855884628</v>
      </c>
      <c r="AN49" s="12">
        <f>SUM('MDA1:NCA9'!AN49)</f>
        <v>1334631.5584943036</v>
      </c>
    </row>
    <row r="50" spans="2:40" x14ac:dyDescent="0.25">
      <c r="B50" s="1" t="s">
        <v>332</v>
      </c>
      <c r="E50" s="13">
        <f>SUM(E40:E49)</f>
        <v>1494368.4846174018</v>
      </c>
      <c r="F50" s="13">
        <f t="shared" ref="F50:AN50" si="1">SUM(F40:F49)</f>
        <v>1789292.597603139</v>
      </c>
      <c r="G50" s="13">
        <f t="shared" si="1"/>
        <v>2242859.107430541</v>
      </c>
      <c r="H50" s="13">
        <f t="shared" si="1"/>
        <v>2842048.7902016668</v>
      </c>
      <c r="I50" s="13">
        <f t="shared" si="1"/>
        <v>3492041.1568856593</v>
      </c>
      <c r="J50" s="13">
        <f t="shared" si="1"/>
        <v>3815376.0501606171</v>
      </c>
      <c r="K50" s="13">
        <f t="shared" si="1"/>
        <v>4202342.8251415286</v>
      </c>
      <c r="L50" s="13">
        <f t="shared" si="1"/>
        <v>4238484.148454736</v>
      </c>
      <c r="M50" s="13">
        <f t="shared" si="1"/>
        <v>4654234.6009401577</v>
      </c>
      <c r="N50" s="13">
        <f t="shared" si="1"/>
        <v>4829632.4247258855</v>
      </c>
      <c r="O50" s="13">
        <f t="shared" si="1"/>
        <v>5249200.2060119128</v>
      </c>
      <c r="P50" s="13">
        <f t="shared" si="1"/>
        <v>5599654.8297798801</v>
      </c>
      <c r="Q50" s="13">
        <f t="shared" si="1"/>
        <v>6436089.3346132785</v>
      </c>
      <c r="R50" s="13">
        <f t="shared" si="1"/>
        <v>6543784.7759068646</v>
      </c>
      <c r="S50" s="13">
        <f t="shared" si="1"/>
        <v>6890365.1172797224</v>
      </c>
      <c r="T50" s="13">
        <f t="shared" si="1"/>
        <v>7162545.9855360175</v>
      </c>
      <c r="U50" s="13">
        <f t="shared" si="1"/>
        <v>7623173.567249909</v>
      </c>
      <c r="V50" s="13">
        <f t="shared" si="1"/>
        <v>7852013.7961966172</v>
      </c>
      <c r="W50" s="13">
        <f t="shared" si="1"/>
        <v>7936028.59647917</v>
      </c>
      <c r="X50" s="13">
        <f t="shared" si="1"/>
        <v>8328969.0530224163</v>
      </c>
      <c r="Y50" s="13">
        <f t="shared" si="1"/>
        <v>8717883.2538473364</v>
      </c>
      <c r="Z50" s="13">
        <f t="shared" si="1"/>
        <v>8948962.2929345146</v>
      </c>
      <c r="AA50" s="13">
        <f t="shared" si="1"/>
        <v>9091779.836981304</v>
      </c>
      <c r="AB50" s="13">
        <f t="shared" si="1"/>
        <v>9383505.0563612171</v>
      </c>
      <c r="AC50" s="13">
        <f t="shared" si="1"/>
        <v>10461260.447185919</v>
      </c>
      <c r="AD50" s="13">
        <f t="shared" si="1"/>
        <v>10671666.356466081</v>
      </c>
      <c r="AE50" s="13">
        <f t="shared" si="1"/>
        <v>10886088.274475928</v>
      </c>
      <c r="AF50" s="13">
        <f t="shared" si="1"/>
        <v>11324708.818627298</v>
      </c>
      <c r="AG50" s="13">
        <f t="shared" si="1"/>
        <v>11422342.586298667</v>
      </c>
      <c r="AH50" s="13">
        <f t="shared" si="1"/>
        <v>11773116.14138105</v>
      </c>
      <c r="AI50" s="13">
        <f t="shared" si="1"/>
        <v>12132357.33111294</v>
      </c>
      <c r="AJ50" s="13">
        <f t="shared" si="1"/>
        <v>12473466.190093759</v>
      </c>
      <c r="AK50" s="13">
        <f t="shared" si="1"/>
        <v>12814580.902472038</v>
      </c>
      <c r="AL50" s="13">
        <f t="shared" si="1"/>
        <v>12996589.002041362</v>
      </c>
      <c r="AM50" s="13">
        <f t="shared" si="1"/>
        <v>13341425.765963992</v>
      </c>
      <c r="AN50" s="13">
        <f t="shared" si="1"/>
        <v>13619273.815064859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50</v>
      </c>
      <c r="E52" s="74">
        <f>E37-E50</f>
        <v>6696.8153292648494</v>
      </c>
      <c r="F52" s="74">
        <f t="shared" ref="F52:AN52" si="2">F37-F50</f>
        <v>466878.36207685992</v>
      </c>
      <c r="G52" s="74">
        <f t="shared" si="2"/>
        <v>903721.71984945796</v>
      </c>
      <c r="H52" s="74">
        <f t="shared" si="2"/>
        <v>1245241.7583849989</v>
      </c>
      <c r="I52" s="74">
        <f t="shared" si="2"/>
        <v>1439449.2478343388</v>
      </c>
      <c r="J52" s="74">
        <f t="shared" si="2"/>
        <v>1976762.9448260493</v>
      </c>
      <c r="K52" s="74">
        <f t="shared" si="2"/>
        <v>1963178.174591803</v>
      </c>
      <c r="L52" s="74">
        <f t="shared" si="2"/>
        <v>2277313.8502919283</v>
      </c>
      <c r="M52" s="74">
        <f t="shared" si="2"/>
        <v>2291752.2458331734</v>
      </c>
      <c r="N52" s="74">
        <f t="shared" si="2"/>
        <v>2712901.5999407787</v>
      </c>
      <c r="O52" s="74">
        <f t="shared" si="2"/>
        <v>2978320.105694754</v>
      </c>
      <c r="P52" s="74">
        <f t="shared" si="2"/>
        <v>3289746.7632334493</v>
      </c>
      <c r="Q52" s="74">
        <f t="shared" si="2"/>
        <v>1947719.1098508546</v>
      </c>
      <c r="R52" s="74">
        <f t="shared" si="2"/>
        <v>2308550.2788735889</v>
      </c>
      <c r="S52" s="74">
        <f t="shared" si="2"/>
        <v>2516430.218589318</v>
      </c>
      <c r="T52" s="74">
        <f t="shared" si="2"/>
        <v>2783147.7826426933</v>
      </c>
      <c r="U52" s="74">
        <f t="shared" si="2"/>
        <v>2739276.0970614776</v>
      </c>
      <c r="V52" s="74">
        <f t="shared" si="2"/>
        <v>2886815.7257289346</v>
      </c>
      <c r="W52" s="74">
        <f t="shared" si="2"/>
        <v>3298303.5056770537</v>
      </c>
      <c r="X52" s="74">
        <f t="shared" si="2"/>
        <v>3434292.5604804065</v>
      </c>
      <c r="Y52" s="74">
        <f t="shared" si="2"/>
        <v>3446665.4937503505</v>
      </c>
      <c r="Z52" s="74">
        <f t="shared" si="2"/>
        <v>3650757.9810727052</v>
      </c>
      <c r="AA52" s="74">
        <f t="shared" si="2"/>
        <v>3970213.7847410794</v>
      </c>
      <c r="AB52" s="74">
        <f t="shared" si="2"/>
        <v>4138191.5236419681</v>
      </c>
      <c r="AC52" s="74">
        <f t="shared" si="2"/>
        <v>3425196.3724657819</v>
      </c>
      <c r="AD52" s="74">
        <f t="shared" si="2"/>
        <v>3596492.898991473</v>
      </c>
      <c r="AE52" s="74">
        <f t="shared" si="2"/>
        <v>3753059.1267239284</v>
      </c>
      <c r="AF52" s="74">
        <f t="shared" si="2"/>
        <v>3673650.3326515649</v>
      </c>
      <c r="AG52" s="74">
        <f t="shared" si="2"/>
        <v>3889185.0667095818</v>
      </c>
      <c r="AH52" s="74">
        <f t="shared" si="2"/>
        <v>3951330.5775227956</v>
      </c>
      <c r="AI52" s="74">
        <f t="shared" si="2"/>
        <v>4060988.5340374783</v>
      </c>
      <c r="AJ52" s="74">
        <f t="shared" si="2"/>
        <v>4209408.7754168417</v>
      </c>
      <c r="AK52" s="74">
        <f t="shared" si="2"/>
        <v>4342547.1471185237</v>
      </c>
      <c r="AL52" s="74">
        <f t="shared" si="2"/>
        <v>4614839.7821993828</v>
      </c>
      <c r="AM52" s="74">
        <f t="shared" si="2"/>
        <v>4783126.7813640032</v>
      </c>
      <c r="AN52" s="74">
        <f t="shared" si="2"/>
        <v>4973665.4411376044</v>
      </c>
    </row>
    <row r="53" spans="2:40" x14ac:dyDescent="0.25">
      <c r="B53" s="1"/>
      <c r="E53" s="111">
        <f>IFERROR(E52/E37,"")</f>
        <v>4.4613750844169067E-3</v>
      </c>
      <c r="F53" s="111">
        <f t="shared" ref="F53:AN53" si="3">IFERROR(F52/F37,"")</f>
        <v>0.20693394712565533</v>
      </c>
      <c r="G53" s="111">
        <f t="shared" si="3"/>
        <v>0.2872075339728879</v>
      </c>
      <c r="H53" s="111">
        <f t="shared" si="3"/>
        <v>0.30466191321181901</v>
      </c>
      <c r="I53" s="111">
        <f t="shared" si="3"/>
        <v>0.29188929303332356</v>
      </c>
      <c r="J53" s="111">
        <f t="shared" si="3"/>
        <v>0.34128375485067236</v>
      </c>
      <c r="K53" s="111">
        <f t="shared" si="3"/>
        <v>0.31841237337067113</v>
      </c>
      <c r="L53" s="111">
        <f t="shared" si="3"/>
        <v>0.34950651489349077</v>
      </c>
      <c r="M53" s="111">
        <f t="shared" si="3"/>
        <v>0.32993904198044621</v>
      </c>
      <c r="N53" s="111">
        <f t="shared" si="3"/>
        <v>0.35968039269941154</v>
      </c>
      <c r="O53" s="111">
        <f t="shared" si="3"/>
        <v>0.36199486514266038</v>
      </c>
      <c r="P53" s="111">
        <f t="shared" si="3"/>
        <v>0.37007516521911243</v>
      </c>
      <c r="Q53" s="111">
        <f t="shared" si="3"/>
        <v>0.23231913309480995</v>
      </c>
      <c r="R53" s="111">
        <f t="shared" si="3"/>
        <v>0.26078433143206903</v>
      </c>
      <c r="S53" s="111">
        <f t="shared" si="3"/>
        <v>0.26751195585109849</v>
      </c>
      <c r="T53" s="111">
        <f t="shared" si="3"/>
        <v>0.27983445373588584</v>
      </c>
      <c r="U53" s="111">
        <f t="shared" si="3"/>
        <v>0.26434638389565679</v>
      </c>
      <c r="V53" s="111">
        <f t="shared" si="3"/>
        <v>0.2688203327778787</v>
      </c>
      <c r="W53" s="111">
        <f t="shared" si="3"/>
        <v>0.29359141920363963</v>
      </c>
      <c r="X53" s="111">
        <f t="shared" si="3"/>
        <v>0.29195070834251002</v>
      </c>
      <c r="Y53" s="111">
        <f t="shared" si="3"/>
        <v>0.28333689685209362</v>
      </c>
      <c r="Z53" s="111">
        <f t="shared" si="3"/>
        <v>0.28974912947901632</v>
      </c>
      <c r="AA53" s="111">
        <f t="shared" si="3"/>
        <v>0.3039515941991065</v>
      </c>
      <c r="AB53" s="111">
        <f t="shared" si="3"/>
        <v>0.30604085065492526</v>
      </c>
      <c r="AC53" s="111">
        <f t="shared" si="3"/>
        <v>0.24665733073238277</v>
      </c>
      <c r="AD53" s="111">
        <f t="shared" si="3"/>
        <v>0.25206425262010013</v>
      </c>
      <c r="AE53" s="111">
        <f t="shared" si="3"/>
        <v>0.25637142818961706</v>
      </c>
      <c r="AF53" s="111">
        <f t="shared" si="3"/>
        <v>0.24493681579416801</v>
      </c>
      <c r="AG53" s="111">
        <f t="shared" si="3"/>
        <v>0.25400372548362121</v>
      </c>
      <c r="AH53" s="111">
        <f t="shared" si="3"/>
        <v>0.25128582570555741</v>
      </c>
      <c r="AI53" s="111">
        <f t="shared" si="3"/>
        <v>0.2507813127598974</v>
      </c>
      <c r="AJ53" s="111">
        <f t="shared" si="3"/>
        <v>0.25231914667700728</v>
      </c>
      <c r="AK53" s="111">
        <f t="shared" si="3"/>
        <v>0.25310454841666546</v>
      </c>
      <c r="AL53" s="111">
        <f t="shared" si="3"/>
        <v>0.26203664897017809</v>
      </c>
      <c r="AM53" s="111">
        <f t="shared" si="3"/>
        <v>0.26390316499532862</v>
      </c>
      <c r="AN53" s="111">
        <f t="shared" si="3"/>
        <v>0.26750291455281483</v>
      </c>
    </row>
    <row r="54" spans="2:40" x14ac:dyDescent="0.25">
      <c r="B54" s="39" t="s">
        <v>356</v>
      </c>
      <c r="C54" s="12">
        <v>53455.242566182867</v>
      </c>
      <c r="E54" s="67">
        <f>E67*_xlfn.XLOOKUP(YEAR($E$25),Base!$BJ$4:$BL$4,Base!$BJ$276:$BL$276,0,0)/12</f>
        <v>49301.885753056908</v>
      </c>
      <c r="F54" s="67">
        <f>F67*_xlfn.XLOOKUP(YEAR($E$25),Base!$BJ$4:$BL$4,Base!$BJ$276:$BL$276,0,0)/12</f>
        <v>58749.100844668399</v>
      </c>
      <c r="G54" s="67">
        <f>G67*_xlfn.XLOOKUP(YEAR($E$25),Base!$BJ$4:$BL$4,Base!$BJ$276:$BL$276,0,0)/12</f>
        <v>65722.710213188489</v>
      </c>
      <c r="H54" s="67">
        <f>H67*_xlfn.XLOOKUP(YEAR($E$25),Base!$BJ$4:$BL$4,Base!$BJ$276:$BL$276,0,0)/12</f>
        <v>67679.749543567945</v>
      </c>
      <c r="I54" s="67">
        <f>I67*_xlfn.XLOOKUP(YEAR($E$25),Base!$BJ$4:$BL$4,Base!$BJ$276:$BL$276,0,0)/12</f>
        <v>71080.967303487167</v>
      </c>
      <c r="J54" s="67">
        <f>J67*_xlfn.XLOOKUP(YEAR($E$25),Base!$BJ$4:$BL$4,Base!$BJ$276:$BL$276,0,0)/12</f>
        <v>70571.671266939971</v>
      </c>
      <c r="K54" s="67">
        <f>K67*_xlfn.XLOOKUP(YEAR($E$25),Base!$BJ$4:$BL$4,Base!$BJ$276:$BL$276,0,0)/12</f>
        <v>69035.724157913763</v>
      </c>
      <c r="L54" s="67">
        <f>L67*_xlfn.XLOOKUP(YEAR($E$25),Base!$BJ$4:$BL$4,Base!$BJ$276:$BL$276,0,0)/12</f>
        <v>64752.779154334712</v>
      </c>
      <c r="M54" s="67">
        <f>M67*_xlfn.XLOOKUP(YEAR($E$25),Base!$BJ$4:$BL$4,Base!$BJ$276:$BL$276,0,0)/12</f>
        <v>62020.157606173569</v>
      </c>
      <c r="N54" s="67">
        <f>N67*_xlfn.XLOOKUP(YEAR($E$25),Base!$BJ$4:$BL$4,Base!$BJ$276:$BL$276,0,0)/12</f>
        <v>55956.059062195185</v>
      </c>
      <c r="O54" s="67">
        <f>O67*_xlfn.XLOOKUP(YEAR($E$25),Base!$BJ$4:$BL$4,Base!$BJ$276:$BL$276,0,0)/12</f>
        <v>45449.834774830226</v>
      </c>
      <c r="P54" s="67">
        <f>P67*_xlfn.XLOOKUP(YEAR($E$25),Base!$BJ$4:$BL$4,Base!$BJ$276:$BL$276,0,0)/12</f>
        <v>32682.067473388073</v>
      </c>
      <c r="Q54" s="67">
        <f>Q67*_xlfn.XLOOKUP(YEAR($E$25),Base!$BJ$4:$BL$4,Base!$BJ$276:$BL$276,0,0)/12</f>
        <v>55865.076932769174</v>
      </c>
      <c r="R54" s="67">
        <f>R67*_xlfn.XLOOKUP(YEAR($E$25),Base!$BJ$4:$BL$4,Base!$BJ$276:$BL$276,0,0)/12</f>
        <v>50564.844007144857</v>
      </c>
      <c r="S54" s="67">
        <f>S67*_xlfn.XLOOKUP(YEAR($E$25),Base!$BJ$4:$BL$4,Base!$BJ$276:$BL$276,0,0)/12</f>
        <v>42261.735755532296</v>
      </c>
      <c r="T54" s="67">
        <f>T67*_xlfn.XLOOKUP(YEAR($E$25),Base!$BJ$4:$BL$4,Base!$BJ$276:$BL$276,0,0)/12</f>
        <v>31923.274138481622</v>
      </c>
      <c r="U54" s="67">
        <f>U67*_xlfn.XLOOKUP(YEAR($E$25),Base!$BJ$4:$BL$4,Base!$BJ$276:$BL$276,0,0)/12</f>
        <v>25073.355125126112</v>
      </c>
      <c r="V54" s="67">
        <f>V67*_xlfn.XLOOKUP(YEAR($E$25),Base!$BJ$4:$BL$4,Base!$BJ$276:$BL$276,0,0)/12</f>
        <v>20759.100470011323</v>
      </c>
      <c r="W54" s="67">
        <f>W67*_xlfn.XLOOKUP(YEAR($E$25),Base!$BJ$4:$BL$4,Base!$BJ$276:$BL$276,0,0)/12</f>
        <v>11905.167268555333</v>
      </c>
      <c r="X54" s="67">
        <f>X67*_xlfn.XLOOKUP(YEAR($E$25),Base!$BJ$4:$BL$4,Base!$BJ$276:$BL$276,0,0)/12</f>
        <v>2193.5517577180458</v>
      </c>
      <c r="Y54" s="67">
        <f>Y67*_xlfn.XLOOKUP(YEAR($E$25),Base!$BJ$4:$BL$4,Base!$BJ$276:$BL$276,0,0)/12</f>
        <v>0</v>
      </c>
      <c r="Z54" s="67">
        <f>Z67*_xlfn.XLOOKUP(YEAR($E$25),Base!$BJ$4:$BL$4,Base!$BJ$276:$BL$276,0,0)/12</f>
        <v>0</v>
      </c>
      <c r="AA54" s="67">
        <f>AA67*_xlfn.XLOOKUP(YEAR($E$25),Base!$BJ$4:$BL$4,Base!$BJ$276:$BL$276,0,0)/12</f>
        <v>0</v>
      </c>
      <c r="AB54" s="67">
        <f>AB67*_xlfn.XLOOKUP(YEAR($E$25),Base!$BJ$4:$BL$4,Base!$BJ$276:$BL$276,0,0)/12</f>
        <v>0</v>
      </c>
      <c r="AC54" s="67">
        <f>AC67*_xlfn.XLOOKUP(YEAR($E$25),Base!$BJ$4:$BL$4,Base!$BJ$276:$BL$276,0,0)/12</f>
        <v>0</v>
      </c>
      <c r="AD54" s="67">
        <f>AD67*_xlfn.XLOOKUP(YEAR($E$25),Base!$BJ$4:$BL$4,Base!$BJ$276:$BL$276,0,0)/12</f>
        <v>0</v>
      </c>
      <c r="AE54" s="67">
        <f>AE67*_xlfn.XLOOKUP(YEAR($E$25),Base!$BJ$4:$BL$4,Base!$BJ$276:$BL$276,0,0)/12</f>
        <v>0</v>
      </c>
      <c r="AF54" s="67">
        <f>AF67*_xlfn.XLOOKUP(YEAR($E$25),Base!$BJ$4:$BL$4,Base!$BJ$276:$BL$276,0,0)/12</f>
        <v>0</v>
      </c>
      <c r="AG54" s="67">
        <f>AG67*_xlfn.XLOOKUP(YEAR($E$25),Base!$BJ$4:$BL$4,Base!$BJ$276:$BL$276,0,0)/12</f>
        <v>0</v>
      </c>
      <c r="AH54" s="67">
        <f>AH67*_xlfn.XLOOKUP(YEAR($E$25),Base!$BJ$4:$BL$4,Base!$BJ$276:$BL$276,0,0)/12</f>
        <v>0</v>
      </c>
      <c r="AI54" s="67">
        <f>AI67*_xlfn.XLOOKUP(YEAR($E$25),Base!$BJ$4:$BL$4,Base!$BJ$276:$BL$276,0,0)/12</f>
        <v>0</v>
      </c>
      <c r="AJ54" s="67">
        <f>AJ67*_xlfn.XLOOKUP(YEAR($E$25),Base!$BJ$4:$BL$4,Base!$BJ$276:$BL$276,0,0)/12</f>
        <v>0</v>
      </c>
      <c r="AK54" s="67">
        <f>AK67*_xlfn.XLOOKUP(YEAR($E$25),Base!$BJ$4:$BL$4,Base!$BJ$276:$BL$276,0,0)/12</f>
        <v>0</v>
      </c>
      <c r="AL54" s="67">
        <f>AL67*_xlfn.XLOOKUP(YEAR($E$25),Base!$BJ$4:$BL$4,Base!$BJ$276:$BL$276,0,0)/12</f>
        <v>0</v>
      </c>
      <c r="AM54" s="67">
        <f>AM67*_xlfn.XLOOKUP(YEAR($E$25),Base!$BJ$4:$BL$4,Base!$BJ$276:$BL$276,0,0)/12</f>
        <v>0</v>
      </c>
      <c r="AN54" s="67">
        <f>AN67*_xlfn.XLOOKUP(YEAR($E$25),Base!$BJ$4:$BL$4,Base!$BJ$276:$BL$276,0,0)/12</f>
        <v>0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334</v>
      </c>
      <c r="E56" s="74">
        <f t="shared" ref="E56:AN56" si="4">E52-E54</f>
        <v>-42605.070423792058</v>
      </c>
      <c r="F56" s="74">
        <f t="shared" si="4"/>
        <v>408129.26123219152</v>
      </c>
      <c r="G56" s="74">
        <f t="shared" si="4"/>
        <v>837999.00963626942</v>
      </c>
      <c r="H56" s="74">
        <f t="shared" si="4"/>
        <v>1177562.008841431</v>
      </c>
      <c r="I56" s="74">
        <f t="shared" si="4"/>
        <v>1368368.2805308516</v>
      </c>
      <c r="J56" s="74">
        <f t="shared" si="4"/>
        <v>1906191.2735591093</v>
      </c>
      <c r="K56" s="74">
        <f t="shared" si="4"/>
        <v>1894142.4504338892</v>
      </c>
      <c r="L56" s="74">
        <f t="shared" si="4"/>
        <v>2212561.0711375936</v>
      </c>
      <c r="M56" s="74">
        <f t="shared" si="4"/>
        <v>2229732.0882269996</v>
      </c>
      <c r="N56" s="74">
        <f t="shared" si="4"/>
        <v>2656945.5408785837</v>
      </c>
      <c r="O56" s="74">
        <f t="shared" si="4"/>
        <v>2932870.2709199237</v>
      </c>
      <c r="P56" s="74">
        <f t="shared" si="4"/>
        <v>3257064.695760061</v>
      </c>
      <c r="Q56" s="74">
        <f t="shared" si="4"/>
        <v>1891854.0329180853</v>
      </c>
      <c r="R56" s="74">
        <f t="shared" si="4"/>
        <v>2257985.4348664442</v>
      </c>
      <c r="S56" s="74">
        <f t="shared" si="4"/>
        <v>2474168.4828337855</v>
      </c>
      <c r="T56" s="74">
        <f t="shared" si="4"/>
        <v>2751224.5085042114</v>
      </c>
      <c r="U56" s="74">
        <f t="shared" si="4"/>
        <v>2714202.7419363516</v>
      </c>
      <c r="V56" s="74">
        <f t="shared" si="4"/>
        <v>2866056.6252589235</v>
      </c>
      <c r="W56" s="74">
        <f t="shared" si="4"/>
        <v>3286398.3384084986</v>
      </c>
      <c r="X56" s="74">
        <f t="shared" si="4"/>
        <v>3432099.0087226885</v>
      </c>
      <c r="Y56" s="74">
        <f t="shared" si="4"/>
        <v>3446665.4937503505</v>
      </c>
      <c r="Z56" s="74">
        <f t="shared" si="4"/>
        <v>3650757.9810727052</v>
      </c>
      <c r="AA56" s="74">
        <f t="shared" si="4"/>
        <v>3970213.7847410794</v>
      </c>
      <c r="AB56" s="74">
        <f t="shared" si="4"/>
        <v>4138191.5236419681</v>
      </c>
      <c r="AC56" s="74">
        <f t="shared" si="4"/>
        <v>3425196.3724657819</v>
      </c>
      <c r="AD56" s="74">
        <f t="shared" si="4"/>
        <v>3596492.898991473</v>
      </c>
      <c r="AE56" s="74">
        <f t="shared" si="4"/>
        <v>3753059.1267239284</v>
      </c>
      <c r="AF56" s="74">
        <f t="shared" si="4"/>
        <v>3673650.3326515649</v>
      </c>
      <c r="AG56" s="74">
        <f t="shared" si="4"/>
        <v>3889185.0667095818</v>
      </c>
      <c r="AH56" s="74">
        <f t="shared" si="4"/>
        <v>3951330.5775227956</v>
      </c>
      <c r="AI56" s="74">
        <f t="shared" si="4"/>
        <v>4060988.5340374783</v>
      </c>
      <c r="AJ56" s="74">
        <f t="shared" si="4"/>
        <v>4209408.7754168417</v>
      </c>
      <c r="AK56" s="74">
        <f t="shared" si="4"/>
        <v>4342547.1471185237</v>
      </c>
      <c r="AL56" s="74">
        <f t="shared" si="4"/>
        <v>4614839.7821993828</v>
      </c>
      <c r="AM56" s="74">
        <f t="shared" si="4"/>
        <v>4783126.7813640032</v>
      </c>
      <c r="AN56" s="74">
        <f t="shared" si="4"/>
        <v>4973665.4411376044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60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345</v>
      </c>
      <c r="E59" s="12">
        <f>SUM('MDA1:NCA9'!E56)</f>
        <v>-564877.58317066939</v>
      </c>
      <c r="F59" s="12">
        <f>SUM('MDA1:NCA9'!F56)</f>
        <v>-496371.82187200256</v>
      </c>
      <c r="G59" s="12">
        <f>SUM('MDA1:NCA9'!G56)</f>
        <v>-593953.86814080284</v>
      </c>
      <c r="H59" s="12">
        <f>SUM('MDA1:NCA9'!H56)</f>
        <v>-602150.95888906927</v>
      </c>
      <c r="I59" s="12">
        <f>SUM('MDA1:NCA9'!I56)</f>
        <v>-620651.86628000252</v>
      </c>
      <c r="J59" s="12">
        <f>SUM('MDA1:NCA9'!J56)</f>
        <v>-633162.50598293601</v>
      </c>
      <c r="K59" s="12">
        <f>SUM('MDA1:NCA9'!K56)</f>
        <v>-720033.55545470188</v>
      </c>
      <c r="L59" s="12">
        <f>SUM('MDA1:NCA9'!L56)</f>
        <v>-753398.79232347431</v>
      </c>
      <c r="M59" s="12">
        <f>SUM('MDA1:NCA9'!M56)</f>
        <v>-743663.26025735331</v>
      </c>
      <c r="N59" s="12">
        <f>SUM('MDA1:NCA9'!N56)</f>
        <v>-854488.30313748703</v>
      </c>
      <c r="O59" s="12">
        <f>SUM('MDA1:NCA9'!O56)</f>
        <v>-899994.14165056485</v>
      </c>
      <c r="P59" s="12">
        <f>SUM('MDA1:NCA9'!P56)</f>
        <v>-920387.95493299747</v>
      </c>
      <c r="Q59" s="12">
        <f>SUM('MDA1:NCA9'!Q56)</f>
        <v>-984564.97029494762</v>
      </c>
      <c r="R59" s="12">
        <f>SUM('MDA1:NCA9'!R56)</f>
        <v>-1075654.1451909104</v>
      </c>
      <c r="S59" s="12">
        <f>SUM('MDA1:NCA9'!S56)</f>
        <v>-1123617.6077004992</v>
      </c>
      <c r="T59" s="12">
        <f>SUM('MDA1:NCA9'!T56)</f>
        <v>-1127257.8312804054</v>
      </c>
      <c r="U59" s="12">
        <f>SUM('MDA1:NCA9'!U56)</f>
        <v>-1192556.9544755947</v>
      </c>
      <c r="V59" s="12">
        <f>SUM('MDA1:NCA9'!V56)</f>
        <v>-1318728.4165885032</v>
      </c>
      <c r="W59" s="12">
        <f>SUM('MDA1:NCA9'!W56)</f>
        <v>-1364406.6450129109</v>
      </c>
      <c r="X59" s="12">
        <f>SUM('MDA1:NCA9'!X56)</f>
        <v>-1394891.9917668798</v>
      </c>
      <c r="Y59" s="12">
        <f>SUM('MDA1:NCA9'!Y56)</f>
        <v>-1467527.9829351855</v>
      </c>
      <c r="Z59" s="12">
        <f>SUM('MDA1:NCA9'!Z56)</f>
        <v>-1607808.1856876253</v>
      </c>
      <c r="AA59" s="12">
        <f>SUM('MDA1:NCA9'!AA56)</f>
        <v>-1750347.1617156405</v>
      </c>
      <c r="AB59" s="12">
        <f>SUM('MDA1:NCA9'!AB56)</f>
        <v>-1772566.4113450344</v>
      </c>
      <c r="AC59" s="12">
        <f>SUM('MDA1:NCA9'!AC56)</f>
        <v>-1829766.0700719759</v>
      </c>
      <c r="AD59" s="12">
        <f>SUM('MDA1:NCA9'!AD56)</f>
        <v>-1930625.4114289999</v>
      </c>
      <c r="AE59" s="12">
        <f>SUM('MDA1:NCA9'!AE56)</f>
        <v>-2033842.9191761299</v>
      </c>
      <c r="AF59" s="12">
        <f>SUM('MDA1:NCA9'!AF56)</f>
        <v>-2035006.1068331103</v>
      </c>
      <c r="AG59" s="12">
        <f>SUM('MDA1:NCA9'!AG56)</f>
        <v>-2026957.2071806914</v>
      </c>
      <c r="AH59" s="12">
        <f>SUM('MDA1:NCA9'!AH56)</f>
        <v>-2071125.3561439526</v>
      </c>
      <c r="AI59" s="12">
        <f>SUM('MDA1:NCA9'!AI56)</f>
        <v>-2117834.8345308146</v>
      </c>
      <c r="AJ59" s="12">
        <f>SUM('MDA1:NCA9'!AJ56)</f>
        <v>-2126330.9825481977</v>
      </c>
      <c r="AK59" s="12">
        <f>SUM('MDA1:NCA9'!AK56)</f>
        <v>-2197432.2927680849</v>
      </c>
      <c r="AL59" s="12">
        <f>SUM('MDA1:NCA9'!AL56)</f>
        <v>-2301649.4365046974</v>
      </c>
      <c r="AM59" s="12">
        <f>SUM('MDA1:NCA9'!AM56)</f>
        <v>-2409938.7531462</v>
      </c>
      <c r="AN59" s="12">
        <f>SUM('MDA1:NCA9'!AN56)</f>
        <v>-2524338.5691861683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336</v>
      </c>
      <c r="E61" s="13">
        <f>E37-E50-E58+E59</f>
        <v>-1503847.4345080713</v>
      </c>
      <c r="F61" s="13">
        <f t="shared" ref="F61:AN61" si="5">F37-F50-F58+F59</f>
        <v>-1210326.793128476</v>
      </c>
      <c r="G61" s="13">
        <f t="shared" si="5"/>
        <v>-871065.48162467813</v>
      </c>
      <c r="H61" s="13">
        <f t="shared" si="5"/>
        <v>-195215.86717073701</v>
      </c>
      <c r="I61" s="13">
        <f t="shared" si="5"/>
        <v>-385815.95177899697</v>
      </c>
      <c r="J61" s="13">
        <f t="shared" si="5"/>
        <v>138987.10550978</v>
      </c>
      <c r="K61" s="13">
        <f t="shared" si="5"/>
        <v>275364.61913710111</v>
      </c>
      <c r="L61" s="13">
        <f t="shared" si="5"/>
        <v>640095.05796845397</v>
      </c>
      <c r="M61" s="13">
        <f t="shared" si="5"/>
        <v>429102.31890915334</v>
      </c>
      <c r="N61" s="13">
        <f t="shared" si="5"/>
        <v>870566.63013662514</v>
      </c>
      <c r="O61" s="13">
        <f t="shared" si="5"/>
        <v>1456785.9640441891</v>
      </c>
      <c r="P61" s="13">
        <f t="shared" si="5"/>
        <v>1747818.8083004518</v>
      </c>
      <c r="Q61" s="13">
        <f t="shared" si="5"/>
        <v>341614.13955590699</v>
      </c>
      <c r="R61" s="13">
        <f t="shared" si="5"/>
        <v>762562.8003493452</v>
      </c>
      <c r="S61" s="13">
        <f t="shared" si="5"/>
        <v>1157645.9442221522</v>
      </c>
      <c r="T61" s="13">
        <f t="shared" si="5"/>
        <v>1420723.2846956213</v>
      </c>
      <c r="U61" s="13">
        <f t="shared" si="5"/>
        <v>945245.80925254989</v>
      </c>
      <c r="V61" s="13">
        <f t="shared" si="5"/>
        <v>600307.30914043146</v>
      </c>
      <c r="W61" s="13">
        <f t="shared" si="5"/>
        <v>1201283.5273308097</v>
      </c>
      <c r="X61" s="13">
        <f t="shared" si="5"/>
        <v>1306787.2353801937</v>
      </c>
      <c r="Y61" s="13">
        <f t="shared" si="5"/>
        <v>1011357.510815165</v>
      </c>
      <c r="Z61" s="13">
        <f t="shared" si="5"/>
        <v>840003.12871841341</v>
      </c>
      <c r="AA61" s="13">
        <f t="shared" si="5"/>
        <v>1383226.623025439</v>
      </c>
      <c r="AB61" s="13">
        <f t="shared" si="5"/>
        <v>1895291.7789636003</v>
      </c>
      <c r="AC61" s="13">
        <f t="shared" si="5"/>
        <v>1125096.9690604724</v>
      </c>
      <c r="AD61" s="13">
        <f t="shared" si="5"/>
        <v>1195534.1542291397</v>
      </c>
      <c r="AE61" s="13">
        <f t="shared" si="5"/>
        <v>1484049.540881132</v>
      </c>
      <c r="AF61" s="13">
        <f t="shared" si="5"/>
        <v>1376364.2258184545</v>
      </c>
      <c r="AG61" s="13">
        <f t="shared" si="5"/>
        <v>1364781.1928622238</v>
      </c>
      <c r="AH61" s="13">
        <f t="shared" si="5"/>
        <v>1147591.88804551</v>
      </c>
      <c r="AI61" s="13">
        <f t="shared" si="5"/>
        <v>975373.69950666372</v>
      </c>
      <c r="AJ61" s="13">
        <f t="shared" si="5"/>
        <v>880131.12620197749</v>
      </c>
      <c r="AK61" s="13">
        <f t="shared" si="5"/>
        <v>707001.52101710578</v>
      </c>
      <c r="AL61" s="13">
        <f t="shared" si="5"/>
        <v>1137357.0123613523</v>
      </c>
      <c r="AM61" s="13">
        <f t="shared" si="5"/>
        <v>1432521.3615511367</v>
      </c>
      <c r="AN61" s="13">
        <f t="shared" si="5"/>
        <v>1743826.8719514362</v>
      </c>
    </row>
    <row r="62" spans="2:40" x14ac:dyDescent="0.25">
      <c r="B62" t="s">
        <v>337</v>
      </c>
      <c r="E62" s="12" cm="1">
        <f t="array" ref="E62:AN62">_xlfn.SCAN(-D58,E61:AN61,_xlfn.LAMBDA(_xlpm.capex,_xlpm.fcf,_xlpm.capex+_xlpm.fcf))</f>
        <v>-5948587.4345080713</v>
      </c>
      <c r="F62" s="12">
        <v>-7158914.2276365478</v>
      </c>
      <c r="G62" s="12">
        <v>-8029979.7092612255</v>
      </c>
      <c r="H62" s="12">
        <v>-8225195.5764319627</v>
      </c>
      <c r="I62" s="12">
        <v>-8611011.5282109603</v>
      </c>
      <c r="J62" s="12">
        <v>-8472024.42270118</v>
      </c>
      <c r="K62" s="12">
        <v>-8196659.8035640791</v>
      </c>
      <c r="L62" s="12">
        <v>-7556564.7455956247</v>
      </c>
      <c r="M62" s="12">
        <v>-7127462.4266864713</v>
      </c>
      <c r="N62" s="12">
        <v>-6256895.7965498464</v>
      </c>
      <c r="O62" s="12">
        <v>-4800109.8325056573</v>
      </c>
      <c r="P62" s="12">
        <v>-3052291.0242052055</v>
      </c>
      <c r="Q62" s="12">
        <v>-2710676.8846492986</v>
      </c>
      <c r="R62" s="12">
        <v>-1948114.0842999534</v>
      </c>
      <c r="S62" s="12">
        <v>-790468.14007780119</v>
      </c>
      <c r="T62" s="12">
        <v>630255.14461782016</v>
      </c>
      <c r="U62" s="12">
        <v>1575500.9538703701</v>
      </c>
      <c r="V62" s="12">
        <v>2175808.2630108017</v>
      </c>
      <c r="W62" s="12">
        <v>3377091.7903416115</v>
      </c>
      <c r="X62" s="12">
        <v>4683879.0257218052</v>
      </c>
      <c r="Y62" s="12">
        <v>5695236.5365369702</v>
      </c>
      <c r="Z62" s="12">
        <v>6535239.6652553836</v>
      </c>
      <c r="AA62" s="12">
        <v>7918466.2882808223</v>
      </c>
      <c r="AB62" s="12">
        <v>9813758.0672444217</v>
      </c>
      <c r="AC62" s="12">
        <v>10938855.036304895</v>
      </c>
      <c r="AD62" s="12">
        <v>12134389.190534035</v>
      </c>
      <c r="AE62" s="12">
        <v>13618438.731415167</v>
      </c>
      <c r="AF62" s="12">
        <v>14994802.957233623</v>
      </c>
      <c r="AG62" s="12">
        <v>16359584.150095847</v>
      </c>
      <c r="AH62" s="12">
        <v>17507176.038141355</v>
      </c>
      <c r="AI62" s="12">
        <v>18482549.737648018</v>
      </c>
      <c r="AJ62" s="12">
        <v>19362680.863849994</v>
      </c>
      <c r="AK62" s="12">
        <v>20069682.384867098</v>
      </c>
      <c r="AL62" s="12">
        <v>21207039.39722845</v>
      </c>
      <c r="AM62" s="12">
        <v>22639560.758779585</v>
      </c>
      <c r="AN62" s="12">
        <v>24383387.63073102</v>
      </c>
    </row>
    <row r="64" spans="2:40" x14ac:dyDescent="0.25">
      <c r="B64" s="1" t="s">
        <v>272</v>
      </c>
      <c r="C64" s="1" t="s">
        <v>347</v>
      </c>
    </row>
    <row r="65" spans="2:40" x14ac:dyDescent="0.25">
      <c r="B65" s="39" t="s">
        <v>348</v>
      </c>
      <c r="E65" s="67">
        <f>C67+C54</f>
        <v>4869737.3325661831</v>
      </c>
      <c r="F65" s="67">
        <f t="shared" ref="F65:AN65" si="6">E67+E54</f>
        <v>6622886.6528273113</v>
      </c>
      <c r="G65" s="67">
        <f t="shared" si="6"/>
        <v>7891962.5468004551</v>
      </c>
      <c r="H65" s="67">
        <f t="shared" si="6"/>
        <v>8828750.7386383209</v>
      </c>
      <c r="I65" s="67">
        <f t="shared" si="6"/>
        <v>9091646.3553526271</v>
      </c>
      <c r="J65" s="67">
        <f t="shared" si="6"/>
        <v>9548543.2744351104</v>
      </c>
      <c r="K65" s="67">
        <f t="shared" si="6"/>
        <v>9480127.8401922695</v>
      </c>
      <c r="L65" s="67">
        <f t="shared" si="6"/>
        <v>9273798.9452130832</v>
      </c>
      <c r="M65" s="67">
        <f t="shared" si="6"/>
        <v>8698456.666398963</v>
      </c>
      <c r="N65" s="67">
        <f t="shared" si="6"/>
        <v>8331374.5050959829</v>
      </c>
      <c r="O65" s="67">
        <f t="shared" si="6"/>
        <v>7516763.934021553</v>
      </c>
      <c r="P65" s="67">
        <f t="shared" si="6"/>
        <v>6105427.8047521943</v>
      </c>
      <c r="Q65" s="67">
        <f t="shared" si="6"/>
        <v>4390291.0639251312</v>
      </c>
      <c r="R65" s="67">
        <f t="shared" si="6"/>
        <v>7504542.0013019927</v>
      </c>
      <c r="S65" s="67">
        <f t="shared" si="6"/>
        <v>6792544.0449597919</v>
      </c>
      <c r="T65" s="67">
        <f t="shared" si="6"/>
        <v>5677159.8364931718</v>
      </c>
      <c r="U65" s="67">
        <f t="shared" si="6"/>
        <v>4288359.8259360315</v>
      </c>
      <c r="V65" s="67">
        <f t="shared" si="6"/>
        <v>3368187.3718086076</v>
      </c>
      <c r="W65" s="67">
        <f t="shared" si="6"/>
        <v>2788639.1631381875</v>
      </c>
      <c r="X65" s="67">
        <f t="shared" si="6"/>
        <v>1599260.8030759331</v>
      </c>
      <c r="Y65" s="67">
        <f t="shared" si="6"/>
        <v>294667.11945345748</v>
      </c>
      <c r="Z65" s="67">
        <f t="shared" si="6"/>
        <v>0</v>
      </c>
      <c r="AA65" s="67">
        <f t="shared" si="6"/>
        <v>0</v>
      </c>
      <c r="AB65" s="67">
        <f t="shared" si="6"/>
        <v>0</v>
      </c>
      <c r="AC65" s="67">
        <f t="shared" si="6"/>
        <v>0</v>
      </c>
      <c r="AD65" s="67">
        <f t="shared" si="6"/>
        <v>0</v>
      </c>
      <c r="AE65" s="67">
        <f t="shared" si="6"/>
        <v>0</v>
      </c>
      <c r="AF65" s="67">
        <f t="shared" si="6"/>
        <v>0</v>
      </c>
      <c r="AG65" s="67">
        <f t="shared" si="6"/>
        <v>0</v>
      </c>
      <c r="AH65" s="67">
        <f t="shared" si="6"/>
        <v>0</v>
      </c>
      <c r="AI65" s="67">
        <f t="shared" si="6"/>
        <v>0</v>
      </c>
      <c r="AJ65" s="67">
        <f t="shared" si="6"/>
        <v>0</v>
      </c>
      <c r="AK65" s="67">
        <f t="shared" si="6"/>
        <v>0</v>
      </c>
      <c r="AL65" s="67">
        <f t="shared" si="6"/>
        <v>0</v>
      </c>
      <c r="AM65" s="67">
        <f t="shared" si="6"/>
        <v>0</v>
      </c>
      <c r="AN65" s="67">
        <f t="shared" si="6"/>
        <v>0</v>
      </c>
    </row>
    <row r="66" spans="2:40" x14ac:dyDescent="0.25">
      <c r="B66" s="39" t="s">
        <v>349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1703847.4345080713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1210326.793128476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871065.48162467824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195215.86717073712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385815.95177899674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-138987.10550978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-275364.61913710111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-640095.05796845397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-429102.31890915334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-870566.63013662514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-1456785.9640441891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-1747818.8083004518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3058385.8604440927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-762562.8003493452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-1157645.9442221522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-1420723.2846956213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-945245.80925254989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-600307.30914043146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-1201283.5273308097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-1306787.2353801937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-294667.11945345748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0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0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0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0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0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0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0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0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0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0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0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0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0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0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0</v>
      </c>
    </row>
    <row r="67" spans="2:40" x14ac:dyDescent="0.25">
      <c r="B67" s="39" t="s">
        <v>350</v>
      </c>
      <c r="C67" s="12">
        <f>Base!$BJ$281</f>
        <v>4816282.09</v>
      </c>
      <c r="E67" s="74">
        <f>SUM(E65:E66)</f>
        <v>6573584.7670742543</v>
      </c>
      <c r="F67" s="74">
        <f t="shared" ref="F67:AN67" si="7">SUM(F65:F66)</f>
        <v>7833213.4459557869</v>
      </c>
      <c r="G67" s="74">
        <f t="shared" si="7"/>
        <v>8763028.0284251329</v>
      </c>
      <c r="H67" s="74">
        <f t="shared" si="7"/>
        <v>9023966.605809059</v>
      </c>
      <c r="I67" s="74">
        <f t="shared" si="7"/>
        <v>9477462.3071316238</v>
      </c>
      <c r="J67" s="74">
        <f t="shared" si="7"/>
        <v>9409556.16892533</v>
      </c>
      <c r="K67" s="74">
        <f t="shared" si="7"/>
        <v>9204763.2210551687</v>
      </c>
      <c r="L67" s="74">
        <f t="shared" si="7"/>
        <v>8633703.8872446287</v>
      </c>
      <c r="M67" s="74">
        <f t="shared" si="7"/>
        <v>8269354.3474898096</v>
      </c>
      <c r="N67" s="74">
        <f t="shared" si="7"/>
        <v>7460807.874959358</v>
      </c>
      <c r="O67" s="74">
        <f t="shared" si="7"/>
        <v>6059977.9699773639</v>
      </c>
      <c r="P67" s="74">
        <f t="shared" si="7"/>
        <v>4357608.9964517429</v>
      </c>
      <c r="Q67" s="74">
        <f t="shared" si="7"/>
        <v>7448676.9243692234</v>
      </c>
      <c r="R67" s="74">
        <f t="shared" si="7"/>
        <v>6741979.2009526473</v>
      </c>
      <c r="S67" s="74">
        <f t="shared" si="7"/>
        <v>5634898.1007376397</v>
      </c>
      <c r="T67" s="74">
        <f t="shared" si="7"/>
        <v>4256436.5517975502</v>
      </c>
      <c r="U67" s="74">
        <f t="shared" si="7"/>
        <v>3343114.0166834816</v>
      </c>
      <c r="V67" s="74">
        <f t="shared" si="7"/>
        <v>2767880.0626681764</v>
      </c>
      <c r="W67" s="74">
        <f t="shared" si="7"/>
        <v>1587355.6358073778</v>
      </c>
      <c r="X67" s="74">
        <f t="shared" si="7"/>
        <v>292473.56769573945</v>
      </c>
      <c r="Y67" s="74">
        <f t="shared" si="7"/>
        <v>0</v>
      </c>
      <c r="Z67" s="74">
        <f t="shared" si="7"/>
        <v>0</v>
      </c>
      <c r="AA67" s="74">
        <f t="shared" si="7"/>
        <v>0</v>
      </c>
      <c r="AB67" s="74">
        <f t="shared" si="7"/>
        <v>0</v>
      </c>
      <c r="AC67" s="74">
        <f t="shared" si="7"/>
        <v>0</v>
      </c>
      <c r="AD67" s="74">
        <f t="shared" si="7"/>
        <v>0</v>
      </c>
      <c r="AE67" s="74">
        <f t="shared" si="7"/>
        <v>0</v>
      </c>
      <c r="AF67" s="74">
        <f t="shared" si="7"/>
        <v>0</v>
      </c>
      <c r="AG67" s="74">
        <f t="shared" si="7"/>
        <v>0</v>
      </c>
      <c r="AH67" s="74">
        <f t="shared" si="7"/>
        <v>0</v>
      </c>
      <c r="AI67" s="74">
        <f t="shared" si="7"/>
        <v>0</v>
      </c>
      <c r="AJ67" s="74">
        <f t="shared" si="7"/>
        <v>0</v>
      </c>
      <c r="AK67" s="74">
        <f t="shared" si="7"/>
        <v>0</v>
      </c>
      <c r="AL67" s="74">
        <f t="shared" si="7"/>
        <v>0</v>
      </c>
      <c r="AM67" s="74">
        <f t="shared" si="7"/>
        <v>0</v>
      </c>
      <c r="AN67" s="74">
        <f t="shared" si="7"/>
        <v>0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351</v>
      </c>
      <c r="C69" s="12">
        <f>Base!$BJ$283</f>
        <v>3200000</v>
      </c>
      <c r="D69" s="12"/>
      <c r="E69" s="149">
        <f>C69+E61+E66</f>
        <v>3400000</v>
      </c>
      <c r="F69" s="149">
        <f t="shared" ref="F69:AN69" si="8">E69+F61+F66</f>
        <v>3400000</v>
      </c>
      <c r="G69" s="149">
        <f t="shared" si="8"/>
        <v>3400000</v>
      </c>
      <c r="H69" s="149">
        <f t="shared" si="8"/>
        <v>3400000</v>
      </c>
      <c r="I69" s="149">
        <f t="shared" si="8"/>
        <v>3400000</v>
      </c>
      <c r="J69" s="149">
        <f t="shared" si="8"/>
        <v>3400000</v>
      </c>
      <c r="K69" s="149">
        <f t="shared" si="8"/>
        <v>3400000</v>
      </c>
      <c r="L69" s="149">
        <f t="shared" si="8"/>
        <v>3400000</v>
      </c>
      <c r="M69" s="149">
        <f t="shared" si="8"/>
        <v>3400000</v>
      </c>
      <c r="N69" s="149">
        <f t="shared" si="8"/>
        <v>3400000</v>
      </c>
      <c r="O69" s="149">
        <f t="shared" si="8"/>
        <v>3400000</v>
      </c>
      <c r="P69" s="149">
        <f t="shared" si="8"/>
        <v>3400000.0000000005</v>
      </c>
      <c r="Q69" s="149">
        <f t="shared" si="8"/>
        <v>6800000</v>
      </c>
      <c r="R69" s="149">
        <f t="shared" si="8"/>
        <v>6800000</v>
      </c>
      <c r="S69" s="149">
        <f t="shared" si="8"/>
        <v>6800000</v>
      </c>
      <c r="T69" s="149">
        <f t="shared" si="8"/>
        <v>6800000</v>
      </c>
      <c r="U69" s="149">
        <f t="shared" si="8"/>
        <v>6800000</v>
      </c>
      <c r="V69" s="149">
        <f t="shared" si="8"/>
        <v>6800000</v>
      </c>
      <c r="W69" s="149">
        <f t="shared" si="8"/>
        <v>6800000</v>
      </c>
      <c r="X69" s="149">
        <f t="shared" si="8"/>
        <v>6800000</v>
      </c>
      <c r="Y69" s="149">
        <f t="shared" si="8"/>
        <v>7516690.3913617078</v>
      </c>
      <c r="Z69" s="149">
        <f t="shared" si="8"/>
        <v>8356693.5200801212</v>
      </c>
      <c r="AA69" s="149">
        <f t="shared" si="8"/>
        <v>9739920.1431055609</v>
      </c>
      <c r="AB69" s="149">
        <f t="shared" si="8"/>
        <v>11635211.922069162</v>
      </c>
      <c r="AC69" s="149">
        <f t="shared" si="8"/>
        <v>12760308.891129635</v>
      </c>
      <c r="AD69" s="149">
        <f t="shared" si="8"/>
        <v>13955843.045358775</v>
      </c>
      <c r="AE69" s="149">
        <f t="shared" si="8"/>
        <v>15439892.586239908</v>
      </c>
      <c r="AF69" s="149">
        <f t="shared" si="8"/>
        <v>16816256.812058363</v>
      </c>
      <c r="AG69" s="149">
        <f t="shared" si="8"/>
        <v>18181038.004920587</v>
      </c>
      <c r="AH69" s="149">
        <f t="shared" si="8"/>
        <v>19328629.892966095</v>
      </c>
      <c r="AI69" s="149">
        <f t="shared" si="8"/>
        <v>20304003.592472758</v>
      </c>
      <c r="AJ69" s="149">
        <f t="shared" si="8"/>
        <v>21184134.718674734</v>
      </c>
      <c r="AK69" s="149">
        <f t="shared" si="8"/>
        <v>21891136.239691839</v>
      </c>
      <c r="AL69" s="149">
        <f t="shared" si="8"/>
        <v>23028493.25205319</v>
      </c>
      <c r="AM69" s="149">
        <f t="shared" si="8"/>
        <v>24461014.613604326</v>
      </c>
      <c r="AN69" s="149">
        <f t="shared" si="8"/>
        <v>26204841.485555761</v>
      </c>
    </row>
    <row r="70" spans="2:40" x14ac:dyDescent="0.25">
      <c r="B70" s="39" t="s">
        <v>352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0</v>
      </c>
      <c r="K70" s="74">
        <f t="shared" si="9"/>
        <v>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3399999.9999999995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716690.39136170759</v>
      </c>
      <c r="Z70" s="74">
        <f t="shared" si="9"/>
        <v>840003.12871841341</v>
      </c>
      <c r="AA70" s="74">
        <f t="shared" si="9"/>
        <v>1383226.623025439</v>
      </c>
      <c r="AB70" s="74">
        <f t="shared" si="9"/>
        <v>1895291.7789636003</v>
      </c>
      <c r="AC70" s="74">
        <f t="shared" si="9"/>
        <v>1125096.9690604724</v>
      </c>
      <c r="AD70" s="74">
        <f t="shared" si="9"/>
        <v>1195534.1542291397</v>
      </c>
      <c r="AE70" s="74">
        <f t="shared" si="9"/>
        <v>1484049.540881132</v>
      </c>
      <c r="AF70" s="74">
        <f t="shared" si="9"/>
        <v>1376364.2258184545</v>
      </c>
      <c r="AG70" s="74">
        <f t="shared" si="9"/>
        <v>1364781.1928622238</v>
      </c>
      <c r="AH70" s="74">
        <f t="shared" si="9"/>
        <v>1147591.88804551</v>
      </c>
      <c r="AI70" s="74">
        <f t="shared" si="9"/>
        <v>975373.69950666372</v>
      </c>
      <c r="AJ70" s="74">
        <f t="shared" si="9"/>
        <v>880131.12620197749</v>
      </c>
      <c r="AK70" s="74">
        <f t="shared" si="9"/>
        <v>707001.52101710578</v>
      </c>
      <c r="AL70" s="74">
        <f t="shared" si="9"/>
        <v>1137357.0123613523</v>
      </c>
      <c r="AM70" s="74">
        <f t="shared" si="9"/>
        <v>1432521.3615511367</v>
      </c>
      <c r="AN70" s="74">
        <f t="shared" si="9"/>
        <v>1743826.8719514362</v>
      </c>
    </row>
    <row r="71" spans="2:40" x14ac:dyDescent="0.25">
      <c r="Z71" s="67"/>
      <c r="AN71" s="67"/>
    </row>
    <row r="72" spans="2:40" x14ac:dyDescent="0.25">
      <c r="E72" s="97" t="s">
        <v>353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815B-A8A7-459F-9B1C-14D25C50EC08}">
  <sheetPr>
    <tabColor theme="9" tint="0.79998168889431442"/>
  </sheetPr>
  <dimension ref="A1:AN78"/>
  <sheetViews>
    <sheetView workbookViewId="0">
      <pane xSplit="4" ySplit="25" topLeftCell="E26" activePane="bottomRight" state="frozen"/>
      <selection pane="topRight" activeCell="E1" sqref="E1"/>
      <selection pane="bottomLeft" activeCell="A26" sqref="A26"/>
      <selection pane="bottomRight" activeCell="D30" sqref="D30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 t="s">
        <v>354</v>
      </c>
      <c r="B1" s="3"/>
      <c r="C1" s="3"/>
      <c r="D1" s="55" t="s">
        <v>56</v>
      </c>
      <c r="E1" s="168" cm="1">
        <f t="array" ref="E1">_xlfn.LET(_xlpm.data,_xlfn.VSTACK('MDA1:NCA9'!E1),_xlpm.states,_xlfn.VSTACK('MDA1:NCA9'!$B$2),
SUM(_xlfn._xlws.FILTER(_xlpm.data,(_xlpm.states="Arizona")+(_xlpm.states="Maryland")+(_xlpm.states="North Carolina"))))</f>
        <v>328</v>
      </c>
      <c r="F1" s="168" cm="1">
        <f t="array" ref="F1">_xlfn.LET(_xlpm.data,_xlfn.VSTACK('MDA1:NCA9'!F1),_xlpm.states,_xlfn.VSTACK('MDA1:NCA9'!$B$2),
SUM(_xlfn._xlws.FILTER(_xlpm.data,(_xlpm.states="Arizona")+(_xlpm.states="Maryland")+(_xlpm.states="North Carolina"))))</f>
        <v>337</v>
      </c>
      <c r="G1" s="168" cm="1">
        <f t="array" ref="G1">_xlfn.LET(_xlpm.data,_xlfn.VSTACK('MDA1:NCA9'!G1),_xlpm.states,_xlfn.VSTACK('MDA1:NCA9'!$B$2),
SUM(_xlfn._xlws.FILTER(_xlpm.data,(_xlpm.states="Arizona")+(_xlpm.states="Maryland")+(_xlpm.states="North Carolina"))))</f>
        <v>347</v>
      </c>
      <c r="H1" s="168" cm="1">
        <f t="array" ref="H1">_xlfn.LET(_xlpm.data,_xlfn.VSTACK('MDA1:NCA9'!H1),_xlpm.states,_xlfn.VSTACK('MDA1:NCA9'!$B$2),
SUM(_xlfn._xlws.FILTER(_xlpm.data,(_xlpm.states="Arizona")+(_xlpm.states="Maryland")+(_xlpm.states="North Carolina"))))</f>
        <v>354</v>
      </c>
      <c r="I1" s="168" cm="1">
        <f t="array" ref="I1">_xlfn.LET(_xlpm.data,_xlfn.VSTACK('MDA1:NCA9'!I1),_xlpm.states,_xlfn.VSTACK('MDA1:NCA9'!$B$2),
SUM(_xlfn._xlws.FILTER(_xlpm.data,(_xlpm.states="Arizona")+(_xlpm.states="Maryland")+(_xlpm.states="North Carolina"))))</f>
        <v>360</v>
      </c>
      <c r="J1" s="168" cm="1">
        <f t="array" ref="J1">_xlfn.LET(_xlpm.data,_xlfn.VSTACK('MDA1:NCA9'!J1),_xlpm.states,_xlfn.VSTACK('MDA1:NCA9'!$B$2),
SUM(_xlfn._xlws.FILTER(_xlpm.data,(_xlpm.states="Arizona")+(_xlpm.states="Maryland")+(_xlpm.states="North Carolina"))))</f>
        <v>371</v>
      </c>
      <c r="K1" s="168" cm="1">
        <f t="array" ref="K1">_xlfn.LET(_xlpm.data,_xlfn.VSTACK('MDA1:NCA9'!K1),_xlpm.states,_xlfn.VSTACK('MDA1:NCA9'!$B$2),
SUM(_xlfn._xlws.FILTER(_xlpm.data,(_xlpm.states="Arizona")+(_xlpm.states="Maryland")+(_xlpm.states="North Carolina"))))</f>
        <v>389</v>
      </c>
      <c r="L1" s="168" cm="1">
        <f t="array" ref="L1">_xlfn.LET(_xlpm.data,_xlfn.VSTACK('MDA1:NCA9'!L1),_xlpm.states,_xlfn.VSTACK('MDA1:NCA9'!$B$2),
SUM(_xlfn._xlws.FILTER(_xlpm.data,(_xlpm.states="Arizona")+(_xlpm.states="Maryland")+(_xlpm.states="North Carolina"))))</f>
        <v>399</v>
      </c>
      <c r="M1" s="168" cm="1">
        <f t="array" ref="M1">_xlfn.LET(_xlpm.data,_xlfn.VSTACK('MDA1:NCA9'!M1),_xlpm.states,_xlfn.VSTACK('MDA1:NCA9'!$B$2),
SUM(_xlfn._xlws.FILTER(_xlpm.data,(_xlpm.states="Arizona")+(_xlpm.states="Maryland")+(_xlpm.states="North Carolina"))))</f>
        <v>410</v>
      </c>
      <c r="N1" s="168" cm="1">
        <f t="array" ref="N1">_xlfn.LET(_xlpm.data,_xlfn.VSTACK('MDA1:NCA9'!N1),_xlpm.states,_xlfn.VSTACK('MDA1:NCA9'!$B$2),
SUM(_xlfn._xlws.FILTER(_xlpm.data,(_xlpm.states="Arizona")+(_xlpm.states="Maryland")+(_xlpm.states="North Carolina"))))</f>
        <v>423</v>
      </c>
      <c r="O1" s="168" cm="1">
        <f t="array" ref="O1">_xlfn.LET(_xlpm.data,_xlfn.VSTACK('MDA1:NCA9'!O1),_xlpm.states,_xlfn.VSTACK('MDA1:NCA9'!$B$2),
SUM(_xlfn._xlws.FILTER(_xlpm.data,(_xlpm.states="Arizona")+(_xlpm.states="Maryland")+(_xlpm.states="North Carolina"))))</f>
        <v>438</v>
      </c>
      <c r="P1" s="168" cm="1">
        <f t="array" ref="P1">_xlfn.LET(_xlpm.data,_xlfn.VSTACK('MDA1:NCA9'!P1),_xlpm.states,_xlfn.VSTACK('MDA1:NCA9'!$B$2),
SUM(_xlfn._xlws.FILTER(_xlpm.data,(_xlpm.states="Arizona")+(_xlpm.states="Maryland")+(_xlpm.states="North Carolina"))))</f>
        <v>455</v>
      </c>
      <c r="Q1" s="168" cm="1">
        <f t="array" ref="Q1">_xlfn.LET(_xlpm.data,_xlfn.VSTACK('MDA1:NCA9'!Q1),_xlpm.states,_xlfn.VSTACK('MDA1:NCA9'!$B$2),
SUM(_xlfn._xlws.FILTER(_xlpm.data,(_xlpm.states="Arizona")+(_xlpm.states="Maryland")+(_xlpm.states="North Carolina"))))</f>
        <v>470</v>
      </c>
      <c r="R1" s="168" cm="1">
        <f t="array" ref="R1">_xlfn.LET(_xlpm.data,_xlfn.VSTACK('MDA1:NCA9'!R1),_xlpm.states,_xlfn.VSTACK('MDA1:NCA9'!$B$2),
SUM(_xlfn._xlws.FILTER(_xlpm.data,(_xlpm.states="Arizona")+(_xlpm.states="Maryland")+(_xlpm.states="North Carolina"))))</f>
        <v>485</v>
      </c>
      <c r="S1" s="168" cm="1">
        <f t="array" ref="S1">_xlfn.LET(_xlpm.data,_xlfn.VSTACK('MDA1:NCA9'!S1),_xlpm.states,_xlfn.VSTACK('MDA1:NCA9'!$B$2),
SUM(_xlfn._xlws.FILTER(_xlpm.data,(_xlpm.states="Arizona")+(_xlpm.states="Maryland")+(_xlpm.states="North Carolina"))))</f>
        <v>498</v>
      </c>
      <c r="T1" s="168" cm="1">
        <f t="array" ref="T1">_xlfn.LET(_xlpm.data,_xlfn.VSTACK('MDA1:NCA9'!T1),_xlpm.states,_xlfn.VSTACK('MDA1:NCA9'!$B$2),
SUM(_xlfn._xlws.FILTER(_xlpm.data,(_xlpm.states="Arizona")+(_xlpm.states="Maryland")+(_xlpm.states="North Carolina"))))</f>
        <v>511</v>
      </c>
      <c r="U1" s="168" cm="1">
        <f t="array" ref="U1">_xlfn.LET(_xlpm.data,_xlfn.VSTACK('MDA1:NCA9'!U1),_xlpm.states,_xlfn.VSTACK('MDA1:NCA9'!$B$2),
SUM(_xlfn._xlws.FILTER(_xlpm.data,(_xlpm.states="Arizona")+(_xlpm.states="Maryland")+(_xlpm.states="North Carolina"))))</f>
        <v>524</v>
      </c>
      <c r="V1" s="168" cm="1">
        <f t="array" ref="V1">_xlfn.LET(_xlpm.data,_xlfn.VSTACK('MDA1:NCA9'!V1),_xlpm.states,_xlfn.VSTACK('MDA1:NCA9'!$B$2),
SUM(_xlfn._xlws.FILTER(_xlpm.data,(_xlpm.states="Arizona")+(_xlpm.states="Maryland")+(_xlpm.states="North Carolina"))))</f>
        <v>538</v>
      </c>
      <c r="W1" s="168" cm="1">
        <f t="array" ref="W1">_xlfn.LET(_xlpm.data,_xlfn.VSTACK('MDA1:NCA9'!W1),_xlpm.states,_xlfn.VSTACK('MDA1:NCA9'!$B$2),
SUM(_xlfn._xlws.FILTER(_xlpm.data,(_xlpm.states="Arizona")+(_xlpm.states="Maryland")+(_xlpm.states="North Carolina"))))</f>
        <v>554</v>
      </c>
      <c r="X1" s="168" cm="1">
        <f t="array" ref="X1">_xlfn.LET(_xlpm.data,_xlfn.VSTACK('MDA1:NCA9'!X1),_xlpm.states,_xlfn.VSTACK('MDA1:NCA9'!$B$2),
SUM(_xlfn._xlws.FILTER(_xlpm.data,(_xlpm.states="Arizona")+(_xlpm.states="Maryland")+(_xlpm.states="North Carolina"))))</f>
        <v>569</v>
      </c>
      <c r="Y1" s="168" cm="1">
        <f t="array" ref="Y1">_xlfn.LET(_xlpm.data,_xlfn.VSTACK('MDA1:NCA9'!Y1),_xlpm.states,_xlfn.VSTACK('MDA1:NCA9'!$B$2),
SUM(_xlfn._xlws.FILTER(_xlpm.data,(_xlpm.states="Arizona")+(_xlpm.states="Maryland")+(_xlpm.states="North Carolina"))))</f>
        <v>583</v>
      </c>
      <c r="Z1" s="168" cm="1">
        <f t="array" ref="Z1">_xlfn.LET(_xlpm.data,_xlfn.VSTACK('MDA1:NCA9'!Z1),_xlpm.states,_xlfn.VSTACK('MDA1:NCA9'!$B$2),
SUM(_xlfn._xlws.FILTER(_xlpm.data,(_xlpm.states="Arizona")+(_xlpm.states="Maryland")+(_xlpm.states="North Carolina"))))</f>
        <v>597</v>
      </c>
      <c r="AA1" s="168" cm="1">
        <f t="array" ref="AA1">_xlfn.LET(_xlpm.data,_xlfn.VSTACK('MDA1:NCA9'!AA1),_xlpm.states,_xlfn.VSTACK('MDA1:NCA9'!$B$2),
SUM(_xlfn._xlws.FILTER(_xlpm.data,(_xlpm.states="Arizona")+(_xlpm.states="Maryland")+(_xlpm.states="North Carolina"))))</f>
        <v>610</v>
      </c>
      <c r="AB1" s="168" cm="1">
        <f t="array" ref="AB1">_xlfn.LET(_xlpm.data,_xlfn.VSTACK('MDA1:NCA9'!AB1),_xlpm.states,_xlfn.VSTACK('MDA1:NCA9'!$B$2),
SUM(_xlfn._xlws.FILTER(_xlpm.data,(_xlpm.states="Arizona")+(_xlpm.states="Maryland")+(_xlpm.states="North Carolina"))))</f>
        <v>620</v>
      </c>
      <c r="AC1" s="168" cm="1">
        <f t="array" ref="AC1">_xlfn.LET(_xlpm.data,_xlfn.VSTACK('MDA1:NCA9'!AC1),_xlpm.states,_xlfn.VSTACK('MDA1:NCA9'!$B$2),
SUM(_xlfn._xlws.FILTER(_xlpm.data,(_xlpm.states="Arizona")+(_xlpm.states="Maryland")+(_xlpm.states="North Carolina"))))</f>
        <v>631</v>
      </c>
      <c r="AD1" s="168" cm="1">
        <f t="array" ref="AD1">_xlfn.LET(_xlpm.data,_xlfn.VSTACK('MDA1:NCA9'!AD1),_xlpm.states,_xlfn.VSTACK('MDA1:NCA9'!$B$2),
SUM(_xlfn._xlws.FILTER(_xlpm.data,(_xlpm.states="Arizona")+(_xlpm.states="Maryland")+(_xlpm.states="North Carolina"))))</f>
        <v>642</v>
      </c>
      <c r="AE1" s="168" cm="1">
        <f t="array" ref="AE1">_xlfn.LET(_xlpm.data,_xlfn.VSTACK('MDA1:NCA9'!AE1),_xlpm.states,_xlfn.VSTACK('MDA1:NCA9'!$B$2),
SUM(_xlfn._xlws.FILTER(_xlpm.data,(_xlpm.states="Arizona")+(_xlpm.states="Maryland")+(_xlpm.states="North Carolina"))))</f>
        <v>650</v>
      </c>
      <c r="AF1" s="168" cm="1">
        <f t="array" ref="AF1">_xlfn.LET(_xlpm.data,_xlfn.VSTACK('MDA1:NCA9'!AF1),_xlpm.states,_xlfn.VSTACK('MDA1:NCA9'!$B$2),
SUM(_xlfn._xlws.FILTER(_xlpm.data,(_xlpm.states="Arizona")+(_xlpm.states="Maryland")+(_xlpm.states="North Carolina"))))</f>
        <v>658</v>
      </c>
      <c r="AG1" s="168" cm="1">
        <f t="array" ref="AG1">_xlfn.LET(_xlpm.data,_xlfn.VSTACK('MDA1:NCA9'!AG1),_xlpm.states,_xlfn.VSTACK('MDA1:NCA9'!$B$2),
SUM(_xlfn._xlws.FILTER(_xlpm.data,(_xlpm.states="Arizona")+(_xlpm.states="Maryland")+(_xlpm.states="North Carolina"))))</f>
        <v>667</v>
      </c>
      <c r="AH1" s="168" cm="1">
        <f t="array" ref="AH1">_xlfn.LET(_xlpm.data,_xlfn.VSTACK('MDA1:NCA9'!AH1),_xlpm.states,_xlfn.VSTACK('MDA1:NCA9'!$B$2),
SUM(_xlfn._xlws.FILTER(_xlpm.data,(_xlpm.states="Arizona")+(_xlpm.states="Maryland")+(_xlpm.states="North Carolina"))))</f>
        <v>681</v>
      </c>
      <c r="AI1" s="168" cm="1">
        <f t="array" ref="AI1">_xlfn.LET(_xlpm.data,_xlfn.VSTACK('MDA1:NCA9'!AI1),_xlpm.states,_xlfn.VSTACK('MDA1:NCA9'!$B$2),
SUM(_xlfn._xlws.FILTER(_xlpm.data,(_xlpm.states="Arizona")+(_xlpm.states="Maryland")+(_xlpm.states="North Carolina"))))</f>
        <v>696</v>
      </c>
      <c r="AJ1" s="168" cm="1">
        <f t="array" ref="AJ1">_xlfn.LET(_xlpm.data,_xlfn.VSTACK('MDA1:NCA9'!AJ1),_xlpm.states,_xlfn.VSTACK('MDA1:NCA9'!$B$2),
SUM(_xlfn._xlws.FILTER(_xlpm.data,(_xlpm.states="Arizona")+(_xlpm.states="Maryland")+(_xlpm.states="North Carolina"))))</f>
        <v>710</v>
      </c>
      <c r="AK1" s="168" cm="1">
        <f t="array" ref="AK1">_xlfn.LET(_xlpm.data,_xlfn.VSTACK('MDA1:NCA9'!AK1),_xlpm.states,_xlfn.VSTACK('MDA1:NCA9'!$B$2),
SUM(_xlfn._xlws.FILTER(_xlpm.data,(_xlpm.states="Arizona")+(_xlpm.states="Maryland")+(_xlpm.states="North Carolina"))))</f>
        <v>722</v>
      </c>
      <c r="AL1" s="168" cm="1">
        <f t="array" ref="AL1">_xlfn.LET(_xlpm.data,_xlfn.VSTACK('MDA1:NCA9'!AL1),_xlpm.states,_xlfn.VSTACK('MDA1:NCA9'!$B$2),
SUM(_xlfn._xlws.FILTER(_xlpm.data,(_xlpm.states="Arizona")+(_xlpm.states="Maryland")+(_xlpm.states="North Carolina"))))</f>
        <v>731</v>
      </c>
      <c r="AM1" s="168" cm="1">
        <f t="array" ref="AM1">_xlfn.LET(_xlpm.data,_xlfn.VSTACK('MDA1:NCA9'!AM1),_xlpm.states,_xlfn.VSTACK('MDA1:NCA9'!$B$2),
SUM(_xlfn._xlws.FILTER(_xlpm.data,(_xlpm.states="Arizona")+(_xlpm.states="Maryland")+(_xlpm.states="North Carolina"))))</f>
        <v>740</v>
      </c>
      <c r="AN1" s="168" cm="1">
        <f t="array" ref="AN1">_xlfn.LET(_xlpm.data,_xlfn.VSTACK('MDA1:NCA9'!AN1),_xlpm.states,_xlfn.VSTACK('MDA1:NCA9'!$B$2),
SUM(_xlfn._xlws.FILTER(_xlpm.data,(_xlpm.states="Arizona")+(_xlpm.states="Maryland")+(_xlpm.states="North Carolina"))))</f>
        <v>748</v>
      </c>
    </row>
    <row r="2" spans="1:40" outlineLevel="1" x14ac:dyDescent="0.25">
      <c r="B2" s="1" t="s">
        <v>329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outlineLevel="1" x14ac:dyDescent="0.25">
      <c r="B4" s="39" t="s">
        <v>355</v>
      </c>
      <c r="C4" s="3"/>
      <c r="D4" s="3"/>
      <c r="E4" s="168" cm="1">
        <f t="array" ref="E4">_xlfn.LET(_xlpm.data,_xlfn.VSTACK('MDA1:NCA9'!E21),_xlpm.states,_xlfn.VSTACK('MDA1:NCA9'!$B$2),
SUM(_xlfn._xlws.FILTER(_xlpm.data,(_xlpm.states="Arizona")+(_xlpm.states="Maryland")+(_xlpm.states="North Carolina"))))</f>
        <v>224</v>
      </c>
      <c r="F4" s="168" cm="1">
        <f t="array" ref="F4">_xlfn.LET(_xlpm.data,_xlfn.VSTACK('MDA1:NCA9'!F21),_xlpm.states,_xlfn.VSTACK('MDA1:NCA9'!$B$2),
SUM(_xlfn._xlws.FILTER(_xlpm.data,(_xlpm.states="Arizona")+(_xlpm.states="Maryland")+(_xlpm.states="North Carolina"))))</f>
        <v>229</v>
      </c>
      <c r="G4" s="168" cm="1">
        <f t="array" ref="G4">_xlfn.LET(_xlpm.data,_xlfn.VSTACK('MDA1:NCA9'!G21),_xlpm.states,_xlfn.VSTACK('MDA1:NCA9'!$B$2),
SUM(_xlfn._xlws.FILTER(_xlpm.data,(_xlpm.states="Arizona")+(_xlpm.states="Maryland")+(_xlpm.states="North Carolina"))))</f>
        <v>236</v>
      </c>
      <c r="H4" s="168" cm="1">
        <f t="array" ref="H4">_xlfn.LET(_xlpm.data,_xlfn.VSTACK('MDA1:NCA9'!H21),_xlpm.states,_xlfn.VSTACK('MDA1:NCA9'!$B$2),
SUM(_xlfn._xlws.FILTER(_xlpm.data,(_xlpm.states="Arizona")+(_xlpm.states="Maryland")+(_xlpm.states="North Carolina"))))</f>
        <v>240</v>
      </c>
      <c r="I4" s="168" cm="1">
        <f t="array" ref="I4">_xlfn.LET(_xlpm.data,_xlfn.VSTACK('MDA1:NCA9'!I21),_xlpm.states,_xlfn.VSTACK('MDA1:NCA9'!$B$2),
SUM(_xlfn._xlws.FILTER(_xlpm.data,(_xlpm.states="Arizona")+(_xlpm.states="Maryland")+(_xlpm.states="North Carolina"))))</f>
        <v>243</v>
      </c>
      <c r="J4" s="168" cm="1">
        <f t="array" ref="J4">_xlfn.LET(_xlpm.data,_xlfn.VSTACK('MDA1:NCA9'!J21),_xlpm.states,_xlfn.VSTACK('MDA1:NCA9'!$B$2),
SUM(_xlfn._xlws.FILTER(_xlpm.data,(_xlpm.states="Arizona")+(_xlpm.states="Maryland")+(_xlpm.states="North Carolina"))))</f>
        <v>250</v>
      </c>
      <c r="K4" s="168" cm="1">
        <f t="array" ref="K4">_xlfn.LET(_xlpm.data,_xlfn.VSTACK('MDA1:NCA9'!K21),_xlpm.states,_xlfn.VSTACK('MDA1:NCA9'!$B$2),
SUM(_xlfn._xlws.FILTER(_xlpm.data,(_xlpm.states="Arizona")+(_xlpm.states="Maryland")+(_xlpm.states="North Carolina"))))</f>
        <v>269</v>
      </c>
      <c r="L4" s="168" cm="1">
        <f t="array" ref="L4">_xlfn.LET(_xlpm.data,_xlfn.VSTACK('MDA1:NCA9'!L21),_xlpm.states,_xlfn.VSTACK('MDA1:NCA9'!$B$2),
SUM(_xlfn._xlws.FILTER(_xlpm.data,(_xlpm.states="Arizona")+(_xlpm.states="Maryland")+(_xlpm.states="North Carolina"))))</f>
        <v>275</v>
      </c>
      <c r="M4" s="168" cm="1">
        <f t="array" ref="M4">_xlfn.LET(_xlpm.data,_xlfn.VSTACK('MDA1:NCA9'!M21),_xlpm.states,_xlfn.VSTACK('MDA1:NCA9'!$B$2),
SUM(_xlfn._xlws.FILTER(_xlpm.data,(_xlpm.states="Arizona")+(_xlpm.states="Maryland")+(_xlpm.states="North Carolina"))))</f>
        <v>282</v>
      </c>
      <c r="N4" s="168" cm="1">
        <f t="array" ref="N4">_xlfn.LET(_xlpm.data,_xlfn.VSTACK('MDA1:NCA9'!N21),_xlpm.states,_xlfn.VSTACK('MDA1:NCA9'!$B$2),
SUM(_xlfn._xlws.FILTER(_xlpm.data,(_xlpm.states="Arizona")+(_xlpm.states="Maryland")+(_xlpm.states="North Carolina"))))</f>
        <v>292</v>
      </c>
      <c r="O4" s="168" cm="1">
        <f t="array" ref="O4">_xlfn.LET(_xlpm.data,_xlfn.VSTACK('MDA1:NCA9'!O21),_xlpm.states,_xlfn.VSTACK('MDA1:NCA9'!$B$2),
SUM(_xlfn._xlws.FILTER(_xlpm.data,(_xlpm.states="Arizona")+(_xlpm.states="Maryland")+(_xlpm.states="North Carolina"))))</f>
        <v>305</v>
      </c>
      <c r="P4" s="168" cm="1">
        <f t="array" ref="P4">_xlfn.LET(_xlpm.data,_xlfn.VSTACK('MDA1:NCA9'!P21),_xlpm.states,_xlfn.VSTACK('MDA1:NCA9'!$B$2),
SUM(_xlfn._xlws.FILTER(_xlpm.data,(_xlpm.states="Arizona")+(_xlpm.states="Maryland")+(_xlpm.states="North Carolina"))))</f>
        <v>320</v>
      </c>
      <c r="Q4" s="168" cm="1">
        <f t="array" ref="Q4">_xlfn.LET(_xlpm.data,_xlfn.VSTACK('MDA1:NCA9'!Q21),_xlpm.states,_xlfn.VSTACK('MDA1:NCA9'!$B$2),
SUM(_xlfn._xlws.FILTER(_xlpm.data,(_xlpm.states="Arizona")+(_xlpm.states="Maryland")+(_xlpm.states="North Carolina"))))</f>
        <v>333</v>
      </c>
      <c r="R4" s="168" cm="1">
        <f t="array" ref="R4">_xlfn.LET(_xlpm.data,_xlfn.VSTACK('MDA1:NCA9'!R21),_xlpm.states,_xlfn.VSTACK('MDA1:NCA9'!$B$2),
SUM(_xlfn._xlws.FILTER(_xlpm.data,(_xlpm.states="Arizona")+(_xlpm.states="Maryland")+(_xlpm.states="North Carolina"))))</f>
        <v>346</v>
      </c>
      <c r="S4" s="168" cm="1">
        <f t="array" ref="S4">_xlfn.LET(_xlpm.data,_xlfn.VSTACK('MDA1:NCA9'!S21),_xlpm.states,_xlfn.VSTACK('MDA1:NCA9'!$B$2),
SUM(_xlfn._xlws.FILTER(_xlpm.data,(_xlpm.states="Arizona")+(_xlpm.states="Maryland")+(_xlpm.states="North Carolina"))))</f>
        <v>358</v>
      </c>
      <c r="T4" s="168" cm="1">
        <f t="array" ref="T4">_xlfn.LET(_xlpm.data,_xlfn.VSTACK('MDA1:NCA9'!T21),_xlpm.states,_xlfn.VSTACK('MDA1:NCA9'!$B$2),
SUM(_xlfn._xlws.FILTER(_xlpm.data,(_xlpm.states="Arizona")+(_xlpm.states="Maryland")+(_xlpm.states="North Carolina"))))</f>
        <v>369</v>
      </c>
      <c r="U4" s="168" cm="1">
        <f t="array" ref="U4">_xlfn.LET(_xlpm.data,_xlfn.VSTACK('MDA1:NCA9'!U21),_xlpm.states,_xlfn.VSTACK('MDA1:NCA9'!$B$2),
SUM(_xlfn._xlws.FILTER(_xlpm.data,(_xlpm.states="Arizona")+(_xlpm.states="Maryland")+(_xlpm.states="North Carolina"))))</f>
        <v>381</v>
      </c>
      <c r="V4" s="168" cm="1">
        <f t="array" ref="V4">_xlfn.LET(_xlpm.data,_xlfn.VSTACK('MDA1:NCA9'!V21),_xlpm.states,_xlfn.VSTACK('MDA1:NCA9'!$B$2),
SUM(_xlfn._xlws.FILTER(_xlpm.data,(_xlpm.states="Arizona")+(_xlpm.states="Maryland")+(_xlpm.states="North Carolina"))))</f>
        <v>392</v>
      </c>
      <c r="W4" s="168" cm="1">
        <f t="array" ref="W4">_xlfn.LET(_xlpm.data,_xlfn.VSTACK('MDA1:NCA9'!W21),_xlpm.states,_xlfn.VSTACK('MDA1:NCA9'!$B$2),
SUM(_xlfn._xlws.FILTER(_xlpm.data,(_xlpm.states="Arizona")+(_xlpm.states="Maryland")+(_xlpm.states="North Carolina"))))</f>
        <v>408</v>
      </c>
      <c r="X4" s="168" cm="1">
        <f t="array" ref="X4">_xlfn.LET(_xlpm.data,_xlfn.VSTACK('MDA1:NCA9'!X21),_xlpm.states,_xlfn.VSTACK('MDA1:NCA9'!$B$2),
SUM(_xlfn._xlws.FILTER(_xlpm.data,(_xlpm.states="Arizona")+(_xlpm.states="Maryland")+(_xlpm.states="North Carolina"))))</f>
        <v>423</v>
      </c>
      <c r="Y4" s="168" cm="1">
        <f t="array" ref="Y4">_xlfn.LET(_xlpm.data,_xlfn.VSTACK('MDA1:NCA9'!Y21),_xlpm.states,_xlfn.VSTACK('MDA1:NCA9'!$B$2),
SUM(_xlfn._xlws.FILTER(_xlpm.data,(_xlpm.states="Arizona")+(_xlpm.states="Maryland")+(_xlpm.states="North Carolina"))))</f>
        <v>434</v>
      </c>
      <c r="Z4" s="168" cm="1">
        <f t="array" ref="Z4">_xlfn.LET(_xlpm.data,_xlfn.VSTACK('MDA1:NCA9'!Z21),_xlpm.states,_xlfn.VSTACK('MDA1:NCA9'!$B$2),
SUM(_xlfn._xlws.FILTER(_xlpm.data,(_xlpm.states="Arizona")+(_xlpm.states="Maryland")+(_xlpm.states="North Carolina"))))</f>
        <v>447</v>
      </c>
      <c r="AA4" s="168" cm="1">
        <f t="array" ref="AA4">_xlfn.LET(_xlpm.data,_xlfn.VSTACK('MDA1:NCA9'!AA21),_xlpm.states,_xlfn.VSTACK('MDA1:NCA9'!$B$2),
SUM(_xlfn._xlws.FILTER(_xlpm.data,(_xlpm.states="Arizona")+(_xlpm.states="Maryland")+(_xlpm.states="North Carolina"))))</f>
        <v>458</v>
      </c>
      <c r="AB4" s="168" cm="1">
        <f t="array" ref="AB4">_xlfn.LET(_xlpm.data,_xlfn.VSTACK('MDA1:NCA9'!AB21),_xlpm.states,_xlfn.VSTACK('MDA1:NCA9'!$B$2),
SUM(_xlfn._xlws.FILTER(_xlpm.data,(_xlpm.states="Arizona")+(_xlpm.states="Maryland")+(_xlpm.states="North Carolina"))))</f>
        <v>467</v>
      </c>
      <c r="AC4" s="168" cm="1">
        <f t="array" ref="AC4">_xlfn.LET(_xlpm.data,_xlfn.VSTACK('MDA1:NCA9'!AC21),_xlpm.states,_xlfn.VSTACK('MDA1:NCA9'!$B$2),
SUM(_xlfn._xlws.FILTER(_xlpm.data,(_xlpm.states="Arizona")+(_xlpm.states="Maryland")+(_xlpm.states="North Carolina"))))</f>
        <v>476</v>
      </c>
      <c r="AD4" s="168" cm="1">
        <f t="array" ref="AD4">_xlfn.LET(_xlpm.data,_xlfn.VSTACK('MDA1:NCA9'!AD21),_xlpm.states,_xlfn.VSTACK('MDA1:NCA9'!$B$2),
SUM(_xlfn._xlws.FILTER(_xlpm.data,(_xlpm.states="Arizona")+(_xlpm.states="Maryland")+(_xlpm.states="North Carolina"))))</f>
        <v>485</v>
      </c>
      <c r="AE4" s="168" cm="1">
        <f t="array" ref="AE4">_xlfn.LET(_xlpm.data,_xlfn.VSTACK('MDA1:NCA9'!AE21),_xlpm.states,_xlfn.VSTACK('MDA1:NCA9'!$B$2),
SUM(_xlfn._xlws.FILTER(_xlpm.data,(_xlpm.states="Arizona")+(_xlpm.states="Maryland")+(_xlpm.states="North Carolina"))))</f>
        <v>492</v>
      </c>
      <c r="AF4" s="168" cm="1">
        <f t="array" ref="AF4">_xlfn.LET(_xlpm.data,_xlfn.VSTACK('MDA1:NCA9'!AF21),_xlpm.states,_xlfn.VSTACK('MDA1:NCA9'!$B$2),
SUM(_xlfn._xlws.FILTER(_xlpm.data,(_xlpm.states="Arizona")+(_xlpm.states="Maryland")+(_xlpm.states="North Carolina"))))</f>
        <v>500</v>
      </c>
      <c r="AG4" s="168" cm="1">
        <f t="array" ref="AG4">_xlfn.LET(_xlpm.data,_xlfn.VSTACK('MDA1:NCA9'!AG21),_xlpm.states,_xlfn.VSTACK('MDA1:NCA9'!$B$2),
SUM(_xlfn._xlws.FILTER(_xlpm.data,(_xlpm.states="Arizona")+(_xlpm.states="Maryland")+(_xlpm.states="North Carolina"))))</f>
        <v>507</v>
      </c>
      <c r="AH4" s="168" cm="1">
        <f t="array" ref="AH4">_xlfn.LET(_xlpm.data,_xlfn.VSTACK('MDA1:NCA9'!AH21),_xlpm.states,_xlfn.VSTACK('MDA1:NCA9'!$B$2),
SUM(_xlfn._xlws.FILTER(_xlpm.data,(_xlpm.states="Arizona")+(_xlpm.states="Maryland")+(_xlpm.states="North Carolina"))))</f>
        <v>521</v>
      </c>
      <c r="AI4" s="168" cm="1">
        <f t="array" ref="AI4">_xlfn.LET(_xlpm.data,_xlfn.VSTACK('MDA1:NCA9'!AI21),_xlpm.states,_xlfn.VSTACK('MDA1:NCA9'!$B$2),
SUM(_xlfn._xlws.FILTER(_xlpm.data,(_xlpm.states="Arizona")+(_xlpm.states="Maryland")+(_xlpm.states="North Carolina"))))</f>
        <v>535</v>
      </c>
      <c r="AJ4" s="168" cm="1">
        <f t="array" ref="AJ4">_xlfn.LET(_xlpm.data,_xlfn.VSTACK('MDA1:NCA9'!AJ21),_xlpm.states,_xlfn.VSTACK('MDA1:NCA9'!$B$2),
SUM(_xlfn._xlws.FILTER(_xlpm.data,(_xlpm.states="Arizona")+(_xlpm.states="Maryland")+(_xlpm.states="North Carolina"))))</f>
        <v>550</v>
      </c>
      <c r="AK4" s="168" cm="1">
        <f t="array" ref="AK4">_xlfn.LET(_xlpm.data,_xlfn.VSTACK('MDA1:NCA9'!AK21),_xlpm.states,_xlfn.VSTACK('MDA1:NCA9'!$B$2),
SUM(_xlfn._xlws.FILTER(_xlpm.data,(_xlpm.states="Arizona")+(_xlpm.states="Maryland")+(_xlpm.states="North Carolina"))))</f>
        <v>561</v>
      </c>
      <c r="AL4" s="168" cm="1">
        <f t="array" ref="AL4">_xlfn.LET(_xlpm.data,_xlfn.VSTACK('MDA1:NCA9'!AL21),_xlpm.states,_xlfn.VSTACK('MDA1:NCA9'!$B$2),
SUM(_xlfn._xlws.FILTER(_xlpm.data,(_xlpm.states="Arizona")+(_xlpm.states="Maryland")+(_xlpm.states="North Carolina"))))</f>
        <v>568</v>
      </c>
      <c r="AM4" s="168" cm="1">
        <f t="array" ref="AM4">_xlfn.LET(_xlpm.data,_xlfn.VSTACK('MDA1:NCA9'!AM21),_xlpm.states,_xlfn.VSTACK('MDA1:NCA9'!$B$2),
SUM(_xlfn._xlws.FILTER(_xlpm.data,(_xlpm.states="Arizona")+(_xlpm.states="Maryland")+(_xlpm.states="North Carolina"))))</f>
        <v>577</v>
      </c>
      <c r="AN4" s="168" cm="1">
        <f t="array" ref="AN4">_xlfn.LET(_xlpm.data,_xlfn.VSTACK('MDA1:NCA9'!AN21),_xlpm.states,_xlfn.VSTACK('MDA1:NCA9'!$B$2),
SUM(_xlfn._xlws.FILTER(_xlpm.data,(_xlpm.states="Arizona")+(_xlpm.states="Maryland")+(_xlpm.states="North Carolina"))))</f>
        <v>585</v>
      </c>
    </row>
    <row r="5" spans="1:40" outlineLevel="1" x14ac:dyDescent="0.25">
      <c r="B5" s="39" t="s">
        <v>313</v>
      </c>
      <c r="C5" s="3"/>
      <c r="D5" s="3"/>
      <c r="E5" s="168" cm="1">
        <f t="array" ref="E5">_xlfn.LET(_xlpm.data,_xlfn.VSTACK('MDA1:NCA9'!E6)-_xlfn.VSTACK('MDA1:NCA9'!E21),_xlpm.states,_xlfn.VSTACK('MDA1:NCA9'!$B$2),
SUM(_xlfn._xlws.FILTER(_xlpm.data,(_xlpm.states="Arizona")+(_xlpm.states="Maryland")+(_xlpm.states="North Carolina"))))</f>
        <v>41</v>
      </c>
      <c r="F5" s="168" cm="1">
        <f t="array" ref="F5">_xlfn.LET(_xlpm.data,_xlfn.VSTACK('MDA1:NCA9'!F6)-_xlfn.VSTACK('MDA1:NCA9'!F21),_xlpm.states,_xlfn.VSTACK('MDA1:NCA9'!$B$2),
SUM(_xlfn._xlws.FILTER(_xlpm.data,(_xlpm.states="Arizona")+(_xlpm.states="Maryland")+(_xlpm.states="North Carolina"))))</f>
        <v>46</v>
      </c>
      <c r="G5" s="168" cm="1">
        <f t="array" ref="G5">_xlfn.LET(_xlpm.data,_xlfn.VSTACK('MDA1:NCA9'!G6)-_xlfn.VSTACK('MDA1:NCA9'!G21),_xlpm.states,_xlfn.VSTACK('MDA1:NCA9'!$B$2),
SUM(_xlfn._xlws.FILTER(_xlpm.data,(_xlpm.states="Arizona")+(_xlpm.states="Maryland")+(_xlpm.states="North Carolina"))))</f>
        <v>46</v>
      </c>
      <c r="H5" s="168" cm="1">
        <f t="array" ref="H5">_xlfn.LET(_xlpm.data,_xlfn.VSTACK('MDA1:NCA9'!H6)-_xlfn.VSTACK('MDA1:NCA9'!H21),_xlpm.states,_xlfn.VSTACK('MDA1:NCA9'!$B$2),
SUM(_xlfn._xlws.FILTER(_xlpm.data,(_xlpm.states="Arizona")+(_xlpm.states="Maryland")+(_xlpm.states="North Carolina"))))</f>
        <v>45</v>
      </c>
      <c r="I5" s="168" cm="1">
        <f t="array" ref="I5">_xlfn.LET(_xlpm.data,_xlfn.VSTACK('MDA1:NCA9'!I6)-_xlfn.VSTACK('MDA1:NCA9'!I21),_xlpm.states,_xlfn.VSTACK('MDA1:NCA9'!$B$2),
SUM(_xlfn._xlws.FILTER(_xlpm.data,(_xlpm.states="Arizona")+(_xlpm.states="Maryland")+(_xlpm.states="North Carolina"))))</f>
        <v>46</v>
      </c>
      <c r="J5" s="168" cm="1">
        <f t="array" ref="J5">_xlfn.LET(_xlpm.data,_xlfn.VSTACK('MDA1:NCA9'!J6)-_xlfn.VSTACK('MDA1:NCA9'!J21),_xlpm.states,_xlfn.VSTACK('MDA1:NCA9'!$B$2),
SUM(_xlfn._xlws.FILTER(_xlpm.data,(_xlpm.states="Arizona")+(_xlpm.states="Maryland")+(_xlpm.states="North Carolina"))))</f>
        <v>49</v>
      </c>
      <c r="K5" s="168" cm="1">
        <f t="array" ref="K5">_xlfn.LET(_xlpm.data,_xlfn.VSTACK('MDA1:NCA9'!K6)-_xlfn.VSTACK('MDA1:NCA9'!K21),_xlpm.states,_xlfn.VSTACK('MDA1:NCA9'!$B$2),
SUM(_xlfn._xlws.FILTER(_xlpm.data,(_xlpm.states="Arizona")+(_xlpm.states="Maryland")+(_xlpm.states="North Carolina"))))</f>
        <v>54</v>
      </c>
      <c r="L5" s="168" cm="1">
        <f t="array" ref="L5">_xlfn.LET(_xlpm.data,_xlfn.VSTACK('MDA1:NCA9'!L6)-_xlfn.VSTACK('MDA1:NCA9'!L21),_xlpm.states,_xlfn.VSTACK('MDA1:NCA9'!$B$2),
SUM(_xlfn._xlws.FILTER(_xlpm.data,(_xlpm.states="Arizona")+(_xlpm.states="Maryland")+(_xlpm.states="North Carolina"))))</f>
        <v>57</v>
      </c>
      <c r="M5" s="168" cm="1">
        <f t="array" ref="M5">_xlfn.LET(_xlpm.data,_xlfn.VSTACK('MDA1:NCA9'!M6)-_xlfn.VSTACK('MDA1:NCA9'!M21),_xlpm.states,_xlfn.VSTACK('MDA1:NCA9'!$B$2),
SUM(_xlfn._xlws.FILTER(_xlpm.data,(_xlpm.states="Arizona")+(_xlpm.states="Maryland")+(_xlpm.states="North Carolina"))))</f>
        <v>58</v>
      </c>
      <c r="N5" s="168" cm="1">
        <f t="array" ref="N5">_xlfn.LET(_xlpm.data,_xlfn.VSTACK('MDA1:NCA9'!N6)-_xlfn.VSTACK('MDA1:NCA9'!N21),_xlpm.states,_xlfn.VSTACK('MDA1:NCA9'!$B$2),
SUM(_xlfn._xlws.FILTER(_xlpm.data,(_xlpm.states="Arizona")+(_xlpm.states="Maryland")+(_xlpm.states="North Carolina"))))</f>
        <v>60</v>
      </c>
      <c r="O5" s="168" cm="1">
        <f t="array" ref="O5">_xlfn.LET(_xlpm.data,_xlfn.VSTACK('MDA1:NCA9'!O6)-_xlfn.VSTACK('MDA1:NCA9'!O21),_xlpm.states,_xlfn.VSTACK('MDA1:NCA9'!$B$2),
SUM(_xlfn._xlws.FILTER(_xlpm.data,(_xlpm.states="Arizona")+(_xlpm.states="Maryland")+(_xlpm.states="North Carolina"))))</f>
        <v>63</v>
      </c>
      <c r="P5" s="168" cm="1">
        <f t="array" ref="P5">_xlfn.LET(_xlpm.data,_xlfn.VSTACK('MDA1:NCA9'!P6)-_xlfn.VSTACK('MDA1:NCA9'!P21),_xlpm.states,_xlfn.VSTACK('MDA1:NCA9'!$B$2),
SUM(_xlfn._xlws.FILTER(_xlpm.data,(_xlpm.states="Arizona")+(_xlpm.states="Maryland")+(_xlpm.states="North Carolina"))))</f>
        <v>64</v>
      </c>
      <c r="Q5" s="168" cm="1">
        <f t="array" ref="Q5">_xlfn.LET(_xlpm.data,_xlfn.VSTACK('MDA1:NCA9'!Q6)-_xlfn.VSTACK('MDA1:NCA9'!Q21),_xlpm.states,_xlfn.VSTACK('MDA1:NCA9'!$B$2),
SUM(_xlfn._xlws.FILTER(_xlpm.data,(_xlpm.states="Arizona")+(_xlpm.states="Maryland")+(_xlpm.states="North Carolina"))))</f>
        <v>67</v>
      </c>
      <c r="R5" s="168" cm="1">
        <f t="array" ref="R5">_xlfn.LET(_xlpm.data,_xlfn.VSTACK('MDA1:NCA9'!R6)-_xlfn.VSTACK('MDA1:NCA9'!R21),_xlpm.states,_xlfn.VSTACK('MDA1:NCA9'!$B$2),
SUM(_xlfn._xlws.FILTER(_xlpm.data,(_xlpm.states="Arizona")+(_xlpm.states="Maryland")+(_xlpm.states="North Carolina"))))</f>
        <v>69</v>
      </c>
      <c r="S5" s="168" cm="1">
        <f t="array" ref="S5">_xlfn.LET(_xlpm.data,_xlfn.VSTACK('MDA1:NCA9'!S6)-_xlfn.VSTACK('MDA1:NCA9'!S21),_xlpm.states,_xlfn.VSTACK('MDA1:NCA9'!$B$2),
SUM(_xlfn._xlws.FILTER(_xlpm.data,(_xlpm.states="Arizona")+(_xlpm.states="Maryland")+(_xlpm.states="North Carolina"))))</f>
        <v>69</v>
      </c>
      <c r="T5" s="168" cm="1">
        <f t="array" ref="T5">_xlfn.LET(_xlpm.data,_xlfn.VSTACK('MDA1:NCA9'!T6)-_xlfn.VSTACK('MDA1:NCA9'!T21),_xlpm.states,_xlfn.VSTACK('MDA1:NCA9'!$B$2),
SUM(_xlfn._xlws.FILTER(_xlpm.data,(_xlpm.states="Arizona")+(_xlpm.states="Maryland")+(_xlpm.states="North Carolina"))))</f>
        <v>71</v>
      </c>
      <c r="U5" s="168" cm="1">
        <f t="array" ref="U5">_xlfn.LET(_xlpm.data,_xlfn.VSTACK('MDA1:NCA9'!U6)-_xlfn.VSTACK('MDA1:NCA9'!U21),_xlpm.states,_xlfn.VSTACK('MDA1:NCA9'!$B$2),
SUM(_xlfn._xlws.FILTER(_xlpm.data,(_xlpm.states="Arizona")+(_xlpm.states="Maryland")+(_xlpm.states="North Carolina"))))</f>
        <v>71</v>
      </c>
      <c r="V5" s="168" cm="1">
        <f t="array" ref="V5">_xlfn.LET(_xlpm.data,_xlfn.VSTACK('MDA1:NCA9'!V6)-_xlfn.VSTACK('MDA1:NCA9'!V21),_xlpm.states,_xlfn.VSTACK('MDA1:NCA9'!$B$2),
SUM(_xlfn._xlws.FILTER(_xlpm.data,(_xlpm.states="Arizona")+(_xlpm.states="Maryland")+(_xlpm.states="North Carolina"))))</f>
        <v>74</v>
      </c>
      <c r="W5" s="168" cm="1">
        <f t="array" ref="W5">_xlfn.LET(_xlpm.data,_xlfn.VSTACK('MDA1:NCA9'!W6)-_xlfn.VSTACK('MDA1:NCA9'!W21),_xlpm.states,_xlfn.VSTACK('MDA1:NCA9'!$B$2),
SUM(_xlfn._xlws.FILTER(_xlpm.data,(_xlpm.states="Arizona")+(_xlpm.states="Maryland")+(_xlpm.states="North Carolina"))))</f>
        <v>77</v>
      </c>
      <c r="X5" s="168" cm="1">
        <f t="array" ref="X5">_xlfn.LET(_xlpm.data,_xlfn.VSTACK('MDA1:NCA9'!X6)-_xlfn.VSTACK('MDA1:NCA9'!X21),_xlpm.states,_xlfn.VSTACK('MDA1:NCA9'!$B$2),
SUM(_xlfn._xlws.FILTER(_xlpm.data,(_xlpm.states="Arizona")+(_xlpm.states="Maryland")+(_xlpm.states="North Carolina"))))</f>
        <v>79</v>
      </c>
      <c r="Y5" s="168" cm="1">
        <f t="array" ref="Y5">_xlfn.LET(_xlpm.data,_xlfn.VSTACK('MDA1:NCA9'!Y6)-_xlfn.VSTACK('MDA1:NCA9'!Y21),_xlpm.states,_xlfn.VSTACK('MDA1:NCA9'!$B$2),
SUM(_xlfn._xlws.FILTER(_xlpm.data,(_xlpm.states="Arizona")+(_xlpm.states="Maryland")+(_xlpm.states="North Carolina"))))</f>
        <v>85</v>
      </c>
      <c r="Z5" s="168" cm="1">
        <f t="array" ref="Z5">_xlfn.LET(_xlpm.data,_xlfn.VSTACK('MDA1:NCA9'!Z6)-_xlfn.VSTACK('MDA1:NCA9'!Z21),_xlpm.states,_xlfn.VSTACK('MDA1:NCA9'!$B$2),
SUM(_xlfn._xlws.FILTER(_xlpm.data,(_xlpm.states="Arizona")+(_xlpm.states="Maryland")+(_xlpm.states="North Carolina"))))</f>
        <v>84</v>
      </c>
      <c r="AA5" s="168" cm="1">
        <f t="array" ref="AA5">_xlfn.LET(_xlpm.data,_xlfn.VSTACK('MDA1:NCA9'!AA6)-_xlfn.VSTACK('MDA1:NCA9'!AA21),_xlpm.states,_xlfn.VSTACK('MDA1:NCA9'!$B$2),
SUM(_xlfn._xlws.FILTER(_xlpm.data,(_xlpm.states="Arizona")+(_xlpm.states="Maryland")+(_xlpm.states="North Carolina"))))</f>
        <v>87</v>
      </c>
      <c r="AB5" s="168" cm="1">
        <f t="array" ref="AB5">_xlfn.LET(_xlpm.data,_xlfn.VSTACK('MDA1:NCA9'!AB6)-_xlfn.VSTACK('MDA1:NCA9'!AB21),_xlpm.states,_xlfn.VSTACK('MDA1:NCA9'!$B$2),
SUM(_xlfn._xlws.FILTER(_xlpm.data,(_xlpm.states="Arizona")+(_xlpm.states="Maryland")+(_xlpm.states="North Carolina"))))</f>
        <v>88</v>
      </c>
      <c r="AC5" s="168" cm="1">
        <f t="array" ref="AC5">_xlfn.LET(_xlpm.data,_xlfn.VSTACK('MDA1:NCA9'!AC6)-_xlfn.VSTACK('MDA1:NCA9'!AC21),_xlpm.states,_xlfn.VSTACK('MDA1:NCA9'!$B$2),
SUM(_xlfn._xlws.FILTER(_xlpm.data,(_xlpm.states="Arizona")+(_xlpm.states="Maryland")+(_xlpm.states="North Carolina"))))</f>
        <v>87</v>
      </c>
      <c r="AD5" s="168" cm="1">
        <f t="array" ref="AD5">_xlfn.LET(_xlpm.data,_xlfn.VSTACK('MDA1:NCA9'!AD6)-_xlfn.VSTACK('MDA1:NCA9'!AD21),_xlpm.states,_xlfn.VSTACK('MDA1:NCA9'!$B$2),
SUM(_xlfn._xlws.FILTER(_xlpm.data,(_xlpm.states="Arizona")+(_xlpm.states="Maryland")+(_xlpm.states="North Carolina"))))</f>
        <v>89</v>
      </c>
      <c r="AE5" s="168" cm="1">
        <f t="array" ref="AE5">_xlfn.LET(_xlpm.data,_xlfn.VSTACK('MDA1:NCA9'!AE6)-_xlfn.VSTACK('MDA1:NCA9'!AE21),_xlpm.states,_xlfn.VSTACK('MDA1:NCA9'!$B$2),
SUM(_xlfn._xlws.FILTER(_xlpm.data,(_xlpm.states="Arizona")+(_xlpm.states="Maryland")+(_xlpm.states="North Carolina"))))</f>
        <v>90</v>
      </c>
      <c r="AF5" s="168" cm="1">
        <f t="array" ref="AF5">_xlfn.LET(_xlpm.data,_xlfn.VSTACK('MDA1:NCA9'!AF6)-_xlfn.VSTACK('MDA1:NCA9'!AF21),_xlpm.states,_xlfn.VSTACK('MDA1:NCA9'!$B$2),
SUM(_xlfn._xlws.FILTER(_xlpm.data,(_xlpm.states="Arizona")+(_xlpm.states="Maryland")+(_xlpm.states="North Carolina"))))</f>
        <v>90</v>
      </c>
      <c r="AG5" s="168" cm="1">
        <f t="array" ref="AG5">_xlfn.LET(_xlpm.data,_xlfn.VSTACK('MDA1:NCA9'!AG6)-_xlfn.VSTACK('MDA1:NCA9'!AG21),_xlpm.states,_xlfn.VSTACK('MDA1:NCA9'!$B$2),
SUM(_xlfn._xlws.FILTER(_xlpm.data,(_xlpm.states="Arizona")+(_xlpm.states="Maryland")+(_xlpm.states="North Carolina"))))</f>
        <v>92</v>
      </c>
      <c r="AH5" s="168" cm="1">
        <f t="array" ref="AH5">_xlfn.LET(_xlpm.data,_xlfn.VSTACK('MDA1:NCA9'!AH6)-_xlfn.VSTACK('MDA1:NCA9'!AH21),_xlpm.states,_xlfn.VSTACK('MDA1:NCA9'!$B$2),
SUM(_xlfn._xlws.FILTER(_xlpm.data,(_xlpm.states="Arizona")+(_xlpm.states="Maryland")+(_xlpm.states="North Carolina"))))</f>
        <v>96</v>
      </c>
      <c r="AI5" s="168" cm="1">
        <f t="array" ref="AI5">_xlfn.LET(_xlpm.data,_xlfn.VSTACK('MDA1:NCA9'!AI6)-_xlfn.VSTACK('MDA1:NCA9'!AI21),_xlpm.states,_xlfn.VSTACK('MDA1:NCA9'!$B$2),
SUM(_xlfn._xlws.FILTER(_xlpm.data,(_xlpm.states="Arizona")+(_xlpm.states="Maryland")+(_xlpm.states="North Carolina"))))</f>
        <v>102</v>
      </c>
      <c r="AJ5" s="168" cm="1">
        <f t="array" ref="AJ5">_xlfn.LET(_xlpm.data,_xlfn.VSTACK('MDA1:NCA9'!AJ6)-_xlfn.VSTACK('MDA1:NCA9'!AJ21),_xlpm.states,_xlfn.VSTACK('MDA1:NCA9'!$B$2),
SUM(_xlfn._xlws.FILTER(_xlpm.data,(_xlpm.states="Arizona")+(_xlpm.states="Maryland")+(_xlpm.states="North Carolina"))))</f>
        <v>102</v>
      </c>
      <c r="AK5" s="168" cm="1">
        <f t="array" ref="AK5">_xlfn.LET(_xlpm.data,_xlfn.VSTACK('MDA1:NCA9'!AK6)-_xlfn.VSTACK('MDA1:NCA9'!AK21),_xlpm.states,_xlfn.VSTACK('MDA1:NCA9'!$B$2),
SUM(_xlfn._xlws.FILTER(_xlpm.data,(_xlpm.states="Arizona")+(_xlpm.states="Maryland")+(_xlpm.states="North Carolina"))))</f>
        <v>103</v>
      </c>
      <c r="AL5" s="168" cm="1">
        <f t="array" ref="AL5">_xlfn.LET(_xlpm.data,_xlfn.VSTACK('MDA1:NCA9'!AL6)-_xlfn.VSTACK('MDA1:NCA9'!AL21),_xlpm.states,_xlfn.VSTACK('MDA1:NCA9'!$B$2),
SUM(_xlfn._xlws.FILTER(_xlpm.data,(_xlpm.states="Arizona")+(_xlpm.states="Maryland")+(_xlpm.states="North Carolina"))))</f>
        <v>105</v>
      </c>
      <c r="AM5" s="168" cm="1">
        <f t="array" ref="AM5">_xlfn.LET(_xlpm.data,_xlfn.VSTACK('MDA1:NCA9'!AM6)-_xlfn.VSTACK('MDA1:NCA9'!AM21),_xlpm.states,_xlfn.VSTACK('MDA1:NCA9'!$B$2),
SUM(_xlfn._xlws.FILTER(_xlpm.data,(_xlpm.states="Arizona")+(_xlpm.states="Maryland")+(_xlpm.states="North Carolina"))))</f>
        <v>105</v>
      </c>
      <c r="AN5" s="168" cm="1">
        <f t="array" ref="AN5">_xlfn.LET(_xlpm.data,_xlfn.VSTACK('MDA1:NCA9'!AN6)-_xlfn.VSTACK('MDA1:NCA9'!AN21),_xlpm.states,_xlfn.VSTACK('MDA1:NCA9'!$B$2),
SUM(_xlfn._xlws.FILTER(_xlpm.data,(_xlpm.states="Arizona")+(_xlpm.states="Maryland")+(_xlpm.states="North Carolina"))))</f>
        <v>105</v>
      </c>
    </row>
    <row r="6" spans="1:40" outlineLevel="1" x14ac:dyDescent="0.25">
      <c r="B6" s="96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outlineLevel="1" x14ac:dyDescent="0.25">
      <c r="B7" s="39" t="s">
        <v>373</v>
      </c>
      <c r="C7" s="3"/>
      <c r="D7" s="3"/>
      <c r="E7" s="168" cm="1">
        <f t="array" ref="E7">_xlfn.LET(_xlpm.data,_xlfn.VSTACK('MDA1:NCA9'!E7),_xlpm.states,_xlfn.VSTACK('MDA1:NCA9'!$B$2),
SUM(_xlfn._xlws.FILTER(_xlpm.data,(_xlpm.states="Arizona")+(_xlpm.states="Maryland")+(_xlpm.states="North Carolina"))))</f>
        <v>187.57</v>
      </c>
      <c r="F7" s="168" cm="1">
        <f t="array" ref="F7">_xlfn.LET(_xlpm.data,_xlfn.VSTACK('MDA1:NCA9'!F7),_xlpm.states,_xlfn.VSTACK('MDA1:NCA9'!$B$2),
SUM(_xlfn._xlws.FILTER(_xlpm.data,(_xlpm.states="Arizona")+(_xlpm.states="Maryland")+(_xlpm.states="North Carolina"))))</f>
        <v>192.32000000000002</v>
      </c>
      <c r="G7" s="168" cm="1">
        <f t="array" ref="G7">_xlfn.LET(_xlpm.data,_xlfn.VSTACK('MDA1:NCA9'!G7),_xlpm.states,_xlfn.VSTACK('MDA1:NCA9'!$B$2),
SUM(_xlfn._xlws.FILTER(_xlpm.data,(_xlpm.states="Arizona")+(_xlpm.states="Maryland")+(_xlpm.states="North Carolina"))))</f>
        <v>197.95999999999998</v>
      </c>
      <c r="H7" s="168" cm="1">
        <f t="array" ref="H7">_xlfn.LET(_xlpm.data,_xlfn.VSTACK('MDA1:NCA9'!H7),_xlpm.states,_xlfn.VSTACK('MDA1:NCA9'!$B$2),
SUM(_xlfn._xlws.FILTER(_xlpm.data,(_xlpm.states="Arizona")+(_xlpm.states="Maryland")+(_xlpm.states="North Carolina"))))</f>
        <v>200.98999999999998</v>
      </c>
      <c r="I7" s="168" cm="1">
        <f t="array" ref="I7">_xlfn.LET(_xlpm.data,_xlfn.VSTACK('MDA1:NCA9'!I7),_xlpm.states,_xlfn.VSTACK('MDA1:NCA9'!$B$2),
SUM(_xlfn._xlws.FILTER(_xlpm.data,(_xlpm.states="Arizona")+(_xlpm.states="Maryland")+(_xlpm.states="North Carolina"))))</f>
        <v>203.58</v>
      </c>
      <c r="J7" s="168" cm="1">
        <f t="array" ref="J7">_xlfn.LET(_xlpm.data,_xlfn.VSTACK('MDA1:NCA9'!J7),_xlpm.states,_xlfn.VSTACK('MDA1:NCA9'!$B$2),
SUM(_xlfn._xlws.FILTER(_xlpm.data,(_xlpm.states="Arizona")+(_xlpm.states="Maryland")+(_xlpm.states="North Carolina"))))</f>
        <v>209.89999999999998</v>
      </c>
      <c r="K7" s="168" cm="1">
        <f t="array" ref="K7">_xlfn.LET(_xlpm.data,_xlfn.VSTACK('MDA1:NCA9'!K7),_xlpm.states,_xlfn.VSTACK('MDA1:NCA9'!$B$2),
SUM(_xlfn._xlws.FILTER(_xlpm.data,(_xlpm.states="Arizona")+(_xlpm.states="Maryland")+(_xlpm.states="North Carolina"))))</f>
        <v>223.82999999999996</v>
      </c>
      <c r="L7" s="168" cm="1">
        <f t="array" ref="L7">_xlfn.LET(_xlpm.data,_xlfn.VSTACK('MDA1:NCA9'!L7),_xlpm.states,_xlfn.VSTACK('MDA1:NCA9'!$B$2),
SUM(_xlfn._xlws.FILTER(_xlpm.data,(_xlpm.states="Arizona")+(_xlpm.states="Maryland")+(_xlpm.states="North Carolina"))))</f>
        <v>229.68999999999997</v>
      </c>
      <c r="M7" s="168" cm="1">
        <f t="array" ref="M7">_xlfn.LET(_xlpm.data,_xlfn.VSTACK('MDA1:NCA9'!M7),_xlpm.states,_xlfn.VSTACK('MDA1:NCA9'!$B$2),
SUM(_xlfn._xlws.FILTER(_xlpm.data,(_xlpm.states="Arizona")+(_xlpm.states="Maryland")+(_xlpm.states="North Carolina"))))</f>
        <v>235.99999999999997</v>
      </c>
      <c r="N7" s="168" cm="1">
        <f t="array" ref="N7">_xlfn.LET(_xlpm.data,_xlfn.VSTACK('MDA1:NCA9'!N7),_xlpm.states,_xlfn.VSTACK('MDA1:NCA9'!$B$2),
SUM(_xlfn._xlws.FILTER(_xlpm.data,(_xlpm.states="Arizona")+(_xlpm.states="Maryland")+(_xlpm.states="North Carolina"))))</f>
        <v>245.17</v>
      </c>
      <c r="O7" s="168" cm="1">
        <f t="array" ref="O7">_xlfn.LET(_xlpm.data,_xlfn.VSTACK('MDA1:NCA9'!O7),_xlpm.states,_xlfn.VSTACK('MDA1:NCA9'!$B$2),
SUM(_xlfn._xlws.FILTER(_xlpm.data,(_xlpm.states="Arizona")+(_xlpm.states="Maryland")+(_xlpm.states="North Carolina"))))</f>
        <v>256.26000000000005</v>
      </c>
      <c r="P7" s="168" cm="1">
        <f t="array" ref="P7">_xlfn.LET(_xlpm.data,_xlfn.VSTACK('MDA1:NCA9'!P7),_xlpm.states,_xlfn.VSTACK('MDA1:NCA9'!$B$2),
SUM(_xlfn._xlws.FILTER(_xlpm.data,(_xlpm.states="Arizona")+(_xlpm.states="Maryland")+(_xlpm.states="North Carolina"))))</f>
        <v>268.21999999999997</v>
      </c>
      <c r="Q7" s="168" cm="1">
        <f t="array" ref="Q7">_xlfn.LET(_xlpm.data,_xlfn.VSTACK('MDA1:NCA9'!Q7),_xlpm.states,_xlfn.VSTACK('MDA1:NCA9'!$B$2),
SUM(_xlfn._xlws.FILTER(_xlpm.data,(_xlpm.states="Arizona")+(_xlpm.states="Maryland")+(_xlpm.states="North Carolina"))))</f>
        <v>279.28999999999996</v>
      </c>
      <c r="R7" s="168" cm="1">
        <f t="array" ref="R7">_xlfn.LET(_xlpm.data,_xlfn.VSTACK('MDA1:NCA9'!R7),_xlpm.states,_xlfn.VSTACK('MDA1:NCA9'!$B$2),
SUM(_xlfn._xlws.FILTER(_xlpm.data,(_xlpm.states="Arizona")+(_xlpm.states="Maryland")+(_xlpm.states="North Carolina"))))</f>
        <v>289.84999999999997</v>
      </c>
      <c r="S7" s="168" cm="1">
        <f t="array" ref="S7">_xlfn.LET(_xlpm.data,_xlfn.VSTACK('MDA1:NCA9'!S7),_xlpm.states,_xlfn.VSTACK('MDA1:NCA9'!$B$2),
SUM(_xlfn._xlws.FILTER(_xlpm.data,(_xlpm.states="Arizona")+(_xlpm.states="Maryland")+(_xlpm.states="North Carolina"))))</f>
        <v>300.02999999999997</v>
      </c>
      <c r="T7" s="168" cm="1">
        <f t="array" ref="T7">_xlfn.LET(_xlpm.data,_xlfn.VSTACK('MDA1:NCA9'!T7),_xlpm.states,_xlfn.VSTACK('MDA1:NCA9'!$B$2),
SUM(_xlfn._xlws.FILTER(_xlpm.data,(_xlpm.states="Arizona")+(_xlpm.states="Maryland")+(_xlpm.states="North Carolina"))))</f>
        <v>310.18999999999994</v>
      </c>
      <c r="U7" s="168" cm="1">
        <f t="array" ref="U7">_xlfn.LET(_xlpm.data,_xlfn.VSTACK('MDA1:NCA9'!U7),_xlpm.states,_xlfn.VSTACK('MDA1:NCA9'!$B$2),
SUM(_xlfn._xlws.FILTER(_xlpm.data,(_xlpm.states="Arizona")+(_xlpm.states="Maryland")+(_xlpm.states="North Carolina"))))</f>
        <v>319.85999999999996</v>
      </c>
      <c r="V7" s="168" cm="1">
        <f t="array" ref="V7">_xlfn.LET(_xlpm.data,_xlfn.VSTACK('MDA1:NCA9'!V7),_xlpm.states,_xlfn.VSTACK('MDA1:NCA9'!$B$2),
SUM(_xlfn._xlws.FILTER(_xlpm.data,(_xlpm.states="Arizona")+(_xlpm.states="Maryland")+(_xlpm.states="North Carolina"))))</f>
        <v>330.44999999999993</v>
      </c>
      <c r="W7" s="168" cm="1">
        <f t="array" ref="W7">_xlfn.LET(_xlpm.data,_xlfn.VSTACK('MDA1:NCA9'!W7),_xlpm.states,_xlfn.VSTACK('MDA1:NCA9'!$B$2),
SUM(_xlfn._xlws.FILTER(_xlpm.data,(_xlpm.states="Arizona")+(_xlpm.states="Maryland")+(_xlpm.states="North Carolina"))))</f>
        <v>343.49</v>
      </c>
      <c r="X7" s="168" cm="1">
        <f t="array" ref="X7">_xlfn.LET(_xlpm.data,_xlfn.VSTACK('MDA1:NCA9'!X7),_xlpm.states,_xlfn.VSTACK('MDA1:NCA9'!$B$2),
SUM(_xlfn._xlws.FILTER(_xlpm.data,(_xlpm.states="Arizona")+(_xlpm.states="Maryland")+(_xlpm.states="North Carolina"))))</f>
        <v>355.51999999999992</v>
      </c>
      <c r="Y7" s="168" cm="1">
        <f t="array" ref="Y7">_xlfn.LET(_xlpm.data,_xlfn.VSTACK('MDA1:NCA9'!Y7),_xlpm.states,_xlfn.VSTACK('MDA1:NCA9'!$B$2),
SUM(_xlfn._xlws.FILTER(_xlpm.data,(_xlpm.states="Arizona")+(_xlpm.states="Maryland")+(_xlpm.states="North Carolina"))))</f>
        <v>366.12</v>
      </c>
      <c r="Z7" s="168" cm="1">
        <f t="array" ref="Z7">_xlfn.LET(_xlpm.data,_xlfn.VSTACK('MDA1:NCA9'!Z7),_xlpm.states,_xlfn.VSTACK('MDA1:NCA9'!$B$2),
SUM(_xlfn._xlws.FILTER(_xlpm.data,(_xlpm.states="Arizona")+(_xlpm.states="Maryland")+(_xlpm.states="North Carolina"))))</f>
        <v>376.72999999999996</v>
      </c>
      <c r="AA7" s="168" cm="1">
        <f t="array" ref="AA7">_xlfn.LET(_xlpm.data,_xlfn.VSTACK('MDA1:NCA9'!AA7),_xlpm.states,_xlfn.VSTACK('MDA1:NCA9'!$B$2),
SUM(_xlfn._xlws.FILTER(_xlpm.data,(_xlpm.states="Arizona")+(_xlpm.states="Maryland")+(_xlpm.states="North Carolina"))))</f>
        <v>386.88</v>
      </c>
      <c r="AB7" s="168" cm="1">
        <f t="array" ref="AB7">_xlfn.LET(_xlpm.data,_xlfn.VSTACK('MDA1:NCA9'!AB7),_xlpm.states,_xlfn.VSTACK('MDA1:NCA9'!$B$2),
SUM(_xlfn._xlws.FILTER(_xlpm.data,(_xlpm.states="Arizona")+(_xlpm.states="Maryland")+(_xlpm.states="North Carolina"))))</f>
        <v>394.24999999999994</v>
      </c>
      <c r="AC7" s="168" cm="1">
        <f t="array" ref="AC7">_xlfn.LET(_xlpm.data,_xlfn.VSTACK('MDA1:NCA9'!AC7),_xlpm.states,_xlfn.VSTACK('MDA1:NCA9'!$B$2),
SUM(_xlfn._xlws.FILTER(_xlpm.data,(_xlpm.states="Arizona")+(_xlpm.states="Maryland")+(_xlpm.states="North Carolina"))))</f>
        <v>402.02999999999992</v>
      </c>
      <c r="AD7" s="168" cm="1">
        <f t="array" ref="AD7">_xlfn.LET(_xlpm.data,_xlfn.VSTACK('MDA1:NCA9'!AD7),_xlpm.states,_xlfn.VSTACK('MDA1:NCA9'!$B$2),
SUM(_xlfn._xlws.FILTER(_xlpm.data,(_xlpm.states="Arizona")+(_xlpm.states="Maryland")+(_xlpm.states="North Carolina"))))</f>
        <v>409.80999999999983</v>
      </c>
      <c r="AE7" s="168" cm="1">
        <f t="array" ref="AE7">_xlfn.LET(_xlpm.data,_xlfn.VSTACK('MDA1:NCA9'!AE7),_xlpm.states,_xlfn.VSTACK('MDA1:NCA9'!$B$2),
SUM(_xlfn._xlws.FILTER(_xlpm.data,(_xlpm.states="Arizona")+(_xlpm.states="Maryland")+(_xlpm.states="North Carolina"))))</f>
        <v>415.75999999999988</v>
      </c>
      <c r="AF7" s="168" cm="1">
        <f t="array" ref="AF7">_xlfn.LET(_xlpm.data,_xlfn.VSTACK('MDA1:NCA9'!AF7),_xlpm.states,_xlfn.VSTACK('MDA1:NCA9'!$B$2),
SUM(_xlfn._xlws.FILTER(_xlpm.data,(_xlpm.states="Arizona")+(_xlpm.states="Maryland")+(_xlpm.states="North Carolina"))))</f>
        <v>422.21999999999986</v>
      </c>
      <c r="AG7" s="168" cm="1">
        <f t="array" ref="AG7">_xlfn.LET(_xlpm.data,_xlfn.VSTACK('MDA1:NCA9'!AG7),_xlpm.states,_xlfn.VSTACK('MDA1:NCA9'!$B$2),
SUM(_xlfn._xlws.FILTER(_xlpm.data,(_xlpm.states="Arizona")+(_xlpm.states="Maryland")+(_xlpm.states="North Carolina"))))</f>
        <v>429.09999999999991</v>
      </c>
      <c r="AH7" s="168" cm="1">
        <f t="array" ref="AH7">_xlfn.LET(_xlpm.data,_xlfn.VSTACK('MDA1:NCA9'!AH7),_xlpm.states,_xlfn.VSTACK('MDA1:NCA9'!$B$2),
SUM(_xlfn._xlws.FILTER(_xlpm.data,(_xlpm.states="Arizona")+(_xlpm.states="Maryland")+(_xlpm.states="North Carolina"))))</f>
        <v>440.69999999999993</v>
      </c>
      <c r="AI7" s="168" cm="1">
        <f t="array" ref="AI7">_xlfn.LET(_xlpm.data,_xlfn.VSTACK('MDA1:NCA9'!AI7),_xlpm.states,_xlfn.VSTACK('MDA1:NCA9'!$B$2),
SUM(_xlfn._xlws.FILTER(_xlpm.data,(_xlpm.states="Arizona")+(_xlpm.states="Maryland")+(_xlpm.states="North Carolina"))))</f>
        <v>453.20999999999981</v>
      </c>
      <c r="AJ7" s="168" cm="1">
        <f t="array" ref="AJ7">_xlfn.LET(_xlpm.data,_xlfn.VSTACK('MDA1:NCA9'!AJ7),_xlpm.states,_xlfn.VSTACK('MDA1:NCA9'!$B$2),
SUM(_xlfn._xlws.FILTER(_xlpm.data,(_xlpm.states="Arizona")+(_xlpm.states="Maryland")+(_xlpm.states="North Carolina"))))</f>
        <v>465.33999999999986</v>
      </c>
      <c r="AK7" s="168" cm="1">
        <f t="array" ref="AK7">_xlfn.LET(_xlpm.data,_xlfn.VSTACK('MDA1:NCA9'!AK7),_xlpm.states,_xlfn.VSTACK('MDA1:NCA9'!$B$2),
SUM(_xlfn._xlws.FILTER(_xlpm.data,(_xlpm.states="Arizona")+(_xlpm.states="Maryland")+(_xlpm.states="North Carolina"))))</f>
        <v>475.03999999999985</v>
      </c>
      <c r="AL7" s="168" cm="1">
        <f t="array" ref="AL7">_xlfn.LET(_xlpm.data,_xlfn.VSTACK('MDA1:NCA9'!AL7),_xlpm.states,_xlfn.VSTACK('MDA1:NCA9'!$B$2),
SUM(_xlfn._xlws.FILTER(_xlpm.data,(_xlpm.states="Arizona")+(_xlpm.states="Maryland")+(_xlpm.states="North Carolina"))))</f>
        <v>481.90999999999991</v>
      </c>
      <c r="AM7" s="168" cm="1">
        <f t="array" ref="AM7">_xlfn.LET(_xlpm.data,_xlfn.VSTACK('MDA1:NCA9'!AM7),_xlpm.states,_xlfn.VSTACK('MDA1:NCA9'!$B$2),
SUM(_xlfn._xlws.FILTER(_xlpm.data,(_xlpm.states="Arizona")+(_xlpm.states="Maryland")+(_xlpm.states="North Carolina"))))</f>
        <v>488.78999999999985</v>
      </c>
      <c r="AN7" s="168" cm="1">
        <f t="array" ref="AN7">_xlfn.LET(_xlpm.data,_xlfn.VSTACK('MDA1:NCA9'!AN7),_xlpm.states,_xlfn.VSTACK('MDA1:NCA9'!$B$2),
SUM(_xlfn._xlws.FILTER(_xlpm.data,(_xlpm.states="Arizona")+(_xlpm.states="Maryland")+(_xlpm.states="North Carolina"))))</f>
        <v>495.25999999999982</v>
      </c>
    </row>
    <row r="8" spans="1:40" outlineLevel="1" x14ac:dyDescent="0.25">
      <c r="B8" s="39" t="s">
        <v>374</v>
      </c>
      <c r="C8" s="3"/>
      <c r="D8" s="3"/>
      <c r="E8" s="168" cm="1">
        <f t="array" ref="E8">_xlfn.LET(_xlpm.data,_xlfn.VSTACK('MDA1:NCA9'!E8),_xlpm.states,_xlfn.VSTACK('MDA1:NCA9'!$B$2),
SUM(_xlfn._xlws.FILTER(_xlpm.data,(_xlpm.states="Arizona")+(_xlpm.states="Maryland")+(_xlpm.states="North Carolina"))))</f>
        <v>35.54</v>
      </c>
      <c r="F8" s="168" cm="1">
        <f t="array" ref="F8">_xlfn.LET(_xlpm.data,_xlfn.VSTACK('MDA1:NCA9'!F8),_xlpm.states,_xlfn.VSTACK('MDA1:NCA9'!$B$2),
SUM(_xlfn._xlws.FILTER(_xlpm.data,(_xlpm.states="Arizona")+(_xlpm.states="Maryland")+(_xlpm.states="North Carolina"))))</f>
        <v>36.57</v>
      </c>
      <c r="G8" s="168" cm="1">
        <f t="array" ref="G8">_xlfn.LET(_xlpm.data,_xlfn.VSTACK('MDA1:NCA9'!G8),_xlpm.states,_xlfn.VSTACK('MDA1:NCA9'!$B$2),
SUM(_xlfn._xlws.FILTER(_xlpm.data,(_xlpm.states="Arizona")+(_xlpm.states="Maryland")+(_xlpm.states="North Carolina"))))</f>
        <v>37.78</v>
      </c>
      <c r="H8" s="168" cm="1">
        <f t="array" ref="H8">_xlfn.LET(_xlpm.data,_xlfn.VSTACK('MDA1:NCA9'!H8),_xlpm.states,_xlfn.VSTACK('MDA1:NCA9'!$B$2),
SUM(_xlfn._xlws.FILTER(_xlpm.data,(_xlpm.states="Arizona")+(_xlpm.states="Maryland")+(_xlpm.states="North Carolina"))))</f>
        <v>38.520000000000003</v>
      </c>
      <c r="I8" s="168" cm="1">
        <f t="array" ref="I8">_xlfn.LET(_xlpm.data,_xlfn.VSTACK('MDA1:NCA9'!I8),_xlpm.states,_xlfn.VSTACK('MDA1:NCA9'!$B$2),
SUM(_xlfn._xlws.FILTER(_xlpm.data,(_xlpm.states="Arizona")+(_xlpm.states="Maryland")+(_xlpm.states="North Carolina"))))</f>
        <v>39.169999999999995</v>
      </c>
      <c r="J8" s="168" cm="1">
        <f t="array" ref="J8">_xlfn.LET(_xlpm.data,_xlfn.VSTACK('MDA1:NCA9'!J8),_xlpm.states,_xlfn.VSTACK('MDA1:NCA9'!$B$2),
SUM(_xlfn._xlws.FILTER(_xlpm.data,(_xlpm.states="Arizona")+(_xlpm.states="Maryland")+(_xlpm.states="North Carolina"))))</f>
        <v>40.479999999999997</v>
      </c>
      <c r="K8" s="168" cm="1">
        <f t="array" ref="K8">_xlfn.LET(_xlpm.data,_xlfn.VSTACK('MDA1:NCA9'!K8),_xlpm.states,_xlfn.VSTACK('MDA1:NCA9'!$B$2),
SUM(_xlfn._xlws.FILTER(_xlpm.data,(_xlpm.states="Arizona")+(_xlpm.states="Maryland")+(_xlpm.states="North Carolina"))))</f>
        <v>42.86</v>
      </c>
      <c r="L8" s="168" cm="1">
        <f t="array" ref="L8">_xlfn.LET(_xlpm.data,_xlfn.VSTACK('MDA1:NCA9'!L8),_xlpm.states,_xlfn.VSTACK('MDA1:NCA9'!$B$2),
SUM(_xlfn._xlws.FILTER(_xlpm.data,(_xlpm.states="Arizona")+(_xlpm.states="Maryland")+(_xlpm.states="North Carolina"))))</f>
        <v>44.03</v>
      </c>
      <c r="M8" s="168" cm="1">
        <f t="array" ref="M8">_xlfn.LET(_xlpm.data,_xlfn.VSTACK('MDA1:NCA9'!M8),_xlpm.states,_xlfn.VSTACK('MDA1:NCA9'!$B$2),
SUM(_xlfn._xlws.FILTER(_xlpm.data,(_xlpm.states="Arizona")+(_xlpm.states="Maryland")+(_xlpm.states="North Carolina"))))</f>
        <v>45.33</v>
      </c>
      <c r="N8" s="168" cm="1">
        <f t="array" ref="N8">_xlfn.LET(_xlpm.data,_xlfn.VSTACK('MDA1:NCA9'!N8),_xlpm.states,_xlfn.VSTACK('MDA1:NCA9'!$B$2),
SUM(_xlfn._xlws.FILTER(_xlpm.data,(_xlpm.states="Arizona")+(_xlpm.states="Maryland")+(_xlpm.states="North Carolina"))))</f>
        <v>46.999999999999993</v>
      </c>
      <c r="O8" s="168" cm="1">
        <f t="array" ref="O8">_xlfn.LET(_xlpm.data,_xlfn.VSTACK('MDA1:NCA9'!O8),_xlpm.states,_xlfn.VSTACK('MDA1:NCA9'!$B$2),
SUM(_xlfn._xlws.FILTER(_xlpm.data,(_xlpm.states="Arizona")+(_xlpm.states="Maryland")+(_xlpm.states="North Carolina"))))</f>
        <v>48.929999999999993</v>
      </c>
      <c r="P8" s="168" cm="1">
        <f t="array" ref="P8">_xlfn.LET(_xlpm.data,_xlfn.VSTACK('MDA1:NCA9'!P8),_xlpm.states,_xlfn.VSTACK('MDA1:NCA9'!$B$2),
SUM(_xlfn._xlws.FILTER(_xlpm.data,(_xlpm.states="Arizona")+(_xlpm.states="Maryland")+(_xlpm.states="North Carolina"))))</f>
        <v>51.08</v>
      </c>
      <c r="Q8" s="168" cm="1">
        <f t="array" ref="Q8">_xlfn.LET(_xlpm.data,_xlfn.VSTACK('MDA1:NCA9'!Q8),_xlpm.states,_xlfn.VSTACK('MDA1:NCA9'!$B$2),
SUM(_xlfn._xlws.FILTER(_xlpm.data,(_xlpm.states="Arizona")+(_xlpm.states="Maryland")+(_xlpm.states="North Carolina"))))</f>
        <v>52.93</v>
      </c>
      <c r="R8" s="168" cm="1">
        <f t="array" ref="R8">_xlfn.LET(_xlpm.data,_xlfn.VSTACK('MDA1:NCA9'!R8),_xlpm.states,_xlfn.VSTACK('MDA1:NCA9'!$B$2),
SUM(_xlfn._xlws.FILTER(_xlpm.data,(_xlpm.states="Arizona")+(_xlpm.states="Maryland")+(_xlpm.states="North Carolina"))))</f>
        <v>54.71</v>
      </c>
      <c r="S8" s="168" cm="1">
        <f t="array" ref="S8">_xlfn.LET(_xlpm.data,_xlfn.VSTACK('MDA1:NCA9'!S8),_xlpm.states,_xlfn.VSTACK('MDA1:NCA9'!$B$2),
SUM(_xlfn._xlws.FILTER(_xlpm.data,(_xlpm.states="Arizona")+(_xlpm.states="Maryland")+(_xlpm.states="North Carolina"))))</f>
        <v>56.36</v>
      </c>
      <c r="T8" s="168" cm="1">
        <f t="array" ref="T8">_xlfn.LET(_xlpm.data,_xlfn.VSTACK('MDA1:NCA9'!T8),_xlpm.states,_xlfn.VSTACK('MDA1:NCA9'!$B$2),
SUM(_xlfn._xlws.FILTER(_xlpm.data,(_xlpm.states="Arizona")+(_xlpm.states="Maryland")+(_xlpm.states="North Carolina"))))</f>
        <v>58</v>
      </c>
      <c r="U8" s="168" cm="1">
        <f t="array" ref="U8">_xlfn.LET(_xlpm.data,_xlfn.VSTACK('MDA1:NCA9'!U8),_xlpm.states,_xlfn.VSTACK('MDA1:NCA9'!$B$2),
SUM(_xlfn._xlws.FILTER(_xlpm.data,(_xlpm.states="Arizona")+(_xlpm.states="Maryland")+(_xlpm.states="North Carolina"))))</f>
        <v>59.599999999999994</v>
      </c>
      <c r="V8" s="168" cm="1">
        <f t="array" ref="V8">_xlfn.LET(_xlpm.data,_xlfn.VSTACK('MDA1:NCA9'!V8),_xlpm.states,_xlfn.VSTACK('MDA1:NCA9'!$B$2),
SUM(_xlfn._xlws.FILTER(_xlpm.data,(_xlpm.states="Arizona")+(_xlpm.states="Maryland")+(_xlpm.states="North Carolina"))))</f>
        <v>61.349999999999994</v>
      </c>
      <c r="W8" s="168" cm="1">
        <f t="array" ref="W8">_xlfn.LET(_xlpm.data,_xlfn.VSTACK('MDA1:NCA9'!W8),_xlpm.states,_xlfn.VSTACK('MDA1:NCA9'!$B$2),
SUM(_xlfn._xlws.FILTER(_xlpm.data,(_xlpm.states="Arizona")+(_xlpm.states="Maryland")+(_xlpm.states="North Carolina"))))</f>
        <v>63.42</v>
      </c>
      <c r="X8" s="168" cm="1">
        <f t="array" ref="X8">_xlfn.LET(_xlpm.data,_xlfn.VSTACK('MDA1:NCA9'!X8),_xlpm.states,_xlfn.VSTACK('MDA1:NCA9'!$B$2),
SUM(_xlfn._xlws.FILTER(_xlpm.data,(_xlpm.states="Arizona")+(_xlpm.states="Maryland")+(_xlpm.states="North Carolina"))))</f>
        <v>65.36</v>
      </c>
      <c r="Y8" s="168" cm="1">
        <f t="array" ref="Y8">_xlfn.LET(_xlpm.data,_xlfn.VSTACK('MDA1:NCA9'!Y8),_xlpm.states,_xlfn.VSTACK('MDA1:NCA9'!$B$2),
SUM(_xlfn._xlws.FILTER(_xlpm.data,(_xlpm.states="Arizona")+(_xlpm.states="Maryland")+(_xlpm.states="North Carolina"))))</f>
        <v>67.099999999999994</v>
      </c>
      <c r="Z8" s="168" cm="1">
        <f t="array" ref="Z8">_xlfn.LET(_xlpm.data,_xlfn.VSTACK('MDA1:NCA9'!Z8),_xlpm.states,_xlfn.VSTACK('MDA1:NCA9'!$B$2),
SUM(_xlfn._xlws.FILTER(_xlpm.data,(_xlpm.states="Arizona")+(_xlpm.states="Maryland")+(_xlpm.states="North Carolina"))))</f>
        <v>68.849999999999994</v>
      </c>
      <c r="AA8" s="168" cm="1">
        <f t="array" ref="AA8">_xlfn.LET(_xlpm.data,_xlfn.VSTACK('MDA1:NCA9'!AA8),_xlpm.states,_xlfn.VSTACK('MDA1:NCA9'!$B$2),
SUM(_xlfn._xlws.FILTER(_xlpm.data,(_xlpm.states="Arizona")+(_xlpm.states="Maryland")+(_xlpm.states="North Carolina"))))</f>
        <v>70.5</v>
      </c>
      <c r="AB8" s="168" cm="1">
        <f t="array" ref="AB8">_xlfn.LET(_xlpm.data,_xlfn.VSTACK('MDA1:NCA9'!AB8),_xlpm.states,_xlfn.VSTACK('MDA1:NCA9'!$B$2),
SUM(_xlfn._xlws.FILTER(_xlpm.data,(_xlpm.states="Arizona")+(_xlpm.states="Maryland")+(_xlpm.states="North Carolina"))))</f>
        <v>71.709999999999994</v>
      </c>
      <c r="AC8" s="168" cm="1">
        <f t="array" ref="AC8">_xlfn.LET(_xlpm.data,_xlfn.VSTACK('MDA1:NCA9'!AC8),_xlpm.states,_xlfn.VSTACK('MDA1:NCA9'!$B$2),
SUM(_xlfn._xlws.FILTER(_xlpm.data,(_xlpm.states="Arizona")+(_xlpm.states="Maryland")+(_xlpm.states="North Carolina"))))</f>
        <v>73.010000000000005</v>
      </c>
      <c r="AD8" s="168" cm="1">
        <f t="array" ref="AD8">_xlfn.LET(_xlpm.data,_xlfn.VSTACK('MDA1:NCA9'!AD8),_xlpm.states,_xlfn.VSTACK('MDA1:NCA9'!$B$2),
SUM(_xlfn._xlws.FILTER(_xlpm.data,(_xlpm.states="Arizona")+(_xlpm.states="Maryland")+(_xlpm.states="North Carolina"))))</f>
        <v>74.34</v>
      </c>
      <c r="AE8" s="168" cm="1">
        <f t="array" ref="AE8">_xlfn.LET(_xlpm.data,_xlfn.VSTACK('MDA1:NCA9'!AE8),_xlpm.states,_xlfn.VSTACK('MDA1:NCA9'!$B$2),
SUM(_xlfn._xlws.FILTER(_xlpm.data,(_xlpm.states="Arizona")+(_xlpm.states="Maryland")+(_xlpm.states="North Carolina"))))</f>
        <v>75.33</v>
      </c>
      <c r="AF8" s="168" cm="1">
        <f t="array" ref="AF8">_xlfn.LET(_xlpm.data,_xlfn.VSTACK('MDA1:NCA9'!AF8),_xlpm.states,_xlfn.VSTACK('MDA1:NCA9'!$B$2),
SUM(_xlfn._xlws.FILTER(_xlpm.data,(_xlpm.states="Arizona")+(_xlpm.states="Maryland")+(_xlpm.states="North Carolina"))))</f>
        <v>76.37</v>
      </c>
      <c r="AG8" s="168" cm="1">
        <f t="array" ref="AG8">_xlfn.LET(_xlpm.data,_xlfn.VSTACK('MDA1:NCA9'!AG8),_xlpm.states,_xlfn.VSTACK('MDA1:NCA9'!$B$2),
SUM(_xlfn._xlws.FILTER(_xlpm.data,(_xlpm.states="Arizona")+(_xlpm.states="Maryland")+(_xlpm.states="North Carolina"))))</f>
        <v>77.489999999999995</v>
      </c>
      <c r="AH8" s="168" cm="1">
        <f t="array" ref="AH8">_xlfn.LET(_xlpm.data,_xlfn.VSTACK('MDA1:NCA9'!AH8),_xlpm.states,_xlfn.VSTACK('MDA1:NCA9'!$B$2),
SUM(_xlfn._xlws.FILTER(_xlpm.data,(_xlpm.states="Arizona")+(_xlpm.states="Maryland")+(_xlpm.states="North Carolina"))))</f>
        <v>79.350000000000009</v>
      </c>
      <c r="AI8" s="168" cm="1">
        <f t="array" ref="AI8">_xlfn.LET(_xlpm.data,_xlfn.VSTACK('MDA1:NCA9'!AI8),_xlpm.states,_xlfn.VSTACK('MDA1:NCA9'!$B$2),
SUM(_xlfn._xlws.FILTER(_xlpm.data,(_xlpm.states="Arizona")+(_xlpm.states="Maryland")+(_xlpm.states="North Carolina"))))</f>
        <v>81.339999999999989</v>
      </c>
      <c r="AJ8" s="168" cm="1">
        <f t="array" ref="AJ8">_xlfn.LET(_xlpm.data,_xlfn.VSTACK('MDA1:NCA9'!AJ8),_xlpm.states,_xlfn.VSTACK('MDA1:NCA9'!$B$2),
SUM(_xlfn._xlws.FILTER(_xlpm.data,(_xlpm.states="Arizona")+(_xlpm.states="Maryland")+(_xlpm.states="North Carolina"))))</f>
        <v>83.23</v>
      </c>
      <c r="AK8" s="168" cm="1">
        <f t="array" ref="AK8">_xlfn.LET(_xlpm.data,_xlfn.VSTACK('MDA1:NCA9'!AK8),_xlpm.states,_xlfn.VSTACK('MDA1:NCA9'!$B$2),
SUM(_xlfn._xlws.FILTER(_xlpm.data,(_xlpm.states="Arizona")+(_xlpm.states="Maryland")+(_xlpm.states="North Carolina"))))</f>
        <v>84.789999999999992</v>
      </c>
      <c r="AL8" s="168" cm="1">
        <f t="array" ref="AL8">_xlfn.LET(_xlpm.data,_xlfn.VSTACK('MDA1:NCA9'!AL8),_xlpm.states,_xlfn.VSTACK('MDA1:NCA9'!$B$2),
SUM(_xlfn._xlws.FILTER(_xlpm.data,(_xlpm.states="Arizona")+(_xlpm.states="Maryland")+(_xlpm.states="North Carolina"))))</f>
        <v>85.92</v>
      </c>
      <c r="AM8" s="168" cm="1">
        <f t="array" ref="AM8">_xlfn.LET(_xlpm.data,_xlfn.VSTACK('MDA1:NCA9'!AM8),_xlpm.states,_xlfn.VSTACK('MDA1:NCA9'!$B$2),
SUM(_xlfn._xlws.FILTER(_xlpm.data,(_xlpm.states="Arizona")+(_xlpm.states="Maryland")+(_xlpm.states="North Carolina"))))</f>
        <v>87.05</v>
      </c>
      <c r="AN8" s="168" cm="1">
        <f t="array" ref="AN8">_xlfn.LET(_xlpm.data,_xlfn.VSTACK('MDA1:NCA9'!AN8),_xlpm.states,_xlfn.VSTACK('MDA1:NCA9'!$B$2),
SUM(_xlfn._xlws.FILTER(_xlpm.data,(_xlpm.states="Arizona")+(_xlpm.states="Maryland")+(_xlpm.states="North Carolina"))))</f>
        <v>88.08</v>
      </c>
    </row>
    <row r="9" spans="1:40" x14ac:dyDescent="0.25">
      <c r="B9" s="96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461</v>
      </c>
      <c r="C10" s="3"/>
      <c r="D10" s="96"/>
      <c r="E10" s="168" cm="1">
        <f t="array" ref="E10">_xlfn.LET(_xlpm.data,_xlfn.VSTACK('MDA1:NCA9'!E2),_xlpm.states,_xlfn.VSTACK('MDA1:NCA9'!$B$2),
SUM(_xlfn._xlws.FILTER(_xlpm.data,(_xlpm.states="Arizona")+(_xlpm.states="Maryland")+(_xlpm.states="North Carolina"))))</f>
        <v>23.853858784893269</v>
      </c>
      <c r="F10" s="168" cm="1">
        <f t="array" ref="F10">_xlfn.LET(_xlpm.data,_xlfn.VSTACK('MDA1:NCA9'!F2),_xlpm.states,_xlfn.VSTACK('MDA1:NCA9'!$B$2),
SUM(_xlfn._xlws.FILTER(_xlpm.data,(_xlpm.states="Arizona")+(_xlpm.states="Maryland")+(_xlpm.states="North Carolina"))))</f>
        <v>28.639573070607554</v>
      </c>
      <c r="G10" s="168" cm="1">
        <f t="array" ref="G10">_xlfn.LET(_xlpm.data,_xlfn.VSTACK('MDA1:NCA9'!G2),_xlpm.states,_xlfn.VSTACK('MDA1:NCA9'!$B$2),
SUM(_xlfn._xlws.FILTER(_xlpm.data,(_xlpm.states="Arizona")+(_xlpm.states="Maryland")+(_xlpm.states="North Carolina"))))</f>
        <v>26.877668308702791</v>
      </c>
      <c r="H10" s="168" cm="1">
        <f t="array" ref="H10">_xlfn.LET(_xlpm.data,_xlfn.VSTACK('MDA1:NCA9'!H2),_xlpm.states,_xlfn.VSTACK('MDA1:NCA9'!$B$2),
SUM(_xlfn._xlws.FILTER(_xlpm.data,(_xlpm.states="Arizona")+(_xlpm.states="Maryland")+(_xlpm.states="North Carolina"))))</f>
        <v>27.544334975369456</v>
      </c>
      <c r="I10" s="168" cm="1">
        <f t="array" ref="I10">_xlfn.LET(_xlpm.data,_xlfn.VSTACK('MDA1:NCA9'!I2),_xlpm.states,_xlfn.VSTACK('MDA1:NCA9'!$B$2),
SUM(_xlfn._xlws.FILTER(_xlpm.data,(_xlpm.states="Arizona")+(_xlpm.states="Maryland")+(_xlpm.states="North Carolina"))))</f>
        <v>28.211001642036127</v>
      </c>
      <c r="J10" s="168" cm="1">
        <f t="array" ref="J10">_xlfn.LET(_xlpm.data,_xlfn.VSTACK('MDA1:NCA9'!J2),_xlpm.states,_xlfn.VSTACK('MDA1:NCA9'!$B$2),
SUM(_xlfn._xlws.FILTER(_xlpm.data,(_xlpm.states="Arizona")+(_xlpm.states="Maryland")+(_xlpm.states="North Carolina"))))</f>
        <v>28.877668308702791</v>
      </c>
      <c r="K10" s="168" cm="1">
        <f t="array" ref="K10">_xlfn.LET(_xlpm.data,_xlfn.VSTACK('MDA1:NCA9'!K2),_xlpm.states,_xlfn.VSTACK('MDA1:NCA9'!$B$2),
SUM(_xlfn._xlws.FILTER(_xlpm.data,(_xlpm.states="Arizona")+(_xlpm.states="Maryland")+(_xlpm.states="North Carolina"))))</f>
        <v>35.711001642036123</v>
      </c>
      <c r="L10" s="168" cm="1">
        <f t="array" ref="L10">_xlfn.LET(_xlpm.data,_xlfn.VSTACK('MDA1:NCA9'!L2),_xlpm.states,_xlfn.VSTACK('MDA1:NCA9'!$B$2),
SUM(_xlfn._xlws.FILTER(_xlpm.data,(_xlpm.states="Arizona")+(_xlpm.states="Maryland")+(_xlpm.states="North Carolina"))))</f>
        <v>39.568144499178985</v>
      </c>
      <c r="M10" s="168" cm="1">
        <f t="array" ref="M10">_xlfn.LET(_xlpm.data,_xlfn.VSTACK('MDA1:NCA9'!M2),_xlpm.states,_xlfn.VSTACK('MDA1:NCA9'!$B$2),
SUM(_xlfn._xlws.FILTER(_xlpm.data,(_xlpm.states="Arizona")+(_xlpm.states="Maryland")+(_xlpm.states="North Carolina"))))</f>
        <v>40.401477832512313</v>
      </c>
      <c r="N10" s="168" cm="1">
        <f t="array" ref="N10">_xlfn.LET(_xlpm.data,_xlfn.VSTACK('MDA1:NCA9'!N2),_xlpm.states,_xlfn.VSTACK('MDA1:NCA9'!$B$2),
SUM(_xlfn._xlws.FILTER(_xlpm.data,(_xlpm.states="Arizona")+(_xlpm.states="Maryland")+(_xlpm.states="North Carolina"))))</f>
        <v>41.234811165845649</v>
      </c>
      <c r="O10" s="168" cm="1">
        <f t="array" ref="O10">_xlfn.LET(_xlpm.data,_xlfn.VSTACK('MDA1:NCA9'!O2),_xlpm.states,_xlfn.VSTACK('MDA1:NCA9'!$B$2),
SUM(_xlfn._xlws.FILTER(_xlpm.data,(_xlpm.states="Arizona")+(_xlpm.states="Maryland")+(_xlpm.states="North Carolina"))))</f>
        <v>45.091954022988517</v>
      </c>
      <c r="P10" s="168" cm="1">
        <f t="array" ref="P10">_xlfn.LET(_xlpm.data,_xlfn.VSTACK('MDA1:NCA9'!P2),_xlpm.states,_xlfn.VSTACK('MDA1:NCA9'!$B$2),
SUM(_xlfn._xlws.FILTER(_xlpm.data,(_xlpm.states="Arizona")+(_xlpm.states="Maryland")+(_xlpm.states="North Carolina"))))</f>
        <v>43.758620689655174</v>
      </c>
      <c r="Q10" s="168" cm="1">
        <f t="array" ref="Q10">_xlfn.LET(_xlpm.data,_xlfn.VSTACK('MDA1:NCA9'!Q2),_xlpm.states,_xlfn.VSTACK('MDA1:NCA9'!$B$2),
SUM(_xlfn._xlws.FILTER(_xlpm.data,(_xlpm.states="Arizona")+(_xlpm.states="Maryland")+(_xlpm.states="North Carolina"))))</f>
        <v>44.758620689655167</v>
      </c>
      <c r="R10" s="168" cm="1">
        <f t="array" ref="R10">_xlfn.LET(_xlpm.data,_xlfn.VSTACK('MDA1:NCA9'!R2),_xlpm.states,_xlfn.VSTACK('MDA1:NCA9'!$B$2),
SUM(_xlfn._xlws.FILTER(_xlpm.data,(_xlpm.states="Arizona")+(_xlpm.states="Maryland")+(_xlpm.states="North Carolina"))))</f>
        <v>45.520525451559941</v>
      </c>
      <c r="S10" s="168" cm="1">
        <f t="array" ref="S10">_xlfn.LET(_xlpm.data,_xlfn.VSTACK('MDA1:NCA9'!S2),_xlpm.states,_xlfn.VSTACK('MDA1:NCA9'!$B$2),
SUM(_xlfn._xlws.FILTER(_xlpm.data,(_xlpm.states="Arizona")+(_xlpm.states="Maryland")+(_xlpm.states="North Carolina"))))</f>
        <v>46.187192118226605</v>
      </c>
      <c r="T10" s="168" cm="1">
        <f t="array" ref="T10">_xlfn.LET(_xlpm.data,_xlfn.VSTACK('MDA1:NCA9'!T2),_xlpm.states,_xlfn.VSTACK('MDA1:NCA9'!$B$2),
SUM(_xlfn._xlws.FILTER(_xlpm.data,(_xlpm.states="Arizona")+(_xlpm.states="Maryland")+(_xlpm.states="North Carolina"))))</f>
        <v>46.853858784893269</v>
      </c>
      <c r="U10" s="168" cm="1">
        <f t="array" ref="U10">_xlfn.LET(_xlpm.data,_xlfn.VSTACK('MDA1:NCA9'!U2),_xlpm.states,_xlfn.VSTACK('MDA1:NCA9'!$B$2),
SUM(_xlfn._xlws.FILTER(_xlpm.data,(_xlpm.states="Arizona")+(_xlpm.states="Maryland")+(_xlpm.states="North Carolina"))))</f>
        <v>47.520525451559941</v>
      </c>
      <c r="V10" s="168" cm="1">
        <f t="array" ref="V10">_xlfn.LET(_xlpm.data,_xlfn.VSTACK('MDA1:NCA9'!V2),_xlpm.states,_xlfn.VSTACK('MDA1:NCA9'!$B$2),
SUM(_xlfn._xlws.FILTER(_xlpm.data,(_xlpm.states="Arizona")+(_xlpm.states="Maryland")+(_xlpm.states="North Carolina"))))</f>
        <v>48.187192118226605</v>
      </c>
      <c r="W10" s="168" cm="1">
        <f t="array" ref="W10">_xlfn.LET(_xlpm.data,_xlfn.VSTACK('MDA1:NCA9'!W2),_xlpm.states,_xlfn.VSTACK('MDA1:NCA9'!$B$2),
SUM(_xlfn._xlws.FILTER(_xlpm.data,(_xlpm.states="Arizona")+(_xlpm.states="Maryland")+(_xlpm.states="North Carolina"))))</f>
        <v>45.853858784893269</v>
      </c>
      <c r="X10" s="168" cm="1">
        <f t="array" ref="X10">_xlfn.LET(_xlpm.data,_xlfn.VSTACK('MDA1:NCA9'!X2),_xlpm.states,_xlfn.VSTACK('MDA1:NCA9'!$B$2),
SUM(_xlfn._xlws.FILTER(_xlpm.data,(_xlpm.states="Arizona")+(_xlpm.states="Maryland")+(_xlpm.states="North Carolina"))))</f>
        <v>46.830049261083744</v>
      </c>
      <c r="Y10" s="168" cm="1">
        <f t="array" ref="Y10">_xlfn.LET(_xlpm.data,_xlfn.VSTACK('MDA1:NCA9'!Y2),_xlpm.states,_xlfn.VSTACK('MDA1:NCA9'!$B$2),
SUM(_xlfn._xlws.FILTER(_xlpm.data,(_xlpm.states="Arizona")+(_xlpm.states="Maryland")+(_xlpm.states="North Carolina"))))</f>
        <v>50.687192118226605</v>
      </c>
      <c r="Z10" s="168" cm="1">
        <f t="array" ref="Z10">_xlfn.LET(_xlpm.data,_xlfn.VSTACK('MDA1:NCA9'!Z2),_xlpm.states,_xlfn.VSTACK('MDA1:NCA9'!$B$2),
SUM(_xlfn._xlws.FILTER(_xlpm.data,(_xlpm.states="Arizona")+(_xlpm.states="Maryland")+(_xlpm.states="North Carolina"))))</f>
        <v>51.687192118226598</v>
      </c>
      <c r="AA10" s="168" cm="1">
        <f t="array" ref="AA10">_xlfn.LET(_xlpm.data,_xlfn.VSTACK('MDA1:NCA9'!AA2),_xlpm.states,_xlfn.VSTACK('MDA1:NCA9'!$B$2),
SUM(_xlfn._xlws.FILTER(_xlpm.data,(_xlpm.states="Arizona")+(_xlpm.states="Maryland")+(_xlpm.states="North Carolina"))))</f>
        <v>49.830049261083737</v>
      </c>
      <c r="AB10" s="168" cm="1">
        <f t="array" ref="AB10">_xlfn.LET(_xlpm.data,_xlfn.VSTACK('MDA1:NCA9'!AB2),_xlpm.states,_xlfn.VSTACK('MDA1:NCA9'!$B$2),
SUM(_xlfn._xlws.FILTER(_xlpm.data,(_xlpm.states="Arizona")+(_xlpm.states="Maryland")+(_xlpm.states="North Carolina"))))</f>
        <v>50.830049261083758</v>
      </c>
      <c r="AC10" s="168" cm="1">
        <f t="array" ref="AC10">_xlfn.LET(_xlpm.data,_xlfn.VSTACK('MDA1:NCA9'!AC2),_xlpm.states,_xlfn.VSTACK('MDA1:NCA9'!$B$2),
SUM(_xlfn._xlws.FILTER(_xlpm.data,(_xlpm.states="Arizona")+(_xlpm.states="Maryland")+(_xlpm.states="North Carolina"))))</f>
        <v>51.830049261083744</v>
      </c>
      <c r="AD10" s="168" cm="1">
        <f t="array" ref="AD10">_xlfn.LET(_xlpm.data,_xlfn.VSTACK('MDA1:NCA9'!AD2),_xlpm.states,_xlfn.VSTACK('MDA1:NCA9'!$B$2),
SUM(_xlfn._xlws.FILTER(_xlpm.data,(_xlpm.states="Arizona")+(_xlpm.states="Maryland")+(_xlpm.states="North Carolina"))))</f>
        <v>50.782430213464693</v>
      </c>
      <c r="AE10" s="168" cm="1">
        <f t="array" ref="AE10">_xlfn.LET(_xlpm.data,_xlfn.VSTACK('MDA1:NCA9'!AE2),_xlpm.states,_xlfn.VSTACK('MDA1:NCA9'!$B$2),
SUM(_xlfn._xlws.FILTER(_xlpm.data,(_xlpm.states="Arizona")+(_xlpm.states="Maryland")+(_xlpm.states="North Carolina"))))</f>
        <v>51.449096880131371</v>
      </c>
      <c r="AF10" s="168" cm="1">
        <f t="array" ref="AF10">_xlfn.LET(_xlpm.data,_xlfn.VSTACK('MDA1:NCA9'!AF2),_xlpm.states,_xlfn.VSTACK('MDA1:NCA9'!$B$2),
SUM(_xlfn._xlws.FILTER(_xlpm.data,(_xlpm.states="Arizona")+(_xlpm.states="Maryland")+(_xlpm.states="North Carolina"))))</f>
        <v>52.115763546798028</v>
      </c>
      <c r="AG10" s="168" cm="1">
        <f t="array" ref="AG10">_xlfn.LET(_xlpm.data,_xlfn.VSTACK('MDA1:NCA9'!AG2),_xlpm.states,_xlfn.VSTACK('MDA1:NCA9'!$B$2),
SUM(_xlfn._xlws.FILTER(_xlpm.data,(_xlpm.states="Arizona")+(_xlpm.states="Maryland")+(_xlpm.states="North Carolina"))))</f>
        <v>52.7824302134647</v>
      </c>
      <c r="AH10" s="168" cm="1">
        <f t="array" ref="AH10">_xlfn.LET(_xlpm.data,_xlfn.VSTACK('MDA1:NCA9'!AH2),_xlpm.states,_xlfn.VSTACK('MDA1:NCA9'!$B$2),
SUM(_xlfn._xlws.FILTER(_xlpm.data,(_xlpm.states="Arizona")+(_xlpm.states="Maryland")+(_xlpm.states="North Carolina"))))</f>
        <v>53.449096880131371</v>
      </c>
      <c r="AI10" s="168" cm="1">
        <f t="array" ref="AI10">_xlfn.LET(_xlpm.data,_xlfn.VSTACK('MDA1:NCA9'!AI2),_xlpm.states,_xlfn.VSTACK('MDA1:NCA9'!$B$2),
SUM(_xlfn._xlws.FILTER(_xlpm.data,(_xlpm.states="Arizona")+(_xlpm.states="Maryland")+(_xlpm.states="North Carolina"))))</f>
        <v>60.139573070607554</v>
      </c>
      <c r="AJ10" s="168" cm="1">
        <f t="array" ref="AJ10">_xlfn.LET(_xlpm.data,_xlfn.VSTACK('MDA1:NCA9'!AJ2),_xlpm.states,_xlfn.VSTACK('MDA1:NCA9'!$B$2),
SUM(_xlfn._xlws.FILTER(_xlpm.data,(_xlpm.states="Arizona")+(_xlpm.states="Maryland")+(_xlpm.states="North Carolina"))))</f>
        <v>57.97290640394089</v>
      </c>
      <c r="AK10" s="168" cm="1">
        <f t="array" ref="AK10">_xlfn.LET(_xlpm.data,_xlfn.VSTACK('MDA1:NCA9'!AK2),_xlpm.states,_xlfn.VSTACK('MDA1:NCA9'!$B$2),
SUM(_xlfn._xlws.FILTER(_xlpm.data,(_xlpm.states="Arizona")+(_xlpm.states="Maryland")+(_xlpm.states="North Carolina"))))</f>
        <v>55.949096880131364</v>
      </c>
      <c r="AL10" s="168" cm="1">
        <f t="array" ref="AL10">_xlfn.LET(_xlpm.data,_xlfn.VSTACK('MDA1:NCA9'!AL2),_xlpm.states,_xlfn.VSTACK('MDA1:NCA9'!$B$2),
SUM(_xlfn._xlws.FILTER(_xlpm.data,(_xlpm.states="Arizona")+(_xlpm.states="Maryland")+(_xlpm.states="North Carolina"))))</f>
        <v>56.7824302134647</v>
      </c>
      <c r="AM10" s="168" cm="1">
        <f t="array" ref="AM10">_xlfn.LET(_xlpm.data,_xlfn.VSTACK('MDA1:NCA9'!AM2),_xlpm.states,_xlfn.VSTACK('MDA1:NCA9'!$B$2),
SUM(_xlfn._xlws.FILTER(_xlpm.data,(_xlpm.states="Arizona")+(_xlpm.states="Maryland")+(_xlpm.states="North Carolina"))))</f>
        <v>57.449096880131364</v>
      </c>
      <c r="AN10" s="168" cm="1">
        <f t="array" ref="AN10">_xlfn.LET(_xlpm.data,_xlfn.VSTACK('MDA1:NCA9'!AN2),_xlpm.states,_xlfn.VSTACK('MDA1:NCA9'!$B$2),
SUM(_xlfn._xlws.FILTER(_xlpm.data,(_xlpm.states="Arizona")+(_xlpm.states="Maryland")+(_xlpm.states="North Carolina"))))</f>
        <v>58.115763546798028</v>
      </c>
    </row>
    <row r="11" spans="1:40" hidden="1" outlineLevel="1" x14ac:dyDescent="0.25">
      <c r="B11" s="55" t="s">
        <v>462</v>
      </c>
      <c r="C11" s="3"/>
      <c r="D11" s="96"/>
      <c r="E11" s="168" cm="1">
        <f t="array" ref="E11">_xlfn.LET(_xlpm.data,_xlfn.VSTACK('MDA1:NCA9'!E3),_xlpm.states,_xlfn.VSTACK('MDA1:NCA9'!$B$2),
SUM(_xlfn._xlws.FILTER(_xlpm.data,(_xlpm.states="Arizona")+(_xlpm.states="Maryland")+(_xlpm.states="North Carolina"))))</f>
        <v>18.666666666666668</v>
      </c>
      <c r="F11" s="168" cm="1">
        <f t="array" ref="F11">_xlfn.LET(_xlpm.data,_xlfn.VSTACK('MDA1:NCA9'!F3),_xlpm.states,_xlfn.VSTACK('MDA1:NCA9'!$B$2),
SUM(_xlfn._xlws.FILTER(_xlpm.data,(_xlpm.states="Arizona")+(_xlpm.states="Maryland")+(_xlpm.states="North Carolina"))))</f>
        <v>19.333333333333336</v>
      </c>
      <c r="G11" s="168" cm="1">
        <f t="array" ref="G11">_xlfn.LET(_xlpm.data,_xlfn.VSTACK('MDA1:NCA9'!G3),_xlpm.states,_xlfn.VSTACK('MDA1:NCA9'!$B$2),
SUM(_xlfn._xlws.FILTER(_xlpm.data,(_xlpm.states="Arizona")+(_xlpm.states="Maryland")+(_xlpm.states="North Carolina"))))</f>
        <v>19.999999999999996</v>
      </c>
      <c r="H11" s="168" cm="1">
        <f t="array" ref="H11">_xlfn.LET(_xlpm.data,_xlfn.VSTACK('MDA1:NCA9'!H3),_xlpm.states,_xlfn.VSTACK('MDA1:NCA9'!$B$2),
SUM(_xlfn._xlws.FILTER(_xlpm.data,(_xlpm.states="Arizona")+(_xlpm.states="Maryland")+(_xlpm.states="North Carolina"))))</f>
        <v>20.666666666666668</v>
      </c>
      <c r="I11" s="168" cm="1">
        <f t="array" ref="I11">_xlfn.LET(_xlpm.data,_xlfn.VSTACK('MDA1:NCA9'!I3),_xlpm.states,_xlfn.VSTACK('MDA1:NCA9'!$B$2),
SUM(_xlfn._xlws.FILTER(_xlpm.data,(_xlpm.states="Arizona")+(_xlpm.states="Maryland")+(_xlpm.states="North Carolina"))))</f>
        <v>21.333333333333336</v>
      </c>
      <c r="J11" s="168" cm="1">
        <f t="array" ref="J11">_xlfn.LET(_xlpm.data,_xlfn.VSTACK('MDA1:NCA9'!J3),_xlpm.states,_xlfn.VSTACK('MDA1:NCA9'!$B$2),
SUM(_xlfn._xlws.FILTER(_xlpm.data,(_xlpm.states="Arizona")+(_xlpm.states="Maryland")+(_xlpm.states="North Carolina"))))</f>
        <v>21.999999999999996</v>
      </c>
      <c r="K11" s="168" cm="1">
        <f t="array" ref="K11">_xlfn.LET(_xlpm.data,_xlfn.VSTACK('MDA1:NCA9'!K3),_xlpm.states,_xlfn.VSTACK('MDA1:NCA9'!$B$2),
SUM(_xlfn._xlws.FILTER(_xlpm.data,(_xlpm.states="Arizona")+(_xlpm.states="Maryland")+(_xlpm.states="North Carolina"))))</f>
        <v>25.833333333333336</v>
      </c>
      <c r="L11" s="168" cm="1">
        <f t="array" ref="L11">_xlfn.LET(_xlpm.data,_xlfn.VSTACK('MDA1:NCA9'!L3),_xlpm.states,_xlfn.VSTACK('MDA1:NCA9'!$B$2),
SUM(_xlfn._xlws.FILTER(_xlpm.data,(_xlpm.states="Arizona")+(_xlpm.states="Maryland")+(_xlpm.states="North Carolina"))))</f>
        <v>26.833333333333336</v>
      </c>
      <c r="M11" s="168" cm="1">
        <f t="array" ref="M11">_xlfn.LET(_xlpm.data,_xlfn.VSTACK('MDA1:NCA9'!M3),_xlpm.states,_xlfn.VSTACK('MDA1:NCA9'!$B$2),
SUM(_xlfn._xlws.FILTER(_xlpm.data,(_xlpm.states="Arizona")+(_xlpm.states="Maryland")+(_xlpm.states="North Carolina"))))</f>
        <v>27.666666666666661</v>
      </c>
      <c r="N11" s="168" cm="1">
        <f t="array" ref="N11">_xlfn.LET(_xlpm.data,_xlfn.VSTACK('MDA1:NCA9'!N3),_xlpm.states,_xlfn.VSTACK('MDA1:NCA9'!$B$2),
SUM(_xlfn._xlws.FILTER(_xlpm.data,(_xlpm.states="Arizona")+(_xlpm.states="Maryland")+(_xlpm.states="North Carolina"))))</f>
        <v>28.500000000000004</v>
      </c>
      <c r="O11" s="168" cm="1">
        <f t="array" ref="O11">_xlfn.LET(_xlpm.data,_xlfn.VSTACK('MDA1:NCA9'!O3),_xlpm.states,_xlfn.VSTACK('MDA1:NCA9'!$B$2),
SUM(_xlfn._xlws.FILTER(_xlpm.data,(_xlpm.states="Arizona")+(_xlpm.states="Maryland")+(_xlpm.states="North Carolina"))))</f>
        <v>29.500000000000004</v>
      </c>
      <c r="P11" s="168" cm="1">
        <f t="array" ref="P11">_xlfn.LET(_xlpm.data,_xlfn.VSTACK('MDA1:NCA9'!P3),_xlpm.states,_xlfn.VSTACK('MDA1:NCA9'!$B$2),
SUM(_xlfn._xlws.FILTER(_xlpm.data,(_xlpm.states="Arizona")+(_xlpm.states="Maryland")+(_xlpm.states="North Carolina"))))</f>
        <v>30.499999999999993</v>
      </c>
      <c r="Q11" s="168" cm="1">
        <f t="array" ref="Q11">_xlfn.LET(_xlpm.data,_xlfn.VSTACK('MDA1:NCA9'!Q3),_xlpm.states,_xlfn.VSTACK('MDA1:NCA9'!$B$2),
SUM(_xlfn._xlws.FILTER(_xlpm.data,(_xlpm.states="Arizona")+(_xlpm.states="Maryland")+(_xlpm.states="North Carolina"))))</f>
        <v>31.500000000000004</v>
      </c>
      <c r="R11" s="168" cm="1">
        <f t="array" ref="R11">_xlfn.LET(_xlpm.data,_xlfn.VSTACK('MDA1:NCA9'!R3),_xlpm.states,_xlfn.VSTACK('MDA1:NCA9'!$B$2),
SUM(_xlfn._xlws.FILTER(_xlpm.data,(_xlpm.states="Arizona")+(_xlpm.states="Maryland")+(_xlpm.states="North Carolina"))))</f>
        <v>32.333333333333336</v>
      </c>
      <c r="S11" s="168" cm="1">
        <f t="array" ref="S11">_xlfn.LET(_xlpm.data,_xlfn.VSTACK('MDA1:NCA9'!S3),_xlpm.states,_xlfn.VSTACK('MDA1:NCA9'!$B$2),
SUM(_xlfn._xlws.FILTER(_xlpm.data,(_xlpm.states="Arizona")+(_xlpm.states="Maryland")+(_xlpm.states="North Carolina"))))</f>
        <v>33</v>
      </c>
      <c r="T11" s="168" cm="1">
        <f t="array" ref="T11">_xlfn.LET(_xlpm.data,_xlfn.VSTACK('MDA1:NCA9'!T3),_xlpm.states,_xlfn.VSTACK('MDA1:NCA9'!$B$2),
SUM(_xlfn._xlws.FILTER(_xlpm.data,(_xlpm.states="Arizona")+(_xlpm.states="Maryland")+(_xlpm.states="North Carolina"))))</f>
        <v>33.666666666666671</v>
      </c>
      <c r="U11" s="168" cm="1">
        <f t="array" ref="U11">_xlfn.LET(_xlpm.data,_xlfn.VSTACK('MDA1:NCA9'!U3),_xlpm.states,_xlfn.VSTACK('MDA1:NCA9'!$B$2),
SUM(_xlfn._xlws.FILTER(_xlpm.data,(_xlpm.states="Arizona")+(_xlpm.states="Maryland")+(_xlpm.states="North Carolina"))))</f>
        <v>34.333333333333336</v>
      </c>
      <c r="V11" s="168" cm="1">
        <f t="array" ref="V11">_xlfn.LET(_xlpm.data,_xlfn.VSTACK('MDA1:NCA9'!V3),_xlpm.states,_xlfn.VSTACK('MDA1:NCA9'!$B$2),
SUM(_xlfn._xlws.FILTER(_xlpm.data,(_xlpm.states="Arizona")+(_xlpm.states="Maryland")+(_xlpm.states="North Carolina"))))</f>
        <v>35</v>
      </c>
      <c r="W11" s="168" cm="1">
        <f t="array" ref="W11">_xlfn.LET(_xlpm.data,_xlfn.VSTACK('MDA1:NCA9'!W3),_xlpm.states,_xlfn.VSTACK('MDA1:NCA9'!$B$2),
SUM(_xlfn._xlws.FILTER(_xlpm.data,(_xlpm.states="Arizona")+(_xlpm.states="Maryland")+(_xlpm.states="North Carolina"))))</f>
        <v>35.666666666666671</v>
      </c>
      <c r="X11" s="168" cm="1">
        <f t="array" ref="X11">_xlfn.LET(_xlpm.data,_xlfn.VSTACK('MDA1:NCA9'!X3),_xlpm.states,_xlfn.VSTACK('MDA1:NCA9'!$B$2),
SUM(_xlfn._xlws.FILTER(_xlpm.data,(_xlpm.states="Arizona")+(_xlpm.states="Maryland")+(_xlpm.states="North Carolina"))))</f>
        <v>36.499999999999993</v>
      </c>
      <c r="Y11" s="168" cm="1">
        <f t="array" ref="Y11">_xlfn.LET(_xlpm.data,_xlfn.VSTACK('MDA1:NCA9'!Y3),_xlpm.states,_xlfn.VSTACK('MDA1:NCA9'!$B$2),
SUM(_xlfn._xlws.FILTER(_xlpm.data,(_xlpm.states="Arizona")+(_xlpm.states="Maryland")+(_xlpm.states="North Carolina"))))</f>
        <v>37.500000000000007</v>
      </c>
      <c r="Z11" s="168" cm="1">
        <f t="array" ref="Z11">_xlfn.LET(_xlpm.data,_xlfn.VSTACK('MDA1:NCA9'!Z3),_xlpm.states,_xlfn.VSTACK('MDA1:NCA9'!$B$2),
SUM(_xlfn._xlws.FILTER(_xlpm.data,(_xlpm.states="Arizona")+(_xlpm.states="Maryland")+(_xlpm.states="North Carolina"))))</f>
        <v>38.5</v>
      </c>
      <c r="AA11" s="168" cm="1">
        <f t="array" ref="AA11">_xlfn.LET(_xlpm.data,_xlfn.VSTACK('MDA1:NCA9'!AA3),_xlpm.states,_xlfn.VSTACK('MDA1:NCA9'!$B$2),
SUM(_xlfn._xlws.FILTER(_xlpm.data,(_xlpm.states="Arizona")+(_xlpm.states="Maryland")+(_xlpm.states="North Carolina"))))</f>
        <v>39.499999999999993</v>
      </c>
      <c r="AB11" s="168" cm="1">
        <f t="array" ref="AB11">_xlfn.LET(_xlpm.data,_xlfn.VSTACK('MDA1:NCA9'!AB3),_xlpm.states,_xlfn.VSTACK('MDA1:NCA9'!$B$2),
SUM(_xlfn._xlws.FILTER(_xlpm.data,(_xlpm.states="Arizona")+(_xlpm.states="Maryland")+(_xlpm.states="North Carolina"))))</f>
        <v>40.500000000000007</v>
      </c>
      <c r="AC11" s="168" cm="1">
        <f t="array" ref="AC11">_xlfn.LET(_xlpm.data,_xlfn.VSTACK('MDA1:NCA9'!AC3),_xlpm.states,_xlfn.VSTACK('MDA1:NCA9'!$B$2),
SUM(_xlfn._xlws.FILTER(_xlpm.data,(_xlpm.states="Arizona")+(_xlpm.states="Maryland")+(_xlpm.states="North Carolina"))))</f>
        <v>41.5</v>
      </c>
      <c r="AD11" s="168" cm="1">
        <f t="array" ref="AD11">_xlfn.LET(_xlpm.data,_xlfn.VSTACK('MDA1:NCA9'!AD3),_xlpm.states,_xlfn.VSTACK('MDA1:NCA9'!$B$2),
SUM(_xlfn._xlws.FILTER(_xlpm.data,(_xlpm.states="Arizona")+(_xlpm.states="Maryland")+(_xlpm.states="North Carolina"))))</f>
        <v>42.166666666666664</v>
      </c>
      <c r="AE11" s="168" cm="1">
        <f t="array" ref="AE11">_xlfn.LET(_xlpm.data,_xlfn.VSTACK('MDA1:NCA9'!AE3),_xlpm.states,_xlfn.VSTACK('MDA1:NCA9'!$B$2),
SUM(_xlfn._xlws.FILTER(_xlpm.data,(_xlpm.states="Arizona")+(_xlpm.states="Maryland")+(_xlpm.states="North Carolina"))))</f>
        <v>42.833333333333343</v>
      </c>
      <c r="AF11" s="168" cm="1">
        <f t="array" ref="AF11">_xlfn.LET(_xlpm.data,_xlfn.VSTACK('MDA1:NCA9'!AF3),_xlpm.states,_xlfn.VSTACK('MDA1:NCA9'!$B$2),
SUM(_xlfn._xlws.FILTER(_xlpm.data,(_xlpm.states="Arizona")+(_xlpm.states="Maryland")+(_xlpm.states="North Carolina"))))</f>
        <v>43.5</v>
      </c>
      <c r="AG11" s="168" cm="1">
        <f t="array" ref="AG11">_xlfn.LET(_xlpm.data,_xlfn.VSTACK('MDA1:NCA9'!AG3),_xlpm.states,_xlfn.VSTACK('MDA1:NCA9'!$B$2),
SUM(_xlfn._xlws.FILTER(_xlpm.data,(_xlpm.states="Arizona")+(_xlpm.states="Maryland")+(_xlpm.states="North Carolina"))))</f>
        <v>44.166666666666664</v>
      </c>
      <c r="AH11" s="168" cm="1">
        <f t="array" ref="AH11">_xlfn.LET(_xlpm.data,_xlfn.VSTACK('MDA1:NCA9'!AH3),_xlpm.states,_xlfn.VSTACK('MDA1:NCA9'!$B$2),
SUM(_xlfn._xlws.FILTER(_xlpm.data,(_xlpm.states="Arizona")+(_xlpm.states="Maryland")+(_xlpm.states="North Carolina"))))</f>
        <v>44.833333333333343</v>
      </c>
      <c r="AI11" s="168" cm="1">
        <f t="array" ref="AI11">_xlfn.LET(_xlpm.data,_xlfn.VSTACK('MDA1:NCA9'!AI3),_xlpm.states,_xlfn.VSTACK('MDA1:NCA9'!$B$2),
SUM(_xlfn._xlws.FILTER(_xlpm.data,(_xlpm.states="Arizona")+(_xlpm.states="Maryland")+(_xlpm.states="North Carolina"))))</f>
        <v>45.666666666666664</v>
      </c>
      <c r="AJ11" s="168" cm="1">
        <f t="array" ref="AJ11">_xlfn.LET(_xlpm.data,_xlfn.VSTACK('MDA1:NCA9'!AJ3),_xlpm.states,_xlfn.VSTACK('MDA1:NCA9'!$B$2),
SUM(_xlfn._xlws.FILTER(_xlpm.data,(_xlpm.states="Arizona")+(_xlpm.states="Maryland")+(_xlpm.states="North Carolina"))))</f>
        <v>46.5</v>
      </c>
      <c r="AK11" s="168" cm="1">
        <f t="array" ref="AK11">_xlfn.LET(_xlpm.data,_xlfn.VSTACK('MDA1:NCA9'!AK3),_xlpm.states,_xlfn.VSTACK('MDA1:NCA9'!$B$2),
SUM(_xlfn._xlws.FILTER(_xlpm.data,(_xlpm.states="Arizona")+(_xlpm.states="Maryland")+(_xlpm.states="North Carolina"))))</f>
        <v>47.333333333333336</v>
      </c>
      <c r="AL11" s="168" cm="1">
        <f t="array" ref="AL11">_xlfn.LET(_xlpm.data,_xlfn.VSTACK('MDA1:NCA9'!AL3),_xlpm.states,_xlfn.VSTACK('MDA1:NCA9'!$B$2),
SUM(_xlfn._xlws.FILTER(_xlpm.data,(_xlpm.states="Arizona")+(_xlpm.states="Maryland")+(_xlpm.states="North Carolina"))))</f>
        <v>48.166666666666664</v>
      </c>
      <c r="AM11" s="168" cm="1">
        <f t="array" ref="AM11">_xlfn.LET(_xlpm.data,_xlfn.VSTACK('MDA1:NCA9'!AM3),_xlpm.states,_xlfn.VSTACK('MDA1:NCA9'!$B$2),
SUM(_xlfn._xlws.FILTER(_xlpm.data,(_xlpm.states="Arizona")+(_xlpm.states="Maryland")+(_xlpm.states="North Carolina"))))</f>
        <v>48.833333333333336</v>
      </c>
      <c r="AN11" s="168" cm="1">
        <f t="array" ref="AN11">_xlfn.LET(_xlpm.data,_xlfn.VSTACK('MDA1:NCA9'!AN3),_xlpm.states,_xlfn.VSTACK('MDA1:NCA9'!$B$2),
SUM(_xlfn._xlws.FILTER(_xlpm.data,(_xlpm.states="Arizona")+(_xlpm.states="Maryland")+(_xlpm.states="North Carolina"))))</f>
        <v>49.5</v>
      </c>
    </row>
    <row r="12" spans="1:40" hidden="1" outlineLevel="1" x14ac:dyDescent="0.25">
      <c r="B12" s="55" t="s">
        <v>463</v>
      </c>
      <c r="C12" s="3"/>
      <c r="D12" s="96"/>
      <c r="E12" s="168" cm="1">
        <f t="array" ref="E12">_xlfn.LET(_xlpm.data,_xlfn.VSTACK('MDA1:NCA9'!E4),_xlpm.states,_xlfn.VSTACK('MDA1:NCA9'!$B$2),
SUM(_xlfn._xlws.FILTER(_xlpm.data,(_xlpm.states="Arizona")+(_xlpm.states="Maryland")+(_xlpm.states="North Carolina"))))</f>
        <v>351.8538587848933</v>
      </c>
      <c r="F12" s="168" cm="1">
        <f t="array" ref="F12">_xlfn.LET(_xlpm.data,_xlfn.VSTACK('MDA1:NCA9'!F4),_xlpm.states,_xlfn.VSTACK('MDA1:NCA9'!$B$2),
SUM(_xlfn._xlws.FILTER(_xlpm.data,(_xlpm.states="Arizona")+(_xlpm.states="Maryland")+(_xlpm.states="North Carolina"))))</f>
        <v>365.63957307060758</v>
      </c>
      <c r="G12" s="168" cm="1">
        <f t="array" ref="G12">_xlfn.LET(_xlpm.data,_xlfn.VSTACK('MDA1:NCA9'!G4),_xlpm.states,_xlfn.VSTACK('MDA1:NCA9'!$B$2),
SUM(_xlfn._xlws.FILTER(_xlpm.data,(_xlpm.states="Arizona")+(_xlpm.states="Maryland")+(_xlpm.states="North Carolina"))))</f>
        <v>373.87766830870277</v>
      </c>
      <c r="H12" s="168" cm="1">
        <f t="array" ref="H12">_xlfn.LET(_xlpm.data,_xlfn.VSTACK('MDA1:NCA9'!H4),_xlpm.states,_xlfn.VSTACK('MDA1:NCA9'!$B$2),
SUM(_xlfn._xlws.FILTER(_xlpm.data,(_xlpm.states="Arizona")+(_xlpm.states="Maryland")+(_xlpm.states="North Carolina"))))</f>
        <v>381.54433497536945</v>
      </c>
      <c r="I12" s="168" cm="1">
        <f t="array" ref="I12">_xlfn.LET(_xlpm.data,_xlfn.VSTACK('MDA1:NCA9'!I4),_xlpm.states,_xlfn.VSTACK('MDA1:NCA9'!$B$2),
SUM(_xlfn._xlws.FILTER(_xlpm.data,(_xlpm.states="Arizona")+(_xlpm.states="Maryland")+(_xlpm.states="North Carolina"))))</f>
        <v>388.21100164203614</v>
      </c>
      <c r="J12" s="168" cm="1">
        <f t="array" ref="J12">_xlfn.LET(_xlpm.data,_xlfn.VSTACK('MDA1:NCA9'!J4),_xlpm.states,_xlfn.VSTACK('MDA1:NCA9'!$B$2),
SUM(_xlfn._xlws.FILTER(_xlpm.data,(_xlpm.states="Arizona")+(_xlpm.states="Maryland")+(_xlpm.states="North Carolina"))))</f>
        <v>399.87766830870277</v>
      </c>
      <c r="K12" s="168" cm="1">
        <f t="array" ref="K12">_xlfn.LET(_xlpm.data,_xlfn.VSTACK('MDA1:NCA9'!K4),_xlpm.states,_xlfn.VSTACK('MDA1:NCA9'!$B$2),
SUM(_xlfn._xlws.FILTER(_xlpm.data,(_xlpm.states="Arizona")+(_xlpm.states="Maryland")+(_xlpm.states="North Carolina"))))</f>
        <v>424.71100164203614</v>
      </c>
      <c r="L12" s="168" cm="1">
        <f t="array" ref="L12">_xlfn.LET(_xlpm.data,_xlfn.VSTACK('MDA1:NCA9'!L4),_xlpm.states,_xlfn.VSTACK('MDA1:NCA9'!$B$2),
SUM(_xlfn._xlws.FILTER(_xlpm.data,(_xlpm.states="Arizona")+(_xlpm.states="Maryland")+(_xlpm.states="North Carolina"))))</f>
        <v>438.56814449917897</v>
      </c>
      <c r="M12" s="168" cm="1">
        <f t="array" ref="M12">_xlfn.LET(_xlpm.data,_xlfn.VSTACK('MDA1:NCA9'!M4),_xlpm.states,_xlfn.VSTACK('MDA1:NCA9'!$B$2),
SUM(_xlfn._xlws.FILTER(_xlpm.data,(_xlpm.states="Arizona")+(_xlpm.states="Maryland")+(_xlpm.states="North Carolina"))))</f>
        <v>450.40147783251234</v>
      </c>
      <c r="N12" s="168" cm="1">
        <f t="array" ref="N12">_xlfn.LET(_xlpm.data,_xlfn.VSTACK('MDA1:NCA9'!N4),_xlpm.states,_xlfn.VSTACK('MDA1:NCA9'!$B$2),
SUM(_xlfn._xlws.FILTER(_xlpm.data,(_xlpm.states="Arizona")+(_xlpm.states="Maryland")+(_xlpm.states="North Carolina"))))</f>
        <v>464.2348111658456</v>
      </c>
      <c r="O12" s="168" cm="1">
        <f t="array" ref="O12">_xlfn.LET(_xlpm.data,_xlfn.VSTACK('MDA1:NCA9'!O4),_xlpm.states,_xlfn.VSTACK('MDA1:NCA9'!$B$2),
SUM(_xlfn._xlws.FILTER(_xlpm.data,(_xlpm.states="Arizona")+(_xlpm.states="Maryland")+(_xlpm.states="North Carolina"))))</f>
        <v>483.09195402298849</v>
      </c>
      <c r="P12" s="168" cm="1">
        <f t="array" ref="P12">_xlfn.LET(_xlpm.data,_xlfn.VSTACK('MDA1:NCA9'!P4),_xlpm.states,_xlfn.VSTACK('MDA1:NCA9'!$B$2),
SUM(_xlfn._xlws.FILTER(_xlpm.data,(_xlpm.states="Arizona")+(_xlpm.states="Maryland")+(_xlpm.states="North Carolina"))))</f>
        <v>498.75862068965523</v>
      </c>
      <c r="Q12" s="168" cm="1">
        <f t="array" ref="Q12">_xlfn.LET(_xlpm.data,_xlfn.VSTACK('MDA1:NCA9'!Q4),_xlpm.states,_xlfn.VSTACK('MDA1:NCA9'!$B$2),
SUM(_xlfn._xlws.FILTER(_xlpm.data,(_xlpm.states="Arizona")+(_xlpm.states="Maryland")+(_xlpm.states="North Carolina"))))</f>
        <v>514.75862068965512</v>
      </c>
      <c r="R12" s="168" cm="1">
        <f t="array" ref="R12">_xlfn.LET(_xlpm.data,_xlfn.VSTACK('MDA1:NCA9'!R4),_xlpm.states,_xlfn.VSTACK('MDA1:NCA9'!$B$2),
SUM(_xlfn._xlws.FILTER(_xlpm.data,(_xlpm.states="Arizona")+(_xlpm.states="Maryland")+(_xlpm.states="North Carolina"))))</f>
        <v>530.52052545155993</v>
      </c>
      <c r="S12" s="168" cm="1">
        <f t="array" ref="S12">_xlfn.LET(_xlpm.data,_xlfn.VSTACK('MDA1:NCA9'!S4),_xlpm.states,_xlfn.VSTACK('MDA1:NCA9'!$B$2),
SUM(_xlfn._xlws.FILTER(_xlpm.data,(_xlpm.states="Arizona")+(_xlpm.states="Maryland")+(_xlpm.states="North Carolina"))))</f>
        <v>544.18719211822656</v>
      </c>
      <c r="T12" s="168" cm="1">
        <f t="array" ref="T12">_xlfn.LET(_xlpm.data,_xlfn.VSTACK('MDA1:NCA9'!T4),_xlpm.states,_xlfn.VSTACK('MDA1:NCA9'!$B$2),
SUM(_xlfn._xlws.FILTER(_xlpm.data,(_xlpm.states="Arizona")+(_xlpm.states="Maryland")+(_xlpm.states="North Carolina"))))</f>
        <v>557.85385878489319</v>
      </c>
      <c r="U12" s="168" cm="1">
        <f t="array" ref="U12">_xlfn.LET(_xlpm.data,_xlfn.VSTACK('MDA1:NCA9'!U4),_xlpm.states,_xlfn.VSTACK('MDA1:NCA9'!$B$2),
SUM(_xlfn._xlws.FILTER(_xlpm.data,(_xlpm.states="Arizona")+(_xlpm.states="Maryland")+(_xlpm.states="North Carolina"))))</f>
        <v>571.52052545155993</v>
      </c>
      <c r="V12" s="168" cm="1">
        <f t="array" ref="V12">_xlfn.LET(_xlpm.data,_xlfn.VSTACK('MDA1:NCA9'!V4),_xlpm.states,_xlfn.VSTACK('MDA1:NCA9'!$B$2),
SUM(_xlfn._xlws.FILTER(_xlpm.data,(_xlpm.states="Arizona")+(_xlpm.states="Maryland")+(_xlpm.states="North Carolina"))))</f>
        <v>586.18719211822645</v>
      </c>
      <c r="W12" s="168" cm="1">
        <f t="array" ref="W12">_xlfn.LET(_xlpm.data,_xlfn.VSTACK('MDA1:NCA9'!W4),_xlpm.states,_xlfn.VSTACK('MDA1:NCA9'!$B$2),
SUM(_xlfn._xlws.FILTER(_xlpm.data,(_xlpm.states="Arizona")+(_xlpm.states="Maryland")+(_xlpm.states="North Carolina"))))</f>
        <v>599.85385878489319</v>
      </c>
      <c r="X12" s="168" cm="1">
        <f t="array" ref="X12">_xlfn.LET(_xlpm.data,_xlfn.VSTACK('MDA1:NCA9'!X4),_xlpm.states,_xlfn.VSTACK('MDA1:NCA9'!$B$2),
SUM(_xlfn._xlws.FILTER(_xlpm.data,(_xlpm.states="Arizona")+(_xlpm.states="Maryland")+(_xlpm.states="North Carolina"))))</f>
        <v>615.83004926108379</v>
      </c>
      <c r="Y12" s="168" cm="1">
        <f t="array" ref="Y12">_xlfn.LET(_xlpm.data,_xlfn.VSTACK('MDA1:NCA9'!Y4),_xlpm.states,_xlfn.VSTACK('MDA1:NCA9'!$B$2),
SUM(_xlfn._xlws.FILTER(_xlpm.data,(_xlpm.states="Arizona")+(_xlpm.states="Maryland")+(_xlpm.states="North Carolina"))))</f>
        <v>633.68719211822656</v>
      </c>
      <c r="Z12" s="168" cm="1">
        <f t="array" ref="Z12">_xlfn.LET(_xlpm.data,_xlfn.VSTACK('MDA1:NCA9'!Z4),_xlpm.states,_xlfn.VSTACK('MDA1:NCA9'!$B$2),
SUM(_xlfn._xlws.FILTER(_xlpm.data,(_xlpm.states="Arizona")+(_xlpm.states="Maryland")+(_xlpm.states="North Carolina"))))</f>
        <v>648.68719211822656</v>
      </c>
      <c r="AA12" s="168" cm="1">
        <f t="array" ref="AA12">_xlfn.LET(_xlpm.data,_xlfn.VSTACK('MDA1:NCA9'!AA4),_xlpm.states,_xlfn.VSTACK('MDA1:NCA9'!$B$2),
SUM(_xlfn._xlws.FILTER(_xlpm.data,(_xlpm.states="Arizona")+(_xlpm.states="Maryland")+(_xlpm.states="North Carolina"))))</f>
        <v>659.83004926108367</v>
      </c>
      <c r="AB12" s="168" cm="1">
        <f t="array" ref="AB12">_xlfn.LET(_xlpm.data,_xlfn.VSTACK('MDA1:NCA9'!AB4),_xlpm.states,_xlfn.VSTACK('MDA1:NCA9'!$B$2),
SUM(_xlfn._xlws.FILTER(_xlpm.data,(_xlpm.states="Arizona")+(_xlpm.states="Maryland")+(_xlpm.states="North Carolina"))))</f>
        <v>670.83004926108379</v>
      </c>
      <c r="AC12" s="168" cm="1">
        <f t="array" ref="AC12">_xlfn.LET(_xlpm.data,_xlfn.VSTACK('MDA1:NCA9'!AC4),_xlpm.states,_xlfn.VSTACK('MDA1:NCA9'!$B$2),
SUM(_xlfn._xlws.FILTER(_xlpm.data,(_xlpm.states="Arizona")+(_xlpm.states="Maryland")+(_xlpm.states="North Carolina"))))</f>
        <v>682.83004926108367</v>
      </c>
      <c r="AD12" s="168" cm="1">
        <f t="array" ref="AD12">_xlfn.LET(_xlpm.data,_xlfn.VSTACK('MDA1:NCA9'!AD4),_xlpm.states,_xlfn.VSTACK('MDA1:NCA9'!$B$2),
SUM(_xlfn._xlws.FILTER(_xlpm.data,(_xlpm.states="Arizona")+(_xlpm.states="Maryland")+(_xlpm.states="North Carolina"))))</f>
        <v>692.78243021346464</v>
      </c>
      <c r="AE12" s="168" cm="1">
        <f t="array" ref="AE12">_xlfn.LET(_xlpm.data,_xlfn.VSTACK('MDA1:NCA9'!AE4),_xlpm.states,_xlfn.VSTACK('MDA1:NCA9'!$B$2),
SUM(_xlfn._xlws.FILTER(_xlpm.data,(_xlpm.states="Arizona")+(_xlpm.states="Maryland")+(_xlpm.states="North Carolina"))))</f>
        <v>701.44909688013149</v>
      </c>
      <c r="AF12" s="168" cm="1">
        <f t="array" ref="AF12">_xlfn.LET(_xlpm.data,_xlfn.VSTACK('MDA1:NCA9'!AF4),_xlpm.states,_xlfn.VSTACK('MDA1:NCA9'!$B$2),
SUM(_xlfn._xlws.FILTER(_xlpm.data,(_xlpm.states="Arizona")+(_xlpm.states="Maryland")+(_xlpm.states="North Carolina"))))</f>
        <v>710.11576354679801</v>
      </c>
      <c r="AG12" s="168" cm="1">
        <f t="array" ref="AG12">_xlfn.LET(_xlpm.data,_xlfn.VSTACK('MDA1:NCA9'!AG4),_xlpm.states,_xlfn.VSTACK('MDA1:NCA9'!$B$2),
SUM(_xlfn._xlws.FILTER(_xlpm.data,(_xlpm.states="Arizona")+(_xlpm.states="Maryland")+(_xlpm.states="North Carolina"))))</f>
        <v>719.78243021346464</v>
      </c>
      <c r="AH12" s="168" cm="1">
        <f t="array" ref="AH12">_xlfn.LET(_xlpm.data,_xlfn.VSTACK('MDA1:NCA9'!AH4),_xlpm.states,_xlfn.VSTACK('MDA1:NCA9'!$B$2),
SUM(_xlfn._xlws.FILTER(_xlpm.data,(_xlpm.states="Arizona")+(_xlpm.states="Maryland")+(_xlpm.states="North Carolina"))))</f>
        <v>734.44909688013149</v>
      </c>
      <c r="AI12" s="168" cm="1">
        <f t="array" ref="AI12">_xlfn.LET(_xlpm.data,_xlfn.VSTACK('MDA1:NCA9'!AI4),_xlpm.states,_xlfn.VSTACK('MDA1:NCA9'!$B$2),
SUM(_xlfn._xlws.FILTER(_xlpm.data,(_xlpm.states="Arizona")+(_xlpm.states="Maryland")+(_xlpm.states="North Carolina"))))</f>
        <v>756.13957307060741</v>
      </c>
      <c r="AJ12" s="168" cm="1">
        <f t="array" ref="AJ12">_xlfn.LET(_xlpm.data,_xlfn.VSTACK('MDA1:NCA9'!AJ4),_xlpm.states,_xlfn.VSTACK('MDA1:NCA9'!$B$2),
SUM(_xlfn._xlws.FILTER(_xlpm.data,(_xlpm.states="Arizona")+(_xlpm.states="Maryland")+(_xlpm.states="North Carolina"))))</f>
        <v>767.97290640394078</v>
      </c>
      <c r="AK12" s="168" cm="1">
        <f t="array" ref="AK12">_xlfn.LET(_xlpm.data,_xlfn.VSTACK('MDA1:NCA9'!AK4),_xlpm.states,_xlfn.VSTACK('MDA1:NCA9'!$B$2),
SUM(_xlfn._xlws.FILTER(_xlpm.data,(_xlpm.states="Arizona")+(_xlpm.states="Maryland")+(_xlpm.states="North Carolina"))))</f>
        <v>777.94909688013138</v>
      </c>
      <c r="AL12" s="168" cm="1">
        <f t="array" ref="AL12">_xlfn.LET(_xlpm.data,_xlfn.VSTACK('MDA1:NCA9'!AL4),_xlpm.states,_xlfn.VSTACK('MDA1:NCA9'!$B$2),
SUM(_xlfn._xlws.FILTER(_xlpm.data,(_xlpm.states="Arizona")+(_xlpm.states="Maryland")+(_xlpm.states="North Carolina"))))</f>
        <v>787.78243021346464</v>
      </c>
      <c r="AM12" s="168" cm="1">
        <f t="array" ref="AM12">_xlfn.LET(_xlpm.data,_xlfn.VSTACK('MDA1:NCA9'!AM4),_xlpm.states,_xlfn.VSTACK('MDA1:NCA9'!$B$2),
SUM(_xlfn._xlws.FILTER(_xlpm.data,(_xlpm.states="Arizona")+(_xlpm.states="Maryland")+(_xlpm.states="North Carolina"))))</f>
        <v>797.44909688013126</v>
      </c>
      <c r="AN12" s="168" cm="1">
        <f t="array" ref="AN12">_xlfn.LET(_xlpm.data,_xlfn.VSTACK('MDA1:NCA9'!AN4),_xlpm.states,_xlfn.VSTACK('MDA1:NCA9'!$B$2),
SUM(_xlfn._xlws.FILTER(_xlpm.data,(_xlpm.states="Arizona")+(_xlpm.states="Maryland")+(_xlpm.states="North Carolina"))))</f>
        <v>806.11576354679801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</row>
    <row r="22" spans="2:40" collapsed="1" x14ac:dyDescent="0.25">
      <c r="B22" s="2" t="s">
        <v>346</v>
      </c>
      <c r="D22" s="55"/>
      <c r="E22" s="60" cm="1">
        <f t="array" ref="E22:AN22">_xlfn.BYCOL($E$26:$AN$30,_xlfn.LAMBDA(_xlpm.a,SUM(_xlpm.a)))/$E$23:$AN$23*0.94</f>
        <v>92.650257627346065</v>
      </c>
      <c r="F22" s="109">
        <v>92.645265241106912</v>
      </c>
      <c r="G22" s="109">
        <v>92.659968309959368</v>
      </c>
      <c r="H22" s="109">
        <v>92.657531443876792</v>
      </c>
      <c r="I22" s="109">
        <v>92.645146798252867</v>
      </c>
      <c r="J22" s="109">
        <v>92.646903727449839</v>
      </c>
      <c r="K22" s="109">
        <v>92.68819980981219</v>
      </c>
      <c r="L22" s="109">
        <v>92.681963231468046</v>
      </c>
      <c r="M22" s="109">
        <v>92.682610108114446</v>
      </c>
      <c r="N22" s="109">
        <v>92.673127332052019</v>
      </c>
      <c r="O22" s="109">
        <v>92.684834686264082</v>
      </c>
      <c r="P22" s="109">
        <v>92.691698213516275</v>
      </c>
      <c r="Q22" s="109">
        <v>95.46927184296311</v>
      </c>
      <c r="R22" s="109">
        <v>95.470654624379563</v>
      </c>
      <c r="S22" s="109">
        <v>95.469648642275232</v>
      </c>
      <c r="T22" s="109">
        <v>95.453034913270287</v>
      </c>
      <c r="U22" s="109">
        <v>95.445027846020494</v>
      </c>
      <c r="V22" s="109">
        <v>95.436641524567918</v>
      </c>
      <c r="W22" s="109">
        <v>95.434330766311376</v>
      </c>
      <c r="X22" s="109">
        <v>95.425336594446705</v>
      </c>
      <c r="Y22" s="109">
        <v>95.41750080021599</v>
      </c>
      <c r="Z22" s="109">
        <v>95.410085839575302</v>
      </c>
      <c r="AA22" s="109">
        <v>95.397376272801552</v>
      </c>
      <c r="AB22" s="109">
        <v>95.399510032717032</v>
      </c>
      <c r="AC22" s="109">
        <v>95.394799203443128</v>
      </c>
      <c r="AD22" s="109">
        <v>95.390260659827035</v>
      </c>
      <c r="AE22" s="109">
        <v>95.373139048421095</v>
      </c>
      <c r="AF22" s="109">
        <v>95.365031054568064</v>
      </c>
      <c r="AG22" s="109">
        <v>95.350844576723645</v>
      </c>
      <c r="AH22" s="109">
        <v>95.339995222028676</v>
      </c>
      <c r="AI22" s="109">
        <v>95.331726686446629</v>
      </c>
      <c r="AJ22" s="109">
        <v>95.329695456099202</v>
      </c>
      <c r="AK22" s="109">
        <v>95.323194602086261</v>
      </c>
      <c r="AL22" s="109">
        <v>95.311080245854171</v>
      </c>
      <c r="AM22" s="109">
        <v>95.299296476569921</v>
      </c>
      <c r="AN22" s="109">
        <v>95.293269709477954</v>
      </c>
    </row>
    <row r="23" spans="2:40" x14ac:dyDescent="0.25">
      <c r="B23" s="2" t="s">
        <v>55</v>
      </c>
      <c r="C23" s="3"/>
      <c r="D23" s="3"/>
      <c r="E23" s="53" cm="1">
        <f t="array" ref="E23">_xlfn.LET(_xlpm.data,_xlfn.VSTACK('MDA1:NCA9'!E23),_xlpm.states,_xlfn.VSTACK('MDA1:NCA9'!$B$2),
SUM(_xlfn._xlws.FILTER(_xlpm.data,(_xlpm.states="Arizona")+(_xlpm.states="Maryland")+(_xlpm.states="North Carolina"))))</f>
        <v>23233.173333333336</v>
      </c>
      <c r="F23" s="53" cm="1">
        <f t="array" ref="F23">_xlfn.LET(_xlpm.data,_xlfn.VSTACK('MDA1:NCA9'!F23),_xlpm.states,_xlfn.VSTACK('MDA1:NCA9'!$B$2),
SUM(_xlfn._xlws.FILTER(_xlpm.data,(_xlpm.states="Arizona")+(_xlpm.states="Maryland")+(_xlpm.states="North Carolina"))))</f>
        <v>23804.586666666666</v>
      </c>
      <c r="G23" s="53" cm="1">
        <f t="array" ref="G23">_xlfn.LET(_xlpm.data,_xlfn.VSTACK('MDA1:NCA9'!G23),_xlpm.states,_xlfn.VSTACK('MDA1:NCA9'!$B$2),
SUM(_xlfn._xlws.FILTER(_xlpm.data,(_xlpm.states="Arizona")+(_xlpm.states="Maryland")+(_xlpm.states="North Carolina"))))</f>
        <v>24481.013333333332</v>
      </c>
      <c r="H23" s="53" cm="1">
        <f t="array" ref="H23">_xlfn.LET(_xlpm.data,_xlfn.VSTACK('MDA1:NCA9'!H23),_xlpm.states,_xlfn.VSTACK('MDA1:NCA9'!$B$2),
SUM(_xlfn._xlws.FILTER(_xlpm.data,(_xlpm.states="Arizona")+(_xlpm.states="Maryland")+(_xlpm.states="North Carolina"))))</f>
        <v>24842.399999999998</v>
      </c>
      <c r="I23" s="53" cm="1">
        <f t="array" ref="I23">_xlfn.LET(_xlpm.data,_xlfn.VSTACK('MDA1:NCA9'!I23),_xlpm.states,_xlfn.VSTACK('MDA1:NCA9'!$B$2),
SUM(_xlfn._xlws.FILTER(_xlpm.data,(_xlpm.states="Arizona")+(_xlpm.states="Maryland")+(_xlpm.states="North Carolina"))))</f>
        <v>25152.16</v>
      </c>
      <c r="J23" s="53" cm="1">
        <f t="array" ref="J23">_xlfn.LET(_xlpm.data,_xlfn.VSTACK('MDA1:NCA9'!J23),_xlpm.states,_xlfn.VSTACK('MDA1:NCA9'!$B$2),
SUM(_xlfn._xlws.FILTER(_xlpm.data,(_xlpm.states="Arizona")+(_xlpm.states="Maryland")+(_xlpm.states="North Carolina"))))</f>
        <v>25880.213333333333</v>
      </c>
      <c r="K23" s="53" cm="1">
        <f t="array" ref="K23">_xlfn.LET(_xlpm.data,_xlfn.VSTACK('MDA1:NCA9'!K23),_xlpm.states,_xlfn.VSTACK('MDA1:NCA9'!$B$2),
SUM(_xlfn._xlws.FILTER(_xlpm.data,(_xlpm.states="Arizona")+(_xlpm.states="Maryland")+(_xlpm.states="North Carolina"))))</f>
        <v>27450.133333333328</v>
      </c>
      <c r="L23" s="53" cm="1">
        <f t="array" ref="L23">_xlfn.LET(_xlpm.data,_xlfn.VSTACK('MDA1:NCA9'!L23),_xlpm.states,_xlfn.VSTACK('MDA1:NCA9'!$B$2),
SUM(_xlfn._xlws.FILTER(_xlpm.data,(_xlpm.states="Arizona")+(_xlpm.states="Maryland")+(_xlpm.states="North Carolina"))))</f>
        <v>28126.559999999998</v>
      </c>
      <c r="M23" s="53" cm="1">
        <f t="array" ref="M23">_xlfn.LET(_xlpm.data,_xlfn.VSTACK('MDA1:NCA9'!M23),_xlpm.states,_xlfn.VSTACK('MDA1:NCA9'!$B$2),
SUM(_xlfn._xlws.FILTER(_xlpm.data,(_xlpm.states="Arizona")+(_xlpm.states="Maryland")+(_xlpm.states="North Carolina"))))</f>
        <v>28854.613333333327</v>
      </c>
      <c r="N23" s="53" cm="1">
        <f t="array" ref="N23">_xlfn.LET(_xlpm.data,_xlfn.VSTACK('MDA1:NCA9'!N23),_xlpm.states,_xlfn.VSTACK('MDA1:NCA9'!$B$2),
SUM(_xlfn._xlws.FILTER(_xlpm.data,(_xlpm.states="Arizona")+(_xlpm.states="Maryland")+(_xlpm.states="North Carolina"))))</f>
        <v>29899.466666666664</v>
      </c>
      <c r="O23" s="53" cm="1">
        <f t="array" ref="O23">_xlfn.LET(_xlpm.data,_xlfn.VSTACK('MDA1:NCA9'!O23),_xlpm.states,_xlfn.VSTACK('MDA1:NCA9'!$B$2),
SUM(_xlfn._xlws.FILTER(_xlpm.data,(_xlpm.states="Arizona")+(_xlpm.states="Maryland")+(_xlpm.states="North Carolina"))))</f>
        <v>31154.346666666668</v>
      </c>
      <c r="P23" s="53" cm="1">
        <f t="array" ref="P23">_xlfn.LET(_xlpm.data,_xlfn.VSTACK('MDA1:NCA9'!P23),_xlpm.states,_xlfn.VSTACK('MDA1:NCA9'!$B$2),
SUM(_xlfn._xlws.FILTER(_xlpm.data,(_xlpm.states="Arizona")+(_xlpm.states="Maryland")+(_xlpm.states="North Carolina"))))</f>
        <v>32512.479999999996</v>
      </c>
      <c r="Q23" s="53" cm="1">
        <f t="array" ref="Q23">_xlfn.LET(_xlpm.data,_xlfn.VSTACK('MDA1:NCA9'!Q23),_xlpm.states,_xlfn.VSTACK('MDA1:NCA9'!$B$2),
SUM(_xlfn._xlws.FILTER(_xlpm.data,(_xlpm.states="Arizona")+(_xlpm.states="Maryland")+(_xlpm.states="North Carolina"))))</f>
        <v>33767.359999999993</v>
      </c>
      <c r="R23" s="53" cm="1">
        <f t="array" ref="R23">_xlfn.LET(_xlpm.data,_xlfn.VSTACK('MDA1:NCA9'!R23),_xlpm.states,_xlfn.VSTACK('MDA1:NCA9'!$B$2),
SUM(_xlfn._xlws.FILTER(_xlpm.data,(_xlpm.states="Arizona")+(_xlpm.states="Maryland")+(_xlpm.states="North Carolina"))))</f>
        <v>34968.853333333325</v>
      </c>
      <c r="S23" s="53" cm="1">
        <f t="array" ref="S23">_xlfn.LET(_xlpm.data,_xlfn.VSTACK('MDA1:NCA9'!S23),_xlpm.states,_xlfn.VSTACK('MDA1:NCA9'!$B$2),
SUM(_xlfn._xlws.FILTER(_xlpm.data,(_xlpm.states="Arizona")+(_xlpm.states="Maryland")+(_xlpm.states="North Carolina"))))</f>
        <v>36120.479999999996</v>
      </c>
      <c r="T23" s="53" cm="1">
        <f t="array" ref="T23">_xlfn.LET(_xlpm.data,_xlfn.VSTACK('MDA1:NCA9'!T23),_xlpm.states,_xlfn.VSTACK('MDA1:NCA9'!$B$2),
SUM(_xlfn._xlws.FILTER(_xlpm.data,(_xlpm.states="Arizona")+(_xlpm.states="Maryland")+(_xlpm.states="North Carolina"))))</f>
        <v>37272.106666666659</v>
      </c>
      <c r="U23" s="53" cm="1">
        <f t="array" ref="U23">_xlfn.LET(_xlpm.data,_xlfn.VSTACK('MDA1:NCA9'!U23),_xlpm.states,_xlfn.VSTACK('MDA1:NCA9'!$B$2),
SUM(_xlfn._xlws.FILTER(_xlpm.data,(_xlpm.states="Arizona")+(_xlpm.states="Maryland")+(_xlpm.states="North Carolina"))))</f>
        <v>38370.346666666665</v>
      </c>
      <c r="V23" s="53" cm="1">
        <f t="array" ref="V23">_xlfn.LET(_xlpm.data,_xlfn.VSTACK('MDA1:NCA9'!V23),_xlpm.states,_xlfn.VSTACK('MDA1:NCA9'!$B$2),
SUM(_xlfn._xlws.FILTER(_xlpm.data,(_xlpm.states="Arizona")+(_xlpm.states="Maryland")+(_xlpm.states="North Carolina"))))</f>
        <v>39573.599999999999</v>
      </c>
      <c r="W23" s="53" cm="1">
        <f t="array" ref="W23">_xlfn.LET(_xlpm.data,_xlfn.VSTACK('MDA1:NCA9'!W23),_xlpm.states,_xlfn.VSTACK('MDA1:NCA9'!$B$2),
SUM(_xlfn._xlws.FILTER(_xlpm.data,(_xlpm.states="Arizona")+(_xlpm.states="Maryland")+(_xlpm.states="North Carolina"))))</f>
        <v>41040.266666666656</v>
      </c>
      <c r="X23" s="53" cm="1">
        <f t="array" ref="X23">_xlfn.LET(_xlpm.data,_xlfn.VSTACK('MDA1:NCA9'!X23),_xlpm.states,_xlfn.VSTACK('MDA1:NCA9'!$B$2),
SUM(_xlfn._xlws.FILTER(_xlpm.data,(_xlpm.states="Arizona")+(_xlpm.states="Maryland")+(_xlpm.states="North Carolina"))))</f>
        <v>42401.919999999991</v>
      </c>
      <c r="Y23" s="53" cm="1">
        <f t="array" ref="Y23">_xlfn.LET(_xlpm.data,_xlfn.VSTACK('MDA1:NCA9'!Y23),_xlpm.states,_xlfn.VSTACK('MDA1:NCA9'!$B$2),
SUM(_xlfn._xlws.FILTER(_xlpm.data,(_xlpm.states="Arizona")+(_xlpm.states="Maryland")+(_xlpm.states="North Carolina"))))</f>
        <v>43605.173333333325</v>
      </c>
      <c r="Z23" s="53" cm="1">
        <f t="array" ref="Z23">_xlfn.LET(_xlpm.data,_xlfn.VSTACK('MDA1:NCA9'!Z23),_xlpm.states,_xlfn.VSTACK('MDA1:NCA9'!$B$2),
SUM(_xlfn._xlws.FILTER(_xlpm.data,(_xlpm.states="Arizona")+(_xlpm.states="Maryland")+(_xlpm.states="North Carolina"))))</f>
        <v>44808.426666666659</v>
      </c>
      <c r="AA23" s="53" cm="1">
        <f t="array" ref="AA23">_xlfn.LET(_xlpm.data,_xlfn.VSTACK('MDA1:NCA9'!AA23),_xlpm.states,_xlfn.VSTACK('MDA1:NCA9'!$B$2),
SUM(_xlfn._xlws.FILTER(_xlpm.data,(_xlpm.states="Arizona")+(_xlpm.states="Maryland")+(_xlpm.states="North Carolina"))))</f>
        <v>45960.053333333322</v>
      </c>
      <c r="AB23" s="53" cm="1">
        <f t="array" ref="AB23">_xlfn.LET(_xlpm.data,_xlfn.VSTACK('MDA1:NCA9'!AB23),_xlpm.states,_xlfn.VSTACK('MDA1:NCA9'!$B$2),
SUM(_xlfn._xlws.FILTER(_xlpm.data,(_xlpm.states="Arizona")+(_xlpm.states="Maryland")+(_xlpm.states="North Carolina"))))</f>
        <v>46796.639999999992</v>
      </c>
      <c r="AC23" s="53" cm="1">
        <f t="array" ref="AC23">_xlfn.LET(_xlpm.data,_xlfn.VSTACK('MDA1:NCA9'!AC23),_xlpm.states,_xlfn.VSTACK('MDA1:NCA9'!$B$2),
SUM(_xlfn._xlws.FILTER(_xlpm.data,(_xlpm.states="Arizona")+(_xlpm.states="Maryland")+(_xlpm.states="North Carolina"))))</f>
        <v>47684.853333333325</v>
      </c>
      <c r="AD23" s="53" cm="1">
        <f t="array" ref="AD23">_xlfn.LET(_xlpm.data,_xlfn.VSTACK('MDA1:NCA9'!AD23),_xlpm.states,_xlfn.VSTACK('MDA1:NCA9'!$B$2),
SUM(_xlfn._xlws.FILTER(_xlpm.data,(_xlpm.states="Arizona")+(_xlpm.states="Maryland")+(_xlpm.states="North Carolina"))))</f>
        <v>48573.066666666666</v>
      </c>
      <c r="AE23" s="53" cm="1">
        <f t="array" ref="AE23">_xlfn.LET(_xlpm.data,_xlfn.VSTACK('MDA1:NCA9'!AE23),_xlpm.states,_xlfn.VSTACK('MDA1:NCA9'!$B$2),
SUM(_xlfn._xlws.FILTER(_xlpm.data,(_xlpm.states="Arizona")+(_xlpm.states="Maryland")+(_xlpm.states="North Carolina"))))</f>
        <v>49253.013333333329</v>
      </c>
      <c r="AF23" s="53" cm="1">
        <f t="array" ref="AF23">_xlfn.LET(_xlpm.data,_xlfn.VSTACK('MDA1:NCA9'!AF23),_xlpm.states,_xlfn.VSTACK('MDA1:NCA9'!$B$2),
SUM(_xlfn._xlws.FILTER(_xlpm.data,(_xlpm.states="Arizona")+(_xlpm.states="Maryland")+(_xlpm.states="North Carolina"))))</f>
        <v>49986.346666666665</v>
      </c>
      <c r="AG23" s="53" cm="1">
        <f t="array" ref="AG23">_xlfn.LET(_xlpm.data,_xlfn.VSTACK('MDA1:NCA9'!AG23),_xlpm.states,_xlfn.VSTACK('MDA1:NCA9'!$B$2),
SUM(_xlfn._xlws.FILTER(_xlpm.data,(_xlpm.states="Arizona")+(_xlpm.states="Maryland")+(_xlpm.states="North Carolina"))))</f>
        <v>50771.306666666664</v>
      </c>
      <c r="AH23" s="53" cm="1">
        <f t="array" ref="AH23">_xlfn.LET(_xlpm.data,_xlfn.VSTACK('MDA1:NCA9'!AH23),_xlpm.states,_xlfn.VSTACK('MDA1:NCA9'!$B$2),
SUM(_xlfn._xlws.FILTER(_xlpm.data,(_xlpm.states="Arizona")+(_xlpm.states="Maryland")+(_xlpm.states="North Carolina"))))</f>
        <v>52081.333333333321</v>
      </c>
      <c r="AI23" s="53" cm="1">
        <f t="array" ref="AI23">_xlfn.LET(_xlpm.data,_xlfn.VSTACK('MDA1:NCA9'!AI23),_xlpm.states,_xlfn.VSTACK('MDA1:NCA9'!$B$2),
SUM(_xlfn._xlws.FILTER(_xlpm.data,(_xlpm.states="Arizona")+(_xlpm.states="Maryland")+(_xlpm.states="North Carolina"))))</f>
        <v>53496.373333333322</v>
      </c>
      <c r="AJ23" s="53" cm="1">
        <f t="array" ref="AJ23">_xlfn.LET(_xlpm.data,_xlfn.VSTACK('MDA1:NCA9'!AJ23),_xlpm.states,_xlfn.VSTACK('MDA1:NCA9'!$B$2),
SUM(_xlfn._xlws.FILTER(_xlpm.data,(_xlpm.states="Arizona")+(_xlpm.states="Maryland")+(_xlpm.states="North Carolina"))))</f>
        <v>54859.78666666666</v>
      </c>
      <c r="AK23" s="53" cm="1">
        <f t="array" ref="AK23">_xlfn.LET(_xlpm.data,_xlfn.VSTACK('MDA1:NCA9'!AK23),_xlpm.states,_xlfn.VSTACK('MDA1:NCA9'!$B$2),
SUM(_xlfn._xlws.FILTER(_xlpm.data,(_xlpm.states="Arizona")+(_xlpm.states="Maryland")+(_xlpm.states="North Carolina"))))</f>
        <v>55959.786666666652</v>
      </c>
      <c r="AL23" s="53" cm="1">
        <f t="array" ref="AL23">_xlfn.LET(_xlpm.data,_xlfn.VSTACK('MDA1:NCA9'!AL23),_xlpm.states,_xlfn.VSTACK('MDA1:NCA9'!$B$2),
SUM(_xlfn._xlws.FILTER(_xlpm.data,(_xlpm.states="Arizona")+(_xlpm.states="Maryland")+(_xlpm.states="North Carolina"))))</f>
        <v>56744.746666666659</v>
      </c>
      <c r="AM23" s="53" cm="1">
        <f t="array" ref="AM23">_xlfn.LET(_xlpm.data,_xlfn.VSTACK('MDA1:NCA9'!AM23),_xlpm.states,_xlfn.VSTACK('MDA1:NCA9'!$B$2),
SUM(_xlfn._xlws.FILTER(_xlpm.data,(_xlpm.states="Arizona")+(_xlpm.states="Maryland")+(_xlpm.states="North Carolina"))))</f>
        <v>57529.706666666658</v>
      </c>
      <c r="AN23" s="53" cm="1">
        <f t="array" ref="AN23">_xlfn.LET(_xlpm.data,_xlfn.VSTACK('MDA1:NCA9'!AN23),_xlpm.states,_xlfn.VSTACK('MDA1:NCA9'!$B$2),
SUM(_xlfn._xlws.FILTER(_xlpm.data,(_xlpm.states="Arizona")+(_xlpm.states="Maryland")+(_xlpm.states="North Carolina"))))</f>
        <v>58263.039999999986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449</v>
      </c>
      <c r="E26" s="12" cm="1">
        <f t="array" ref="E26">_xlfn.LET(_xlpm.data,_xlfn.VSTACK('MS:NCA9'!E26),_xlpm.states,_xlfn.VSTACK('MS:NCA9'!$B$2),
SUM(_xlfn._xlws.FILTER(_xlpm.data,(_xlpm.states="North Carolina")+(_xlpm.states="Arizona")+(_xlpm.states="Maryland"))))</f>
        <v>1704687.2842271999</v>
      </c>
      <c r="F26" s="12" cm="1">
        <f t="array" ref="F26">_xlfn.LET(_xlpm.data,_xlfn.VSTACK('MS:NCA9'!F26),_xlpm.states,_xlfn.VSTACK('MS:NCA9'!$B$2),
SUM(_xlfn._xlws.FILTER(_xlpm.data,(_xlpm.states="North Carolina")+(_xlpm.states="Arizona")+(_xlpm.states="Maryland"))))</f>
        <v>1746642.6445259999</v>
      </c>
      <c r="G26" s="12" cm="1">
        <f t="array" ref="G26">_xlfn.LET(_xlpm.data,_xlfn.VSTACK('MS:NCA9'!G26),_xlpm.states,_xlfn.VSTACK('MS:NCA9'!$B$2),
SUM(_xlfn._xlws.FILTER(_xlpm.data,(_xlpm.states="North Carolina")+(_xlpm.states="Arizona")+(_xlpm.states="Maryland"))))</f>
        <v>1795995.5543711998</v>
      </c>
      <c r="H26" s="12" cm="1">
        <f t="array" ref="H26">_xlfn.LET(_xlpm.data,_xlfn.VSTACK('MS:NCA9'!H26),_xlpm.states,_xlfn.VSTACK('MS:NCA9'!$B$2),
SUM(_xlfn._xlws.FILTER(_xlpm.data,(_xlpm.states="North Carolina")+(_xlpm.states="Arizona")+(_xlpm.states="Maryland"))))</f>
        <v>1823584.0835627997</v>
      </c>
      <c r="I26" s="12" cm="1">
        <f t="array" ref="I26">_xlfn.LET(_xlpm.data,_xlfn.VSTACK('MS:NCA9'!I26),_xlpm.states,_xlfn.VSTACK('MS:NCA9'!$B$2),
SUM(_xlfn._xlws.FILTER(_xlpm.data,(_xlpm.states="North Carolina")+(_xlpm.states="Arizona")+(_xlpm.states="Maryland"))))</f>
        <v>1846979.9002043998</v>
      </c>
      <c r="J26" s="12" cm="1">
        <f t="array" ref="J26">_xlfn.LET(_xlpm.data,_xlfn.VSTACK('MS:NCA9'!J26),_xlpm.states,_xlfn.VSTACK('MS:NCA9'!$B$2),
SUM(_xlfn._xlws.FILTER(_xlpm.data,(_xlpm.states="North Carolina")+(_xlpm.states="Arizona")+(_xlpm.states="Maryland"))))</f>
        <v>1900087.7772708</v>
      </c>
      <c r="K26" s="12" cm="1">
        <f t="array" ref="K26">_xlfn.LET(_xlpm.data,_xlfn.VSTACK('MS:NCA9'!K26),_xlpm.states,_xlfn.VSTACK('MS:NCA9'!$B$2),
SUM(_xlfn._xlws.FILTER(_xlpm.data,(_xlpm.states="North Carolina")+(_xlpm.states="Arizona")+(_xlpm.states="Maryland"))))</f>
        <v>2013809.1546299995</v>
      </c>
      <c r="L26" s="12" cm="1">
        <f t="array" ref="L26">_xlfn.LET(_xlpm.data,_xlfn.VSTACK('MS:NCA9'!L26),_xlpm.states,_xlfn.VSTACK('MS:NCA9'!$B$2),
SUM(_xlfn._xlws.FILTER(_xlpm.data,(_xlpm.states="North Carolina")+(_xlpm.states="Arizona")+(_xlpm.states="Maryland"))))</f>
        <v>2062947.9304823999</v>
      </c>
      <c r="M26" s="12" cm="1">
        <f t="array" ref="M26">_xlfn.LET(_xlpm.data,_xlfn.VSTACK('MS:NCA9'!M26),_xlpm.states,_xlfn.VSTACK('MS:NCA9'!$B$2),
SUM(_xlfn._xlws.FILTER(_xlpm.data,(_xlpm.states="North Carolina")+(_xlpm.states="Arizona")+(_xlpm.states="Maryland"))))</f>
        <v>2116055.8075488</v>
      </c>
      <c r="N26" s="12" cm="1">
        <f t="array" ref="N26">_xlfn.LET(_xlpm.data,_xlfn.VSTACK('MS:NCA9'!N26),_xlpm.states,_xlfn.VSTACK('MS:NCA9'!$B$2),
SUM(_xlfn._xlws.FILTER(_xlpm.data,(_xlpm.states="North Carolina")+(_xlpm.states="Arizona")+(_xlpm.states="Maryland"))))</f>
        <v>2190554.8283423996</v>
      </c>
      <c r="O26" s="12" cm="1">
        <f t="array" ref="O26">_xlfn.LET(_xlpm.data,_xlfn.VSTACK('MS:NCA9'!O26),_xlpm.states,_xlfn.VSTACK('MS:NCA9'!$B$2),
SUM(_xlfn._xlws.FILTER(_xlpm.data,(_xlpm.states="North Carolina")+(_xlpm.states="Arizona")+(_xlpm.states="Maryland"))))</f>
        <v>2280268.0732103996</v>
      </c>
      <c r="P26" s="12" cm="1">
        <f t="array" ref="P26">_xlfn.LET(_xlpm.data,_xlfn.VSTACK('MS:NCA9'!P26),_xlpm.states,_xlfn.VSTACK('MS:NCA9'!$B$2),
SUM(_xlfn._xlws.FILTER(_xlpm.data,(_xlpm.states="North Carolina")+(_xlpm.states="Arizona")+(_xlpm.states="Maryland"))))</f>
        <v>2377705.3865135997</v>
      </c>
      <c r="Q26" s="12" cm="1">
        <f t="array" ref="Q26">_xlfn.LET(_xlpm.data,_xlfn.VSTACK('MS:NCA9'!Q26),_xlpm.states,_xlfn.VSTACK('MS:NCA9'!$B$2),
SUM(_xlfn._xlws.FILTER(_xlpm.data,(_xlpm.states="North Carolina")+(_xlpm.states="Arizona")+(_xlpm.states="Maryland"))))</f>
        <v>2541450.9519865434</v>
      </c>
      <c r="R26" s="12" cm="1">
        <f t="array" ref="R26">_xlfn.LET(_xlpm.data,_xlfn.VSTACK('MS:NCA9'!R26),_xlpm.states,_xlfn.VSTACK('MS:NCA9'!$B$2),
SUM(_xlfn._xlws.FILTER(_xlpm.data,(_xlpm.states="North Carolina")+(_xlpm.states="Arizona")+(_xlpm.states="Maryland"))))</f>
        <v>2630362.9947028197</v>
      </c>
      <c r="S26" s="12" cm="1">
        <f t="array" ref="S26">_xlfn.LET(_xlpm.data,_xlfn.VSTACK('MS:NCA9'!S26),_xlpm.states,_xlfn.VSTACK('MS:NCA9'!$B$2),
SUM(_xlfn._xlws.FILTER(_xlpm.data,(_xlpm.states="North Carolina")+(_xlpm.states="Arizona")+(_xlpm.states="Maryland"))))</f>
        <v>2714591.2884160196</v>
      </c>
      <c r="T26" s="12" cm="1">
        <f t="array" ref="T26">_xlfn.LET(_xlpm.data,_xlfn.VSTACK('MS:NCA9'!T26),_xlpm.states,_xlfn.VSTACK('MS:NCA9'!$B$2),
SUM(_xlfn._xlws.FILTER(_xlpm.data,(_xlpm.states="North Carolina")+(_xlpm.states="Arizona")+(_xlpm.states="Maryland"))))</f>
        <v>2798368.7044405555</v>
      </c>
      <c r="U26" s="12" cm="1">
        <f t="array" ref="U26">_xlfn.LET(_xlpm.data,_xlfn.VSTACK('MS:NCA9'!U26),_xlpm.states,_xlfn.VSTACK('MS:NCA9'!$B$2),
SUM(_xlfn._xlws.FILTER(_xlpm.data,(_xlpm.states="North Carolina")+(_xlpm.states="Arizona")+(_xlpm.states="Maryland"))))</f>
        <v>2879065.696371384</v>
      </c>
      <c r="V26" s="12" cm="1">
        <f t="array" ref="V26">_xlfn.LET(_xlpm.data,_xlfn.VSTACK('MS:NCA9'!V26),_xlpm.states,_xlfn.VSTACK('MS:NCA9'!$B$2),
SUM(_xlfn._xlws.FILTER(_xlpm.data,(_xlpm.states="North Carolina")+(_xlpm.states="Arizona")+(_xlpm.states="Maryland"))))</f>
        <v>2967161.6063224198</v>
      </c>
      <c r="W26" s="12" cm="1">
        <f t="array" ref="W26">_xlfn.LET(_xlpm.data,_xlfn.VSTACK('MS:NCA9'!W26),_xlpm.states,_xlfn.VSTACK('MS:NCA9'!$B$2),
SUM(_xlfn._xlws.FILTER(_xlpm.data,(_xlpm.states="North Carolina")+(_xlpm.states="Arizona")+(_xlpm.states="Maryland"))))</f>
        <v>3073586.6540962444</v>
      </c>
      <c r="X26" s="12" cm="1">
        <f t="array" ref="X26">_xlfn.LET(_xlpm.data,_xlfn.VSTACK('MS:NCA9'!X26),_xlpm.states,_xlfn.VSTACK('MS:NCA9'!$B$2),
SUM(_xlfn._xlws.FILTER(_xlpm.data,(_xlpm.states="North Carolina")+(_xlpm.states="Arizona")+(_xlpm.states="Maryland"))))</f>
        <v>3173005.7802963001</v>
      </c>
      <c r="Y26" s="12" cm="1">
        <f t="array" ref="Y26">_xlfn.LET(_xlpm.data,_xlfn.VSTACK('MS:NCA9'!Y26),_xlpm.states,_xlfn.VSTACK('MS:NCA9'!$B$2),
SUM(_xlfn._xlws.FILTER(_xlpm.data,(_xlpm.states="North Carolina")+(_xlpm.states="Arizona")+(_xlpm.states="Maryland"))))</f>
        <v>3261101.6902473359</v>
      </c>
      <c r="Z26" s="12" cm="1">
        <f t="array" ref="Z26">_xlfn.LET(_xlpm.data,_xlfn.VSTACK('MS:NCA9'!Z26),_xlpm.states,_xlfn.VSTACK('MS:NCA9'!$B$2),
SUM(_xlfn._xlws.FILTER(_xlpm.data,(_xlpm.states="North Carolina")+(_xlpm.states="Arizona")+(_xlpm.states="Maryland"))))</f>
        <v>3349197.6001983723</v>
      </c>
      <c r="AA26" s="12" cm="1">
        <f t="array" ref="AA26">_xlfn.LET(_xlpm.data,_xlfn.VSTACK('MS:NCA9'!AA26),_xlpm.states,_xlfn.VSTACK('MS:NCA9'!$B$2),
SUM(_xlfn._xlws.FILTER(_xlpm.data,(_xlpm.states="North Carolina")+(_xlpm.states="Arizona")+(_xlpm.states="Maryland"))))</f>
        <v>3432975.0162229072</v>
      </c>
      <c r="AB26" s="12" cm="1">
        <f t="array" ref="AB26">_xlfn.LET(_xlpm.data,_xlfn.VSTACK('MS:NCA9'!AB26),_xlpm.states,_xlfn.VSTACK('MS:NCA9'!$B$2),
SUM(_xlfn._xlws.FILTER(_xlpm.data,(_xlpm.states="North Carolina")+(_xlpm.states="Arizona")+(_xlpm.states="Maryland"))))</f>
        <v>3495006.5558754834</v>
      </c>
      <c r="AC26" s="12" cm="1">
        <f t="array" ref="AC26">_xlfn.LET(_xlpm.data,_xlfn.VSTACK('MS:NCA9'!AC26),_xlpm.states,_xlfn.VSTACK('MS:NCA9'!$B$2),
SUM(_xlfn._xlws.FILTER(_xlpm.data,(_xlpm.states="North Carolina")+(_xlpm.states="Arizona")+(_xlpm.states="Maryland"))))</f>
        <v>3560905.7117658951</v>
      </c>
      <c r="AD26" s="12" cm="1">
        <f t="array" ref="AD26">_xlfn.LET(_xlpm.data,_xlfn.VSTACK('MS:NCA9'!AD26),_xlpm.states,_xlfn.VSTACK('MS:NCA9'!$B$2),
SUM(_xlfn._xlws.FILTER(_xlpm.data,(_xlpm.states="North Carolina")+(_xlpm.states="Arizona")+(_xlpm.states="Maryland"))))</f>
        <v>3626804.8676563073</v>
      </c>
      <c r="AE26" s="12" cm="1">
        <f t="array" ref="AE26">_xlfn.LET(_xlpm.data,_xlfn.VSTACK('MS:NCA9'!AE26),_xlpm.states,_xlfn.VSTACK('MS:NCA9'!$B$2),
SUM(_xlfn._xlws.FILTER(_xlpm.data,(_xlpm.states="North Carolina")+(_xlpm.states="Arizona")+(_xlpm.states="Maryland"))))</f>
        <v>3676246.1806059596</v>
      </c>
      <c r="AF26" s="12" cm="1">
        <f t="array" ref="AF26">_xlfn.LET(_xlpm.data,_xlfn.VSTACK('MS:NCA9'!AF26),_xlpm.states,_xlfn.VSTACK('MS:NCA9'!$B$2),
SUM(_xlfn._xlws.FILTER(_xlpm.data,(_xlpm.states="North Carolina")+(_xlpm.states="Arizona")+(_xlpm.states="Maryland"))))</f>
        <v>3729640.7324055354</v>
      </c>
      <c r="AG26" s="12" cm="1">
        <f t="array" ref="AG26">_xlfn.LET(_xlpm.data,_xlfn.VSTACK('MS:NCA9'!AG26),_xlpm.states,_xlfn.VSTACK('MS:NCA9'!$B$2),
SUM(_xlfn._xlws.FILTER(_xlpm.data,(_xlpm.states="North Carolina")+(_xlpm.states="Arizona")+(_xlpm.states="Maryland"))))</f>
        <v>3786902.9004429476</v>
      </c>
      <c r="AH26" s="12" cm="1">
        <f t="array" ref="AH26">_xlfn.LET(_xlpm.data,_xlfn.VSTACK('MS:NCA9'!AH26),_xlpm.states,_xlfn.VSTACK('MS:NCA9'!$B$2),
SUM(_xlfn._xlws.FILTER(_xlpm.data,(_xlpm.states="North Carolina")+(_xlpm.states="Arizona")+(_xlpm.states="Maryland"))))</f>
        <v>3882003.5327165034</v>
      </c>
      <c r="AI26" s="12" cm="1">
        <f t="array" ref="AI26">_xlfn.LET(_xlpm.data,_xlfn.VSTACK('MS:NCA9'!AI26),_xlpm.states,_xlfn.VSTACK('MS:NCA9'!$B$2),
SUM(_xlfn._xlws.FILTER(_xlpm.data,(_xlpm.states="North Carolina")+(_xlpm.states="Arizona")+(_xlpm.states="Maryland"))))</f>
        <v>3984925.0200778195</v>
      </c>
      <c r="AJ26" s="12" cm="1">
        <f t="array" ref="AJ26">_xlfn.LET(_xlpm.data,_xlfn.VSTACK('MS:NCA9'!AJ26),_xlpm.states,_xlfn.VSTACK('MS:NCA9'!$B$2),
SUM(_xlfn._xlws.FILTER(_xlpm.data,(_xlpm.states="North Carolina")+(_xlpm.states="Arizona")+(_xlpm.states="Maryland"))))</f>
        <v>4083978.8912012996</v>
      </c>
      <c r="AK26" s="12" cm="1">
        <f t="array" ref="AK26">_xlfn.LET(_xlpm.data,_xlfn.VSTACK('MS:NCA9'!AK26),_xlpm.states,_xlfn.VSTACK('MS:NCA9'!$B$2),
SUM(_xlfn._xlws.FILTER(_xlpm.data,(_xlpm.states="North Carolina")+(_xlpm.states="Arizona")+(_xlpm.states="Maryland"))))</f>
        <v>4164703.6245019916</v>
      </c>
      <c r="AL26" s="12" cm="1">
        <f t="array" ref="AL26">_xlfn.LET(_xlpm.data,_xlfn.VSTACK('MS:NCA9'!AL26),_xlpm.states,_xlfn.VSTACK('MS:NCA9'!$B$2),
SUM(_xlfn._xlws.FILTER(_xlpm.data,(_xlpm.states="North Carolina")+(_xlpm.states="Arizona")+(_xlpm.states="Maryland"))))</f>
        <v>4221965.7925394038</v>
      </c>
      <c r="AM26" s="12" cm="1">
        <f t="array" ref="AM26">_xlfn.LET(_xlpm.data,_xlfn.VSTACK('MS:NCA9'!AM26),_xlpm.states,_xlfn.VSTACK('MS:NCA9'!$B$2),
SUM(_xlfn._xlws.FILTER(_xlpm.data,(_xlpm.states="North Carolina")+(_xlpm.states="Arizona")+(_xlpm.states="Maryland"))))</f>
        <v>4279227.9605768146</v>
      </c>
      <c r="AN26" s="12" cm="1">
        <f t="array" ref="AN26">_xlfn.LET(_xlpm.data,_xlfn.VSTACK('MS:NCA9'!AN26),_xlpm.states,_xlfn.VSTACK('MS:NCA9'!$B$2),
SUM(_xlfn._xlws.FILTER(_xlpm.data,(_xlpm.states="North Carolina")+(_xlpm.states="Arizona")+(_xlpm.states="Maryland"))))</f>
        <v>4332622.5123763913</v>
      </c>
    </row>
    <row r="27" spans="2:40" outlineLevel="1" x14ac:dyDescent="0.25">
      <c r="B27" s="39" t="s">
        <v>450</v>
      </c>
      <c r="E27" s="12" cm="1">
        <f t="array" ref="E27">_xlfn.LET(_xlpm.data,_xlfn.VSTACK('MS:NCA9'!E27),_xlpm.states,_xlfn.VSTACK('MS:NCA9'!$B$2),
SUM(_xlfn._xlws.FILTER(_xlpm.data,(_xlpm.states="North Carolina")+(_xlpm.states="Arizona")+(_xlpm.states="Maryland"))))</f>
        <v>84550.909941333317</v>
      </c>
      <c r="F27" s="12" cm="1">
        <f t="array" ref="F27">_xlfn.LET(_xlpm.data,_xlfn.VSTACK('MS:NCA9'!F27),_xlpm.states,_xlfn.VSTACK('MS:NCA9'!$B$2),
SUM(_xlfn._xlws.FILTER(_xlpm.data,(_xlpm.states="North Carolina")+(_xlpm.states="Arizona")+(_xlpm.states="Maryland"))))</f>
        <v>87305.460874666664</v>
      </c>
      <c r="G27" s="12" cm="1">
        <f t="array" ref="G27">_xlfn.LET(_xlpm.data,_xlfn.VSTACK('MS:NCA9'!G27),_xlpm.states,_xlfn.VSTACK('MS:NCA9'!$B$2),
SUM(_xlfn._xlws.FILTER(_xlpm.data,(_xlpm.states="North Carolina")+(_xlpm.states="Arizona")+(_xlpm.states="Maryland"))))</f>
        <v>91437.287274666654</v>
      </c>
      <c r="H27" s="12" cm="1">
        <f t="array" ref="H27">_xlfn.LET(_xlpm.data,_xlfn.VSTACK('MS:NCA9'!H27),_xlpm.states,_xlfn.VSTACK('MS:NCA9'!$B$2),
SUM(_xlfn._xlws.FILTER(_xlpm.data,(_xlpm.states="North Carolina")+(_xlpm.states="Arizona")+(_xlpm.states="Maryland"))))</f>
        <v>91437.287274666654</v>
      </c>
      <c r="I27" s="12" cm="1">
        <f t="array" ref="I27">_xlfn.LET(_xlpm.data,_xlfn.VSTACK('MS:NCA9'!I27),_xlpm.states,_xlfn.VSTACK('MS:NCA9'!$B$2),
SUM(_xlfn._xlws.FILTER(_xlpm.data,(_xlpm.states="North Carolina")+(_xlpm.states="Arizona")+(_xlpm.states="Maryland"))))</f>
        <v>91437.287274666654</v>
      </c>
      <c r="J27" s="12" cm="1">
        <f t="array" ref="J27">_xlfn.LET(_xlpm.data,_xlfn.VSTACK('MS:NCA9'!J27),_xlpm.states,_xlfn.VSTACK('MS:NCA9'!$B$2),
SUM(_xlfn._xlws.FILTER(_xlpm.data,(_xlpm.states="North Carolina")+(_xlpm.states="Arizona")+(_xlpm.states="Maryland"))))</f>
        <v>95569.11367466666</v>
      </c>
      <c r="K27" s="12" cm="1">
        <f t="array" ref="K27">_xlfn.LET(_xlpm.data,_xlfn.VSTACK('MS:NCA9'!K27),_xlpm.states,_xlfn.VSTACK('MS:NCA9'!$B$2),
SUM(_xlfn._xlws.FILTER(_xlpm.data,(_xlpm.states="North Carolina")+(_xlpm.states="Arizona")+(_xlpm.states="Maryland"))))</f>
        <v>104212.05572266666</v>
      </c>
      <c r="L27" s="12" cm="1">
        <f t="array" ref="L27">_xlfn.LET(_xlpm.data,_xlfn.VSTACK('MS:NCA9'!L27),_xlpm.states,_xlfn.VSTACK('MS:NCA9'!$B$2),
SUM(_xlfn._xlws.FILTER(_xlpm.data,(_xlpm.states="North Carolina")+(_xlpm.states="Arizona")+(_xlpm.states="Maryland"))))</f>
        <v>108343.88212266666</v>
      </c>
      <c r="M27" s="12" cm="1">
        <f t="array" ref="M27">_xlfn.LET(_xlpm.data,_xlfn.VSTACK('MS:NCA9'!M27),_xlpm.states,_xlfn.VSTACK('MS:NCA9'!$B$2),
SUM(_xlfn._xlws.FILTER(_xlpm.data,(_xlpm.states="North Carolina")+(_xlpm.states="Arizona")+(_xlpm.states="Maryland"))))</f>
        <v>112475.70852266665</v>
      </c>
      <c r="N27" s="12" cm="1">
        <f t="array" ref="N27">_xlfn.LET(_xlpm.data,_xlfn.VSTACK('MS:NCA9'!N27),_xlpm.states,_xlfn.VSTACK('MS:NCA9'!$B$2),
SUM(_xlfn._xlws.FILTER(_xlpm.data,(_xlpm.states="North Carolina")+(_xlpm.states="Arizona")+(_xlpm.states="Maryland"))))</f>
        <v>120364.55599999998</v>
      </c>
      <c r="O27" s="12" cm="1">
        <f t="array" ref="O27">_xlfn.LET(_xlpm.data,_xlfn.VSTACK('MS:NCA9'!O27),_xlpm.states,_xlfn.VSTACK('MS:NCA9'!$B$2),
SUM(_xlfn._xlws.FILTER(_xlpm.data,(_xlpm.states="North Carolina")+(_xlpm.states="Arizona")+(_xlpm.states="Maryland"))))</f>
        <v>130131.914016</v>
      </c>
      <c r="P27" s="12" cm="1">
        <f t="array" ref="P27">_xlfn.LET(_xlpm.data,_xlfn.VSTACK('MS:NCA9'!P27),_xlpm.states,_xlfn.VSTACK('MS:NCA9'!$B$2),
SUM(_xlfn._xlws.FILTER(_xlpm.data,(_xlpm.states="North Carolina")+(_xlpm.states="Arizona")+(_xlpm.states="Maryland"))))</f>
        <v>139899.27203199998</v>
      </c>
      <c r="Q27" s="12" cm="1">
        <f t="array" ref="Q27">_xlfn.LET(_xlpm.data,_xlfn.VSTACK('MS:NCA9'!Q27),_xlpm.states,_xlfn.VSTACK('MS:NCA9'!$B$2),
SUM(_xlfn._xlws.FILTER(_xlpm.data,(_xlpm.states="North Carolina")+(_xlpm.states="Arizona")+(_xlpm.states="Maryland"))))</f>
        <v>154156.62894943997</v>
      </c>
      <c r="R27" s="12" cm="1">
        <f t="array" ref="R27">_xlfn.LET(_xlpm.data,_xlfn.VSTACK('MS:NCA9'!R27),_xlpm.states,_xlfn.VSTACK('MS:NCA9'!$B$2),
SUM(_xlfn._xlws.FILTER(_xlpm.data,(_xlpm.states="North Carolina")+(_xlpm.states="Arizona")+(_xlpm.states="Maryland"))))</f>
        <v>163700.73558175997</v>
      </c>
      <c r="S27" s="12" cm="1">
        <f t="array" ref="S27">_xlfn.LET(_xlpm.data,_xlfn.VSTACK('MS:NCA9'!S27),_xlpm.states,_xlfn.VSTACK('MS:NCA9'!$B$2),
SUM(_xlfn._xlws.FILTER(_xlpm.data,(_xlpm.states="North Carolina")+(_xlpm.states="Arizona")+(_xlpm.states="Maryland"))))</f>
        <v>173761.11433823998</v>
      </c>
      <c r="T27" s="12" cm="1">
        <f t="array" ref="T27">_xlfn.LET(_xlpm.data,_xlfn.VSTACK('MS:NCA9'!T27),_xlpm.states,_xlfn.VSTACK('MS:NCA9'!$B$2),
SUM(_xlfn._xlws.FILTER(_xlpm.data,(_xlpm.states="North Carolina")+(_xlpm.states="Arizona")+(_xlpm.states="Maryland"))))</f>
        <v>183821.49309471998</v>
      </c>
      <c r="U27" s="12" cm="1">
        <f t="array" ref="U27">_xlfn.LET(_xlpm.data,_xlfn.VSTACK('MS:NCA9'!U27),_xlpm.states,_xlfn.VSTACK('MS:NCA9'!$B$2),
SUM(_xlfn._xlws.FILTER(_xlpm.data,(_xlpm.states="North Carolina")+(_xlpm.states="Arizona")+(_xlpm.states="Maryland"))))</f>
        <v>192463.2781205333</v>
      </c>
      <c r="V27" s="12" cm="1">
        <f t="array" ref="V27">_xlfn.LET(_xlpm.data,_xlfn.VSTACK('MS:NCA9'!V27),_xlpm.states,_xlfn.VSTACK('MS:NCA9'!$B$2),
SUM(_xlfn._xlws.FILTER(_xlpm.data,(_xlpm.states="North Carolina")+(_xlpm.states="Arizona")+(_xlpm.states="Maryland"))))</f>
        <v>202523.6568770133</v>
      </c>
      <c r="W27" s="12" cm="1">
        <f t="array" ref="W27">_xlfn.LET(_xlpm.data,_xlfn.VSTACK('MS:NCA9'!W27),_xlpm.states,_xlfn.VSTACK('MS:NCA9'!$B$2),
SUM(_xlfn._xlws.FILTER(_xlpm.data,(_xlpm.states="North Carolina")+(_xlpm.states="Arizona")+(_xlpm.states="Maryland"))))</f>
        <v>216839.81682549333</v>
      </c>
      <c r="X27" s="12" cm="1">
        <f t="array" ref="X27">_xlfn.LET(_xlpm.data,_xlfn.VSTACK('MS:NCA9'!X27),_xlpm.states,_xlfn.VSTACK('MS:NCA9'!$B$2),
SUM(_xlfn._xlws.FILTER(_xlpm.data,(_xlpm.states="North Carolina")+(_xlpm.states="Arizona")+(_xlpm.states="Maryland"))))</f>
        <v>227932.73983029329</v>
      </c>
      <c r="Y27" s="12" cm="1">
        <f t="array" ref="Y27">_xlfn.LET(_xlpm.data,_xlfn.VSTACK('MS:NCA9'!Y27),_xlpm.states,_xlfn.VSTACK('MS:NCA9'!$B$2),
SUM(_xlfn._xlws.FILTER(_xlpm.data,(_xlpm.states="North Carolina")+(_xlpm.states="Arizona")+(_xlpm.states="Maryland"))))</f>
        <v>237993.11858677326</v>
      </c>
      <c r="Z27" s="12" cm="1">
        <f t="array" ref="Z27">_xlfn.LET(_xlpm.data,_xlfn.VSTACK('MS:NCA9'!Z27),_xlpm.states,_xlfn.VSTACK('MS:NCA9'!$B$2),
SUM(_xlfn._xlws.FILTER(_xlpm.data,(_xlpm.states="North Carolina")+(_xlpm.states="Arizona")+(_xlpm.states="Maryland"))))</f>
        <v>248053.49734325332</v>
      </c>
      <c r="AA27" s="12" cm="1">
        <f t="array" ref="AA27">_xlfn.LET(_xlpm.data,_xlfn.VSTACK('MS:NCA9'!AA27),_xlpm.states,_xlfn.VSTACK('MS:NCA9'!$B$2),
SUM(_xlfn._xlws.FILTER(_xlpm.data,(_xlpm.states="North Carolina")+(_xlpm.states="Arizona")+(_xlpm.states="Maryland"))))</f>
        <v>258113.87609973329</v>
      </c>
      <c r="AB27" s="12" cm="1">
        <f t="array" ref="AB27">_xlfn.LET(_xlpm.data,_xlfn.VSTACK('MS:NCA9'!AB27),_xlpm.states,_xlfn.VSTACK('MS:NCA9'!$B$2),
SUM(_xlfn._xlws.FILTER(_xlpm.data,(_xlpm.states="North Carolina")+(_xlpm.states="Arizona")+(_xlpm.states="Maryland"))))</f>
        <v>263918.47366421326</v>
      </c>
      <c r="AC27" s="12" cm="1">
        <f t="array" ref="AC27">_xlfn.LET(_xlpm.data,_xlfn.VSTACK('MS:NCA9'!AC27),_xlpm.states,_xlfn.VSTACK('MS:NCA9'!$B$2),
SUM(_xlfn._xlws.FILTER(_xlpm.data,(_xlpm.states="North Carolina")+(_xlpm.states="Arizona")+(_xlpm.states="Maryland"))))</f>
        <v>269723.0712286933</v>
      </c>
      <c r="AD27" s="12" cm="1">
        <f t="array" ref="AD27">_xlfn.LET(_xlpm.data,_xlfn.VSTACK('MS:NCA9'!AD27),_xlpm.states,_xlfn.VSTACK('MS:NCA9'!$B$2),
SUM(_xlfn._xlws.FILTER(_xlpm.data,(_xlpm.states="North Carolina")+(_xlpm.states="Arizona")+(_xlpm.states="Maryland"))))</f>
        <v>275527.66879317327</v>
      </c>
      <c r="AE27" s="12" cm="1">
        <f t="array" ref="AE27">_xlfn.LET(_xlpm.data,_xlfn.VSTACK('MS:NCA9'!AE27),_xlpm.states,_xlfn.VSTACK('MS:NCA9'!$B$2),
SUM(_xlfn._xlws.FILTER(_xlpm.data,(_xlpm.states="North Carolina")+(_xlpm.states="Arizona")+(_xlpm.states="Maryland"))))</f>
        <v>280815.99423349329</v>
      </c>
      <c r="AF27" s="12" cm="1">
        <f t="array" ref="AF27">_xlfn.LET(_xlpm.data,_xlfn.VSTACK('MS:NCA9'!AF27),_xlpm.states,_xlfn.VSTACK('MS:NCA9'!$B$2),
SUM(_xlfn._xlws.FILTER(_xlpm.data,(_xlpm.states="North Carolina")+(_xlpm.states="Arizona")+(_xlpm.states="Maryland"))))</f>
        <v>286620.59179797326</v>
      </c>
      <c r="AG27" s="12" cm="1">
        <f t="array" ref="AG27">_xlfn.LET(_xlpm.data,_xlfn.VSTACK('MS:NCA9'!AG27),_xlpm.states,_xlfn.VSTACK('MS:NCA9'!$B$2),
SUM(_xlfn._xlws.FILTER(_xlpm.data,(_xlpm.states="North Carolina")+(_xlpm.states="Arizona")+(_xlpm.states="Maryland"))))</f>
        <v>292425.1893624533</v>
      </c>
      <c r="AH27" s="12" cm="1">
        <f t="array" ref="AH27">_xlfn.LET(_xlpm.data,_xlfn.VSTACK('MS:NCA9'!AH27),_xlpm.states,_xlfn.VSTACK('MS:NCA9'!$B$2),
SUM(_xlfn._xlws.FILTER(_xlpm.data,(_xlpm.states="North Carolina")+(_xlpm.states="Arizona")+(_xlpm.states="Maryland"))))</f>
        <v>303518.11236725328</v>
      </c>
      <c r="AI27" s="12" cm="1">
        <f t="array" ref="AI27">_xlfn.LET(_xlpm.data,_xlfn.VSTACK('MS:NCA9'!AI27),_xlpm.states,_xlfn.VSTACK('MS:NCA9'!$B$2),
SUM(_xlfn._xlws.FILTER(_xlpm.data,(_xlpm.states="North Carolina")+(_xlpm.states="Arizona")+(_xlpm.states="Maryland"))))</f>
        <v>315127.3074962133</v>
      </c>
      <c r="AJ27" s="12" cm="1">
        <f t="array" ref="AJ27">_xlfn.LET(_xlpm.data,_xlfn.VSTACK('MS:NCA9'!AJ27),_xlpm.states,_xlfn.VSTACK('MS:NCA9'!$B$2),
SUM(_xlfn._xlws.FILTER(_xlpm.data,(_xlpm.states="North Carolina")+(_xlpm.states="Arizona")+(_xlpm.states="Maryland"))))</f>
        <v>326736.50262517331</v>
      </c>
      <c r="AK27" s="12" cm="1">
        <f t="array" ref="AK27">_xlfn.LET(_xlpm.data,_xlfn.VSTACK('MS:NCA9'!AK27),_xlpm.states,_xlfn.VSTACK('MS:NCA9'!$B$2),
SUM(_xlfn._xlws.FILTER(_xlpm.data,(_xlpm.states="North Carolina")+(_xlpm.states="Arizona")+(_xlpm.states="Maryland"))))</f>
        <v>334089.91656213324</v>
      </c>
      <c r="AL27" s="12" cm="1">
        <f t="array" ref="AL27">_xlfn.LET(_xlpm.data,_xlfn.VSTACK('MS:NCA9'!AL27),_xlpm.states,_xlfn.VSTACK('MS:NCA9'!$B$2),
SUM(_xlfn._xlws.FILTER(_xlpm.data,(_xlpm.states="North Carolina")+(_xlpm.states="Arizona")+(_xlpm.states="Maryland"))))</f>
        <v>339894.51412661327</v>
      </c>
      <c r="AM27" s="12" cm="1">
        <f t="array" ref="AM27">_xlfn.LET(_xlpm.data,_xlfn.VSTACK('MS:NCA9'!AM27),_xlpm.states,_xlfn.VSTACK('MS:NCA9'!$B$2),
SUM(_xlfn._xlws.FILTER(_xlpm.data,(_xlpm.states="North Carolina")+(_xlpm.states="Arizona")+(_xlpm.states="Maryland"))))</f>
        <v>345699.11169109325</v>
      </c>
      <c r="AN27" s="12" cm="1">
        <f t="array" ref="AN27">_xlfn.LET(_xlpm.data,_xlfn.VSTACK('MS:NCA9'!AN27),_xlpm.states,_xlfn.VSTACK('MS:NCA9'!$B$2),
SUM(_xlfn._xlws.FILTER(_xlpm.data,(_xlpm.states="North Carolina")+(_xlpm.states="Arizona")+(_xlpm.states="Maryland"))))</f>
        <v>351503.70925557322</v>
      </c>
    </row>
    <row r="28" spans="2:40" outlineLevel="1" x14ac:dyDescent="0.25">
      <c r="B28" s="39" t="s">
        <v>451</v>
      </c>
      <c r="E28" s="12" cm="1">
        <f t="array" ref="E28">_xlfn.LET(_xlpm.data,_xlfn.VSTACK('MS:NCA9'!E28),_xlpm.states,_xlfn.VSTACK('MS:NCA9'!$B$2),
SUM(_xlfn._xlws.FILTER(_xlpm.data,(_xlpm.states="North Carolina")+(_xlpm.states="Arizona")+(_xlpm.states="Maryland"))))</f>
        <v>411307.48515479994</v>
      </c>
      <c r="F28" s="12" cm="1">
        <f t="array" ref="F28">_xlfn.LET(_xlpm.data,_xlfn.VSTACK('MS:NCA9'!F28),_xlpm.states,_xlfn.VSTACK('MS:NCA9'!$B$2),
SUM(_xlfn._xlws.FILTER(_xlpm.data,(_xlpm.states="North Carolina")+(_xlpm.states="Arizona")+(_xlpm.states="Maryland"))))</f>
        <v>420379.85559959989</v>
      </c>
      <c r="G28" s="12" cm="1">
        <f t="array" ref="G28">_xlfn.LET(_xlpm.data,_xlfn.VSTACK('MS:NCA9'!G28),_xlpm.states,_xlfn.VSTACK('MS:NCA9'!$B$2),
SUM(_xlfn._xlws.FILTER(_xlpm.data,(_xlpm.states="North Carolina")+(_xlpm.states="Arizona")+(_xlpm.states="Maryland"))))</f>
        <v>431245.96465079993</v>
      </c>
      <c r="H28" s="12" cm="1">
        <f t="array" ref="H28">_xlfn.LET(_xlpm.data,_xlfn.VSTACK('MS:NCA9'!H28),_xlpm.states,_xlfn.VSTACK('MS:NCA9'!$B$2),
SUM(_xlfn._xlws.FILTER(_xlpm.data,(_xlpm.states="North Carolina")+(_xlpm.states="Arizona")+(_xlpm.states="Maryland"))))</f>
        <v>437285.05150199996</v>
      </c>
      <c r="I28" s="12" cm="1">
        <f t="array" ref="I28">_xlfn.LET(_xlpm.data,_xlfn.VSTACK('MS:NCA9'!I28),_xlpm.states,_xlfn.VSTACK('MS:NCA9'!$B$2),
SUM(_xlfn._xlws.FILTER(_xlpm.data,(_xlpm.states="North Carolina")+(_xlpm.states="Arizona")+(_xlpm.states="Maryland"))))</f>
        <v>442477.49398319994</v>
      </c>
      <c r="J28" s="12" cm="1">
        <f t="array" ref="J28">_xlfn.LET(_xlpm.data,_xlfn.VSTACK('MS:NCA9'!J28),_xlpm.states,_xlfn.VSTACK('MS:NCA9'!$B$2),
SUM(_xlfn._xlws.FILTER(_xlpm.data,(_xlpm.states="North Carolina")+(_xlpm.states="Arizona")+(_xlpm.states="Maryland"))))</f>
        <v>454101.92393279995</v>
      </c>
      <c r="K28" s="12" cm="1">
        <f t="array" ref="K28">_xlfn.LET(_xlpm.data,_xlfn.VSTACK('MS:NCA9'!K28),_xlpm.states,_xlfn.VSTACK('MS:NCA9'!$B$2),
SUM(_xlfn._xlws.FILTER(_xlpm.data,(_xlpm.states="North Carolina")+(_xlpm.states="Arizona")+(_xlpm.states="Maryland"))))</f>
        <v>482570.13401999994</v>
      </c>
      <c r="L28" s="12" cm="1">
        <f t="array" ref="L28">_xlfn.LET(_xlpm.data,_xlfn.VSTACK('MS:NCA9'!L28),_xlpm.states,_xlfn.VSTACK('MS:NCA9'!$B$2),
SUM(_xlfn._xlws.FILTER(_xlpm.data,(_xlpm.states="North Carolina")+(_xlpm.states="Arizona")+(_xlpm.states="Maryland"))))</f>
        <v>493159.1462615999</v>
      </c>
      <c r="M28" s="12" cm="1">
        <f t="array" ref="M28">_xlfn.LET(_xlpm.data,_xlfn.VSTACK('MS:NCA9'!M28),_xlpm.states,_xlfn.VSTACK('MS:NCA9'!$B$2),
SUM(_xlfn._xlws.FILTER(_xlpm.data,(_xlpm.states="North Carolina")+(_xlpm.states="Arizona")+(_xlpm.states="Maryland"))))</f>
        <v>504783.57621119998</v>
      </c>
      <c r="N28" s="12" cm="1">
        <f t="array" ref="N28">_xlfn.LET(_xlpm.data,_xlfn.VSTACK('MS:NCA9'!N28),_xlpm.states,_xlfn.VSTACK('MS:NCA9'!$B$2),
SUM(_xlfn._xlws.FILTER(_xlpm.data,(_xlpm.states="North Carolina")+(_xlpm.states="Arizona")+(_xlpm.states="Maryland"))))</f>
        <v>521700.89850839996</v>
      </c>
      <c r="O28" s="12" cm="1">
        <f t="array" ref="O28">_xlfn.LET(_xlpm.data,_xlfn.VSTACK('MS:NCA9'!O28),_xlpm.states,_xlfn.VSTACK('MS:NCA9'!$B$2),
SUM(_xlfn._xlws.FILTER(_xlpm.data,(_xlpm.states="North Carolina")+(_xlpm.states="Arizona")+(_xlpm.states="Maryland"))))</f>
        <v>542294.02148999996</v>
      </c>
      <c r="P28" s="12" cm="1">
        <f t="array" ref="P28">_xlfn.LET(_xlpm.data,_xlfn.VSTACK('MS:NCA9'!P28),_xlpm.states,_xlfn.VSTACK('MS:NCA9'!$B$2),
SUM(_xlfn._xlws.FILTER(_xlpm.data,(_xlpm.states="North Carolina")+(_xlpm.states="Arizona")+(_xlpm.states="Maryland"))))</f>
        <v>564680.88307799993</v>
      </c>
      <c r="Q28" s="12" cm="1">
        <f t="array" ref="Q28">_xlfn.LET(_xlpm.data,_xlfn.VSTACK('MS:NCA9'!Q28),_xlpm.states,_xlfn.VSTACK('MS:NCA9'!$B$2),
SUM(_xlfn._xlws.FILTER(_xlpm.data,(_xlpm.states="North Carolina")+(_xlpm.states="Arizona")+(_xlpm.states="Maryland"))))</f>
        <v>602352.37998936011</v>
      </c>
      <c r="R28" s="12" cm="1">
        <f t="array" ref="R28">_xlfn.LET(_xlpm.data,_xlfn.VSTACK('MS:NCA9'!R28),_xlpm.states,_xlfn.VSTACK('MS:NCA9'!$B$2),
SUM(_xlfn._xlws.FILTER(_xlpm.data,(_xlpm.states="North Carolina")+(_xlpm.states="Arizona")+(_xlpm.states="Maryland"))))</f>
        <v>621822.53363100009</v>
      </c>
      <c r="S28" s="12" cm="1">
        <f t="array" ref="S28">_xlfn.LET(_xlpm.data,_xlfn.VSTACK('MS:NCA9'!S28),_xlpm.states,_xlfn.VSTACK('MS:NCA9'!$B$2),
SUM(_xlfn._xlws.FILTER(_xlpm.data,(_xlpm.states="North Carolina")+(_xlpm.states="Arizona")+(_xlpm.states="Maryland"))))</f>
        <v>640900.48982356815</v>
      </c>
      <c r="T28" s="12" cm="1">
        <f t="array" ref="T28">_xlfn.LET(_xlpm.data,_xlfn.VSTACK('MS:NCA9'!T28),_xlpm.states,_xlfn.VSTACK('MS:NCA9'!$B$2),
SUM(_xlfn._xlws.FILTER(_xlpm.data,(_xlpm.states="North Carolina")+(_xlpm.states="Arizona")+(_xlpm.states="Maryland"))))</f>
        <v>659887.47284038796</v>
      </c>
      <c r="U28" s="12" cm="1">
        <f t="array" ref="U28">_xlfn.LET(_xlpm.data,_xlfn.VSTACK('MS:NCA9'!U28),_xlpm.states,_xlfn.VSTACK('MS:NCA9'!$B$2),
SUM(_xlfn._xlws.FILTER(_xlpm.data,(_xlpm.states="North Carolina")+(_xlpm.states="Arizona")+(_xlpm.states="Maryland"))))</f>
        <v>678184.35850760399</v>
      </c>
      <c r="V28" s="12" cm="1">
        <f t="array" ref="V28">_xlfn.LET(_xlpm.data,_xlfn.VSTACK('MS:NCA9'!V28),_xlpm.states,_xlfn.VSTACK('MS:NCA9'!$B$2),
SUM(_xlfn._xlws.FILTER(_xlpm.data,(_xlpm.states="North Carolina")+(_xlpm.states="Arizona")+(_xlpm.states="Maryland"))))</f>
        <v>698043.38522552396</v>
      </c>
      <c r="W28" s="12" cm="1">
        <f t="array" ref="W28">_xlfn.LET(_xlpm.data,_xlfn.VSTACK('MS:NCA9'!W28),_xlpm.states,_xlfn.VSTACK('MS:NCA9'!$B$2),
SUM(_xlfn._xlws.FILTER(_xlpm.data,(_xlpm.states="North Carolina")+(_xlpm.states="Arizona")+(_xlpm.states="Maryland"))))</f>
        <v>721807.76457020419</v>
      </c>
      <c r="X28" s="12" cm="1">
        <f t="array" ref="X28">_xlfn.LET(_xlpm.data,_xlfn.VSTACK('MS:NCA9'!X28),_xlpm.states,_xlfn.VSTACK('MS:NCA9'!$B$2),
SUM(_xlfn._xlws.FILTER(_xlpm.data,(_xlpm.states="North Carolina")+(_xlpm.states="Arizona")+(_xlpm.states="Maryland"))))</f>
        <v>745060.66854398395</v>
      </c>
      <c r="Y28" s="12" cm="1">
        <f t="array" ref="Y28">_xlfn.LET(_xlpm.data,_xlfn.VSTACK('MS:NCA9'!Y28),_xlpm.states,_xlfn.VSTACK('MS:NCA9'!$B$2),
SUM(_xlfn._xlws.FILTER(_xlpm.data,(_xlpm.states="North Carolina")+(_xlpm.states="Arizona")+(_xlpm.states="Maryland"))))</f>
        <v>764919.69526190404</v>
      </c>
      <c r="Z28" s="12" cm="1">
        <f t="array" ref="Z28">_xlfn.LET(_xlpm.data,_xlfn.VSTACK('MS:NCA9'!Z28),_xlpm.states,_xlfn.VSTACK('MS:NCA9'!$B$2),
SUM(_xlfn._xlws.FILTER(_xlpm.data,(_xlpm.states="North Carolina")+(_xlpm.states="Arizona")+(_xlpm.states="Maryland"))))</f>
        <v>784778.72197982401</v>
      </c>
      <c r="AA28" s="12" cm="1">
        <f t="array" ref="AA28">_xlfn.LET(_xlpm.data,_xlfn.VSTACK('MS:NCA9'!AA28),_xlpm.states,_xlfn.VSTACK('MS:NCA9'!$B$2),
SUM(_xlfn._xlws.FILTER(_xlpm.data,(_xlpm.states="North Carolina")+(_xlpm.states="Arizona")+(_xlpm.states="Maryland"))))</f>
        <v>803765.70499664405</v>
      </c>
      <c r="AB28" s="12" cm="1">
        <f t="array" ref="AB28">_xlfn.LET(_xlpm.data,_xlfn.VSTACK('MS:NCA9'!AB28),_xlpm.states,_xlfn.VSTACK('MS:NCA9'!$B$2),
SUM(_xlfn._xlws.FILTER(_xlpm.data,(_xlpm.states="North Carolina")+(_xlpm.states="Arizona")+(_xlpm.states="Maryland"))))</f>
        <v>818157.23803709995</v>
      </c>
      <c r="AC28" s="12" cm="1">
        <f t="array" ref="AC28">_xlfn.LET(_xlpm.data,_xlfn.VSTACK('MS:NCA9'!AC28),_xlpm.states,_xlfn.VSTACK('MS:NCA9'!$B$2),
SUM(_xlfn._xlws.FILTER(_xlpm.data,(_xlpm.states="North Carolina")+(_xlpm.states="Arizona")+(_xlpm.states="Maryland"))))</f>
        <v>833329.8416029081</v>
      </c>
      <c r="AD28" s="12" cm="1">
        <f t="array" ref="AD28">_xlfn.LET(_xlpm.data,_xlfn.VSTACK('MS:NCA9'!AD28),_xlpm.states,_xlfn.VSTACK('MS:NCA9'!$B$2),
SUM(_xlfn._xlws.FILTER(_xlpm.data,(_xlpm.states="North Carolina")+(_xlpm.states="Arizona")+(_xlpm.states="Maryland"))))</f>
        <v>848502.4451687159</v>
      </c>
      <c r="AE28" s="12" cm="1">
        <f t="array" ref="AE28">_xlfn.LET(_xlpm.data,_xlfn.VSTACK('MS:NCA9'!AE28),_xlpm.states,_xlfn.VSTACK('MS:NCA9'!$B$2),
SUM(_xlfn._xlws.FILTER(_xlpm.data,(_xlpm.states="North Carolina")+(_xlpm.states="Arizona")+(_xlpm.states="Maryland"))))</f>
        <v>859798.00085384399</v>
      </c>
      <c r="AF28" s="12" cm="1">
        <f t="array" ref="AF28">_xlfn.LET(_xlpm.data,_xlfn.VSTACK('MS:NCA9'!AF28),_xlpm.states,_xlfn.VSTACK('MS:NCA9'!$B$2),
SUM(_xlfn._xlws.FILTER(_xlpm.data,(_xlpm.states="North Carolina")+(_xlpm.states="Arizona")+(_xlpm.states="Maryland"))))</f>
        <v>872445.44649210002</v>
      </c>
      <c r="AG28" s="12" cm="1">
        <f t="array" ref="AG28">_xlfn.LET(_xlpm.data,_xlfn.VSTACK('MS:NCA9'!AG28),_xlpm.states,_xlfn.VSTACK('MS:NCA9'!$B$2),
SUM(_xlfn._xlws.FILTER(_xlpm.data,(_xlpm.states="North Carolina")+(_xlpm.states="Arizona")+(_xlpm.states="Maryland"))))</f>
        <v>885873.96265570796</v>
      </c>
      <c r="AH28" s="12" cm="1">
        <f t="array" ref="AH28">_xlfn.LET(_xlpm.data,_xlfn.VSTACK('MS:NCA9'!AH28),_xlpm.states,_xlfn.VSTACK('MS:NCA9'!$B$2),
SUM(_xlfn._xlws.FILTER(_xlpm.data,(_xlpm.states="North Carolina")+(_xlpm.states="Arizona")+(_xlpm.states="Maryland"))))</f>
        <v>908254.82292838802</v>
      </c>
      <c r="AI28" s="12" cm="1">
        <f t="array" ref="AI28">_xlfn.LET(_xlpm.data,_xlfn.VSTACK('MS:NCA9'!AI28),_xlpm.states,_xlfn.VSTACK('MS:NCA9'!$B$2),
SUM(_xlfn._xlws.FILTER(_xlpm.data,(_xlpm.states="North Carolina")+(_xlpm.states="Arizona")+(_xlpm.states="Maryland"))))</f>
        <v>932768.64367954794</v>
      </c>
      <c r="AJ28" s="12" cm="1">
        <f t="array" ref="AJ28">_xlfn.LET(_xlpm.data,_xlfn.VSTACK('MS:NCA9'!AJ28),_xlpm.states,_xlfn.VSTACK('MS:NCA9'!$B$2),
SUM(_xlfn._xlws.FILTER(_xlpm.data,(_xlpm.states="North Carolina")+(_xlpm.states="Arizona")+(_xlpm.states="Maryland"))))</f>
        <v>956501.39390535606</v>
      </c>
      <c r="AK28" s="12" cm="1">
        <f t="array" ref="AK28">_xlfn.LET(_xlpm.data,_xlfn.VSTACK('MS:NCA9'!AK28),_xlpm.states,_xlfn.VSTACK('MS:NCA9'!$B$2),
SUM(_xlfn._xlws.FILTER(_xlpm.data,(_xlpm.states="North Carolina")+(_xlpm.states="Arizona")+(_xlpm.states="Maryland"))))</f>
        <v>976328.79150440404</v>
      </c>
      <c r="AL28" s="12" cm="1">
        <f t="array" ref="AL28">_xlfn.LET(_xlpm.data,_xlfn.VSTACK('MS:NCA9'!AL28),_xlpm.states,_xlfn.VSTACK('MS:NCA9'!$B$2),
SUM(_xlfn._xlws.FILTER(_xlpm.data,(_xlpm.states="North Carolina")+(_xlpm.states="Arizona")+(_xlpm.states="Maryland"))))</f>
        <v>989757.3076680121</v>
      </c>
      <c r="AM28" s="12" cm="1">
        <f t="array" ref="AM28">_xlfn.LET(_xlpm.data,_xlfn.VSTACK('MS:NCA9'!AM28),_xlpm.states,_xlfn.VSTACK('MS:NCA9'!$B$2),
SUM(_xlfn._xlws.FILTER(_xlpm.data,(_xlpm.states="North Carolina")+(_xlpm.states="Arizona")+(_xlpm.states="Maryland"))))</f>
        <v>1003185.82383162</v>
      </c>
      <c r="AN28" s="12" cm="1">
        <f t="array" ref="AN28">_xlfn.LET(_xlpm.data,_xlfn.VSTACK('MS:NCA9'!AN28),_xlpm.states,_xlfn.VSTACK('MS:NCA9'!$B$2),
SUM(_xlfn._xlws.FILTER(_xlpm.data,(_xlpm.states="North Carolina")+(_xlpm.states="Arizona")+(_xlpm.states="Maryland"))))</f>
        <v>1015833.269469876</v>
      </c>
    </row>
    <row r="29" spans="2:40" outlineLevel="1" x14ac:dyDescent="0.25">
      <c r="B29" s="39" t="s">
        <v>453</v>
      </c>
      <c r="E29" s="12" cm="1">
        <f t="array" ref="E29">_xlfn.LET(_xlpm.data,_xlfn.VSTACK('MS:NCA9'!E29),_xlpm.states,_xlfn.VSTACK('MS:NCA9'!$B$2),
SUM(_xlfn._xlws.FILTER(_xlpm.data,(_xlpm.states="North Carolina")+(_xlpm.states="Arizona")+(_xlpm.states="Maryland"))))</f>
        <v>29964.591311999997</v>
      </c>
      <c r="F29" s="12" cm="1">
        <f t="array" ref="F29">_xlfn.LET(_xlpm.data,_xlfn.VSTACK('MS:NCA9'!F29),_xlpm.states,_xlfn.VSTACK('MS:NCA9'!$B$2),
SUM(_xlfn._xlws.FILTER(_xlpm.data,(_xlpm.states="North Carolina")+(_xlpm.states="Arizona")+(_xlpm.states="Maryland"))))</f>
        <v>30827.925287999999</v>
      </c>
      <c r="G29" s="12" cm="1">
        <f t="array" ref="G29">_xlfn.LET(_xlpm.data,_xlfn.VSTACK('MS:NCA9'!G29),_xlpm.states,_xlfn.VSTACK('MS:NCA9'!$B$2),
SUM(_xlfn._xlws.FILTER(_xlpm.data,(_xlpm.states="North Carolina")+(_xlpm.states="Arizona")+(_xlpm.states="Maryland"))))</f>
        <v>31778.136131999996</v>
      </c>
      <c r="H29" s="12" cm="1">
        <f t="array" ref="H29">_xlfn.LET(_xlpm.data,_xlfn.VSTACK('MS:NCA9'!H29),_xlpm.states,_xlfn.VSTACK('MS:NCA9'!$B$2),
SUM(_xlfn._xlws.FILTER(_xlpm.data,(_xlpm.states="North Carolina")+(_xlpm.states="Arizona")+(_xlpm.states="Maryland"))))</f>
        <v>32469.840396</v>
      </c>
      <c r="I29" s="12" cm="1">
        <f t="array" ref="I29">_xlfn.LET(_xlpm.data,_xlfn.VSTACK('MS:NCA9'!I29),_xlpm.states,_xlfn.VSTACK('MS:NCA9'!$B$2),
SUM(_xlfn._xlws.FILTER(_xlpm.data,(_xlpm.states="North Carolina")+(_xlpm.states="Arizona")+(_xlpm.states="Maryland"))))</f>
        <v>33031.291679999995</v>
      </c>
      <c r="J29" s="12" cm="1">
        <f t="array" ref="J29">_xlfn.LET(_xlpm.data,_xlfn.VSTACK('MS:NCA9'!J29),_xlpm.states,_xlfn.VSTACK('MS:NCA9'!$B$2),
SUM(_xlfn._xlws.FILTER(_xlpm.data,(_xlpm.states="North Carolina")+(_xlpm.states="Arizona")+(_xlpm.states="Maryland"))))</f>
        <v>34067.317379999993</v>
      </c>
      <c r="K29" s="12" cm="1">
        <f t="array" ref="K29">_xlfn.LET(_xlpm.data,_xlfn.VSTACK('MS:NCA9'!K29),_xlpm.states,_xlfn.VSTACK('MS:NCA9'!$B$2),
SUM(_xlfn._xlws.FILTER(_xlpm.data,(_xlpm.states="North Carolina")+(_xlpm.states="Arizona")+(_xlpm.states="Maryland"))))</f>
        <v>35712.543167999997</v>
      </c>
      <c r="L29" s="12" cm="1">
        <f t="array" ref="L29">_xlfn.LET(_xlpm.data,_xlfn.VSTACK('MS:NCA9'!L29),_xlpm.states,_xlfn.VSTACK('MS:NCA9'!$B$2),
SUM(_xlfn._xlws.FILTER(_xlpm.data,(_xlpm.states="North Carolina")+(_xlpm.states="Arizona")+(_xlpm.states="Maryland"))))</f>
        <v>36661.692000000003</v>
      </c>
      <c r="M29" s="12" cm="1">
        <f t="array" ref="M29">_xlfn.LET(_xlpm.data,_xlfn.VSTACK('MS:NCA9'!M29),_xlpm.states,_xlfn.VSTACK('MS:NCA9'!$B$2),
SUM(_xlfn._xlws.FILTER(_xlpm.data,(_xlpm.states="North Carolina")+(_xlpm.states="Arizona")+(_xlpm.states="Maryland"))))</f>
        <v>37697.717700000008</v>
      </c>
      <c r="N29" s="12" cm="1">
        <f t="array" ref="N29">_xlfn.LET(_xlpm.data,_xlfn.VSTACK('MS:NCA9'!N29),_xlpm.states,_xlfn.VSTACK('MS:NCA9'!$B$2),
SUM(_xlfn._xlws.FILTER(_xlpm.data,(_xlpm.states="North Carolina")+(_xlpm.states="Arizona")+(_xlpm.states="Maryland"))))</f>
        <v>38861.997000000003</v>
      </c>
      <c r="O29" s="12" cm="1">
        <f t="array" ref="O29">_xlfn.LET(_xlpm.data,_xlfn.VSTACK('MS:NCA9'!O29),_xlpm.states,_xlfn.VSTACK('MS:NCA9'!$B$2),
SUM(_xlfn._xlws.FILTER(_xlpm.data,(_xlpm.states="North Carolina")+(_xlpm.states="Arizona")+(_xlpm.states="Maryland"))))</f>
        <v>40243.406148000002</v>
      </c>
      <c r="P29" s="12" cm="1">
        <f t="array" ref="P29">_xlfn.LET(_xlpm.data,_xlfn.VSTACK('MS:NCA9'!P29),_xlpm.states,_xlfn.VSTACK('MS:NCA9'!$B$2),
SUM(_xlfn._xlws.FILTER(_xlpm.data,(_xlpm.states="North Carolina")+(_xlpm.states="Arizona")+(_xlpm.states="Maryland"))))</f>
        <v>41797.50701999999</v>
      </c>
      <c r="Q29" s="12" cm="1">
        <f t="array" ref="Q29">_xlfn.LET(_xlpm.data,_xlfn.VSTACK('MS:NCA9'!Q29),_xlpm.states,_xlfn.VSTACK('MS:NCA9'!$B$2),
SUM(_xlfn._xlws.FILTER(_xlpm.data,(_xlpm.states="North Carolina")+(_xlpm.states="Arizona")+(_xlpm.states="Maryland"))))</f>
        <v>44517.867176039996</v>
      </c>
      <c r="R29" s="12" cm="1">
        <f t="array" ref="R29">_xlfn.LET(_xlpm.data,_xlfn.VSTACK('MS:NCA9'!R29),_xlpm.states,_xlfn.VSTACK('MS:NCA9'!$B$2),
SUM(_xlfn._xlws.FILTER(_xlpm.data,(_xlpm.states="North Carolina")+(_xlpm.states="Arizona")+(_xlpm.states="Maryland"))))</f>
        <v>46028.979516839994</v>
      </c>
      <c r="S29" s="12" cm="1">
        <f t="array" ref="S29">_xlfn.LET(_xlpm.data,_xlfn.VSTACK('MS:NCA9'!S29),_xlpm.states,_xlfn.VSTACK('MS:NCA9'!$B$2),
SUM(_xlfn._xlws.FILTER(_xlpm.data,(_xlpm.states="North Carolina")+(_xlpm.states="Arizona")+(_xlpm.states="Maryland"))))</f>
        <v>47272.864591199999</v>
      </c>
      <c r="T29" s="12" cm="1">
        <f t="array" ref="T29">_xlfn.LET(_xlpm.data,_xlfn.VSTACK('MS:NCA9'!T29),_xlpm.states,_xlfn.VSTACK('MS:NCA9'!$B$2),
SUM(_xlfn._xlws.FILTER(_xlpm.data,(_xlpm.states="North Carolina")+(_xlpm.states="Arizona")+(_xlpm.states="Maryland"))))</f>
        <v>48470.978397840001</v>
      </c>
      <c r="U29" s="12" cm="1">
        <f t="array" ref="U29">_xlfn.LET(_xlpm.data,_xlfn.VSTACK('MS:NCA9'!U29),_xlpm.states,_xlfn.VSTACK('MS:NCA9'!$B$2),
SUM(_xlfn._xlws.FILTER(_xlpm.data,(_xlpm.states="North Carolina")+(_xlpm.states="Arizona")+(_xlpm.states="Maryland"))))</f>
        <v>49714.863472200006</v>
      </c>
      <c r="V29" s="12" cm="1">
        <f t="array" ref="V29">_xlfn.LET(_xlpm.data,_xlfn.VSTACK('MS:NCA9'!V29),_xlpm.states,_xlfn.VSTACK('MS:NCA9'!$B$2),
SUM(_xlfn._xlws.FILTER(_xlpm.data,(_xlpm.states="North Carolina")+(_xlpm.states="Arizona")+(_xlpm.states="Maryland"))))</f>
        <v>51047.137848240003</v>
      </c>
      <c r="W29" s="12" cm="1">
        <f t="array" ref="W29">_xlfn.LET(_xlpm.data,_xlfn.VSTACK('MS:NCA9'!W29),_xlpm.states,_xlfn.VSTACK('MS:NCA9'!$B$2),
SUM(_xlfn._xlws.FILTER(_xlpm.data,(_xlpm.states="North Carolina")+(_xlpm.states="Arizona")+(_xlpm.states="Maryland"))))</f>
        <v>52556.190827640006</v>
      </c>
      <c r="X29" s="12" cm="1">
        <f t="array" ref="X29">_xlfn.LET(_xlpm.data,_xlfn.VSTACK('MS:NCA9'!X29),_xlpm.states,_xlfn.VSTACK('MS:NCA9'!$B$2),
SUM(_xlfn._xlws.FILTER(_xlpm.data,(_xlpm.states="North Carolina")+(_xlpm.states="Arizona")+(_xlpm.states="Maryland"))))</f>
        <v>53933.270982360009</v>
      </c>
      <c r="Y29" s="12" cm="1">
        <f t="array" ref="Y29">_xlfn.LET(_xlpm.data,_xlfn.VSTACK('MS:NCA9'!Y29),_xlpm.states,_xlfn.VSTACK('MS:NCA9'!$B$2),
SUM(_xlfn._xlws.FILTER(_xlpm.data,(_xlpm.states="North Carolina")+(_xlpm.states="Arizona")+(_xlpm.states="Maryland"))))</f>
        <v>55265.545358399999</v>
      </c>
      <c r="Z29" s="12" cm="1">
        <f t="array" ref="Z29">_xlfn.LET(_xlpm.data,_xlfn.VSTACK('MS:NCA9'!Z29),_xlpm.states,_xlfn.VSTACK('MS:NCA9'!$B$2),
SUM(_xlfn._xlws.FILTER(_xlpm.data,(_xlpm.states="North Carolina")+(_xlpm.states="Arizona")+(_xlpm.states="Maryland"))))</f>
        <v>56597.819734440003</v>
      </c>
      <c r="AA29" s="12" cm="1">
        <f t="array" ref="AA29">_xlfn.LET(_xlpm.data,_xlfn.VSTACK('MS:NCA9'!AA29),_xlpm.states,_xlfn.VSTACK('MS:NCA9'!$B$2),
SUM(_xlfn._xlws.FILTER(_xlpm.data,(_xlpm.states="North Carolina")+(_xlpm.states="Arizona")+(_xlpm.states="Maryland"))))</f>
        <v>57795.933541080012</v>
      </c>
      <c r="AB29" s="12" cm="1">
        <f t="array" ref="AB29">_xlfn.LET(_xlpm.data,_xlfn.VSTACK('MS:NCA9'!AB29),_xlpm.states,_xlfn.VSTACK('MS:NCA9'!$B$2),
SUM(_xlfn._xlws.FILTER(_xlpm.data,(_xlpm.states="North Carolina")+(_xlpm.states="Arizona")+(_xlpm.states="Maryland"))))</f>
        <v>58774.650710400005</v>
      </c>
      <c r="AC29" s="12" cm="1">
        <f t="array" ref="AC29">_xlfn.LET(_xlpm.data,_xlfn.VSTACK('MS:NCA9'!AC29),_xlpm.states,_xlfn.VSTACK('MS:NCA9'!$B$2),
SUM(_xlfn._xlws.FILTER(_xlpm.data,(_xlpm.states="North Carolina")+(_xlpm.states="Arizona")+(_xlpm.states="Maryland"))))</f>
        <v>59841.757181400011</v>
      </c>
      <c r="AD29" s="12" cm="1">
        <f t="array" ref="AD29">_xlfn.LET(_xlpm.data,_xlfn.VSTACK('MS:NCA9'!AD29),_xlpm.states,_xlfn.VSTACK('MS:NCA9'!$B$2),
SUM(_xlfn._xlws.FILTER(_xlpm.data,(_xlpm.states="North Carolina")+(_xlpm.states="Arizona")+(_xlpm.states="Maryland"))))</f>
        <v>60908.86365240001</v>
      </c>
      <c r="AE29" s="12" cm="1">
        <f t="array" ref="AE29">_xlfn.LET(_xlpm.data,_xlfn.VSTACK('MS:NCA9'!AE29),_xlpm.states,_xlfn.VSTACK('MS:NCA9'!$B$2),
SUM(_xlfn._xlws.FILTER(_xlpm.data,(_xlpm.states="North Carolina")+(_xlpm.states="Arizona")+(_xlpm.states="Maryland"))))</f>
        <v>61618.165810560007</v>
      </c>
      <c r="AF29" s="12" cm="1">
        <f t="array" ref="AF29">_xlfn.LET(_xlpm.data,_xlfn.VSTACK('MS:NCA9'!AF29),_xlpm.states,_xlfn.VSTACK('MS:NCA9'!$B$2),
SUM(_xlfn._xlws.FILTER(_xlpm.data,(_xlpm.states="North Carolina")+(_xlpm.states="Arizona")+(_xlpm.states="Maryland"))))</f>
        <v>62328.561841080009</v>
      </c>
      <c r="AG29" s="12" cm="1">
        <f t="array" ref="AG29">_xlfn.LET(_xlpm.data,_xlfn.VSTACK('MS:NCA9'!AG29),_xlpm.states,_xlfn.VSTACK('MS:NCA9'!$B$2),
SUM(_xlfn._xlws.FILTER(_xlpm.data,(_xlpm.states="North Carolina")+(_xlpm.states="Arizona")+(_xlpm.states="Maryland"))))</f>
        <v>63127.347173280003</v>
      </c>
      <c r="AH29" s="12" cm="1">
        <f t="array" ref="AH29">_xlfn.LET(_xlpm.data,_xlfn.VSTACK('MS:NCA9'!AH29),_xlpm.states,_xlfn.VSTACK('MS:NCA9'!$B$2),
SUM(_xlfn._xlws.FILTER(_xlpm.data,(_xlpm.states="North Carolina")+(_xlpm.states="Arizona")+(_xlpm.states="Maryland"))))</f>
        <v>64370.266758600003</v>
      </c>
      <c r="AI29" s="12" cm="1">
        <f t="array" ref="AI29">_xlfn.LET(_xlpm.data,_xlfn.VSTACK('MS:NCA9'!AI29),_xlpm.states,_xlfn.VSTACK('MS:NCA9'!$B$2),
SUM(_xlfn._xlws.FILTER(_xlpm.data,(_xlpm.states="North Carolina")+(_xlpm.states="Arizona")+(_xlpm.states="Maryland"))))</f>
        <v>65702.669517960021</v>
      </c>
      <c r="AJ29" s="12" cm="1">
        <f t="array" ref="AJ29">_xlfn.LET(_xlpm.data,_xlfn.VSTACK('MS:NCA9'!AJ29),_xlpm.states,_xlfn.VSTACK('MS:NCA9'!$B$2),
SUM(_xlfn._xlws.FILTER(_xlpm.data,(_xlpm.states="North Carolina")+(_xlpm.states="Arizona")+(_xlpm.states="Maryland"))))</f>
        <v>66946.682975640011</v>
      </c>
      <c r="AK29" s="12" cm="1">
        <f t="array" ref="AK29">_xlfn.LET(_xlpm.data,_xlfn.VSTACK('MS:NCA9'!AK29),_xlpm.states,_xlfn.VSTACK('MS:NCA9'!$B$2),
SUM(_xlfn._xlws.FILTER(_xlpm.data,(_xlpm.states="North Carolina")+(_xlpm.states="Arizona")+(_xlpm.states="Maryland"))))</f>
        <v>68013.917829960017</v>
      </c>
      <c r="AL29" s="12" cm="1">
        <f t="array" ref="AL29">_xlfn.LET(_xlpm.data,_xlfn.VSTACK('MS:NCA9'!AL29),_xlpm.states,_xlfn.VSTACK('MS:NCA9'!$B$2),
SUM(_xlfn._xlws.FILTER(_xlpm.data,(_xlpm.states="North Carolina")+(_xlpm.states="Arizona")+(_xlpm.states="Maryland"))))</f>
        <v>68812.703162160018</v>
      </c>
      <c r="AM29" s="12" cm="1">
        <f t="array" ref="AM29">_xlfn.LET(_xlpm.data,_xlfn.VSTACK('MS:NCA9'!AM29),_xlpm.states,_xlfn.VSTACK('MS:NCA9'!$B$2),
SUM(_xlfn._xlws.FILTER(_xlpm.data,(_xlpm.states="North Carolina")+(_xlpm.states="Arizona")+(_xlpm.states="Maryland"))))</f>
        <v>69611.488494360019</v>
      </c>
      <c r="AN29" s="12" cm="1">
        <f t="array" ref="AN29">_xlfn.LET(_xlpm.data,_xlfn.VSTACK('MS:NCA9'!AN29),_xlpm.states,_xlfn.VSTACK('MS:NCA9'!$B$2),
SUM(_xlfn._xlws.FILTER(_xlpm.data,(_xlpm.states="North Carolina")+(_xlpm.states="Arizona")+(_xlpm.states="Maryland"))))</f>
        <v>70321.884524880021</v>
      </c>
    </row>
    <row r="30" spans="2:40" outlineLevel="1" x14ac:dyDescent="0.25">
      <c r="B30" s="39" t="s">
        <v>452</v>
      </c>
      <c r="E30" s="12" cm="1">
        <f t="array" ref="E30">_xlfn.LET(_xlpm.data,_xlfn.VSTACK('MS:NCA9'!E30),_xlpm.states,_xlfn.VSTACK('MS:NCA9'!$B$2),
SUM(_xlfn._xlws.FILTER(_xlpm.data,(_xlpm.states="North Carolina")+(_xlpm.states="Arizona")+(_xlpm.states="Maryland"))))</f>
        <v>59446.638762666655</v>
      </c>
      <c r="F30" s="12" cm="1">
        <f t="array" ref="F30">_xlfn.LET(_xlpm.data,_xlfn.VSTACK('MS:NCA9'!F30),_xlpm.states,_xlfn.VSTACK('MS:NCA9'!$B$2),
SUM(_xlfn._xlws.FILTER(_xlpm.data,(_xlpm.states="North Carolina")+(_xlpm.states="Arizona")+(_xlpm.states="Maryland"))))</f>
        <v>60995.438911999998</v>
      </c>
      <c r="G30" s="12" cm="1">
        <f t="array" ref="G30">_xlfn.LET(_xlpm.data,_xlfn.VSTACK('MS:NCA9'!G30),_xlpm.states,_xlfn.VSTACK('MS:NCA9'!$B$2),
SUM(_xlfn._xlws.FILTER(_xlpm.data,(_xlpm.states="North Carolina")+(_xlpm.states="Arizona")+(_xlpm.states="Maryland"))))</f>
        <v>62745.099765333332</v>
      </c>
      <c r="H30" s="12" cm="1">
        <f t="array" ref="H30">_xlfn.LET(_xlpm.data,_xlfn.VSTACK('MS:NCA9'!H30),_xlpm.states,_xlfn.VSTACK('MS:NCA9'!$B$2),
SUM(_xlfn._xlws.FILTER(_xlpm.data,(_xlpm.states="North Carolina")+(_xlpm.states="Arizona")+(_xlpm.states="Maryland"))))</f>
        <v>63984.864010666657</v>
      </c>
      <c r="I30" s="12" cm="1">
        <f t="array" ref="I30">_xlfn.LET(_xlpm.data,_xlfn.VSTACK('MS:NCA9'!I30),_xlpm.states,_xlfn.VSTACK('MS:NCA9'!$B$2),
SUM(_xlfn._xlws.FILTER(_xlpm.data,(_xlpm.states="North Carolina")+(_xlpm.states="Arizona")+(_xlpm.states="Maryland"))))</f>
        <v>65037.383765333332</v>
      </c>
      <c r="J30" s="12" cm="1">
        <f t="array" ref="J30">_xlfn.LET(_xlpm.data,_xlfn.VSTACK('MS:NCA9'!J30),_xlpm.states,_xlfn.VSTACK('MS:NCA9'!$B$2),
SUM(_xlfn._xlws.FILTER(_xlpm.data,(_xlpm.states="North Carolina")+(_xlpm.states="Arizona")+(_xlpm.states="Maryland"))))</f>
        <v>66941.562570666661</v>
      </c>
      <c r="K30" s="12" cm="1">
        <f t="array" ref="K30">_xlfn.LET(_xlpm.data,_xlfn.VSTACK('MS:NCA9'!K30),_xlpm.states,_xlfn.VSTACK('MS:NCA9'!$B$2),
SUM(_xlfn._xlws.FILTER(_xlpm.data,(_xlpm.states="North Carolina")+(_xlpm.states="Arizona")+(_xlpm.states="Maryland"))))</f>
        <v>70401.903103999997</v>
      </c>
      <c r="L30" s="12" cm="1">
        <f t="array" ref="L30">_xlfn.LET(_xlpm.data,_xlfn.VSTACK('MS:NCA9'!L30),_xlpm.states,_xlfn.VSTACK('MS:NCA9'!$B$2),
SUM(_xlfn._xlws.FILTER(_xlpm.data,(_xlpm.states="North Carolina")+(_xlpm.states="Arizona")+(_xlpm.states="Maryland"))))</f>
        <v>72105.221205333321</v>
      </c>
      <c r="M30" s="12" cm="1">
        <f t="array" ref="M30">_xlfn.LET(_xlpm.data,_xlfn.VSTACK('MS:NCA9'!M30),_xlpm.states,_xlfn.VSTACK('MS:NCA9'!$B$2),
SUM(_xlfn._xlws.FILTER(_xlpm.data,(_xlpm.states="North Carolina")+(_xlpm.states="Arizona")+(_xlpm.states="Maryland"))))</f>
        <v>74009.400010666664</v>
      </c>
      <c r="N30" s="12" cm="1">
        <f t="array" ref="N30">_xlfn.LET(_xlpm.data,_xlfn.VSTACK('MS:NCA9'!N30),_xlpm.states,_xlfn.VSTACK('MS:NCA9'!$B$2),
SUM(_xlfn._xlws.FILTER(_xlpm.data,(_xlpm.states="North Carolina")+(_xlpm.states="Arizona")+(_xlpm.states="Maryland"))))</f>
        <v>76259.296277333342</v>
      </c>
      <c r="O30" s="12" cm="1">
        <f t="array" ref="O30">_xlfn.LET(_xlpm.data,_xlfn.VSTACK('MS:NCA9'!O30),_xlpm.states,_xlfn.VSTACK('MS:NCA9'!$B$2),
SUM(_xlfn._xlws.FILTER(_xlpm.data,(_xlpm.states="North Carolina")+(_xlpm.states="Arizona")+(_xlpm.states="Maryland"))))</f>
        <v>78908.830410666676</v>
      </c>
      <c r="P30" s="12" cm="1">
        <f t="array" ref="P30">_xlfn.LET(_xlpm.data,_xlfn.VSTACK('MS:NCA9'!P30),_xlpm.states,_xlfn.VSTACK('MS:NCA9'!$B$2),
SUM(_xlfn._xlws.FILTER(_xlpm.data,(_xlpm.states="North Carolina")+(_xlpm.states="Arizona")+(_xlpm.states="Maryland"))))</f>
        <v>81913.743200000012</v>
      </c>
      <c r="Q30" s="12" cm="1">
        <f t="array" ref="Q30">_xlfn.LET(_xlpm.data,_xlfn.VSTACK('MS:NCA9'!Q30),_xlpm.states,_xlfn.VSTACK('MS:NCA9'!$B$2),
SUM(_xlfn._xlws.FILTER(_xlpm.data,(_xlpm.states="North Carolina")+(_xlpm.states="Arizona")+(_xlpm.states="Maryland"))))</f>
        <v>87038.417919040003</v>
      </c>
      <c r="R30" s="12" cm="1">
        <f t="array" ref="R30">_xlfn.LET(_xlpm.data,_xlfn.VSTACK('MS:NCA9'!R30),_xlpm.states,_xlfn.VSTACK('MS:NCA9'!$B$2),
SUM(_xlfn._xlws.FILTER(_xlpm.data,(_xlpm.states="North Carolina")+(_xlpm.states="Arizona")+(_xlpm.states="Maryland"))))</f>
        <v>89679.77699018667</v>
      </c>
      <c r="S30" s="12" cm="1">
        <f t="array" ref="S30">_xlfn.LET(_xlpm.data,_xlfn.VSTACK('MS:NCA9'!S30),_xlpm.states,_xlfn.VSTACK('MS:NCA9'!$B$2),
SUM(_xlfn._xlws.FILTER(_xlpm.data,(_xlpm.states="North Carolina")+(_xlpm.states="Arizona")+(_xlpm.states="Maryland"))))</f>
        <v>91995.024097280009</v>
      </c>
      <c r="T30" s="12" cm="1">
        <f t="array" ref="T30">_xlfn.LET(_xlpm.data,_xlfn.VSTACK('MS:NCA9'!T30),_xlpm.states,_xlfn.VSTACK('MS:NCA9'!$B$2),
SUM(_xlfn._xlws.FILTER(_xlpm.data,(_xlpm.states="North Carolina")+(_xlpm.states="Arizona")+(_xlpm.states="Maryland"))))</f>
        <v>94276.562869546673</v>
      </c>
      <c r="U30" s="12" cm="1">
        <f t="array" ref="U30">_xlfn.LET(_xlpm.data,_xlfn.VSTACK('MS:NCA9'!U30),_xlpm.states,_xlfn.VSTACK('MS:NCA9'!$B$2),
SUM(_xlfn._xlws.FILTER(_xlpm.data,(_xlpm.states="North Carolina")+(_xlpm.states="Arizona")+(_xlpm.states="Maryland"))))</f>
        <v>96591.809976639997</v>
      </c>
      <c r="V30" s="12" cm="1">
        <f t="array" ref="V30">_xlfn.LET(_xlpm.data,_xlfn.VSTACK('MS:NCA9'!V30),_xlpm.states,_xlfn.VSTACK('MS:NCA9'!$B$2),
SUM(_xlfn._xlws.FILTER(_xlpm.data,(_xlpm.states="North Carolina")+(_xlpm.states="Arizona")+(_xlpm.states="Maryland"))))</f>
        <v>99066.21057429332</v>
      </c>
      <c r="W30" s="12" cm="1">
        <f t="array" ref="W30">_xlfn.LET(_xlpm.data,_xlfn.VSTACK('MS:NCA9'!W30),_xlpm.states,_xlfn.VSTACK('MS:NCA9'!$B$2),
SUM(_xlfn._xlws.FILTER(_xlpm.data,(_xlpm.states="North Carolina")+(_xlpm.states="Arizona")+(_xlpm.states="Maryland"))))</f>
        <v>101858.91815306664</v>
      </c>
      <c r="X30" s="12" cm="1">
        <f t="array" ref="X30">_xlfn.LET(_xlpm.data,_xlfn.VSTACK('MS:NCA9'!X30),_xlpm.states,_xlfn.VSTACK('MS:NCA9'!$B$2),
SUM(_xlfn._xlws.FILTER(_xlpm.data,(_xlpm.states="North Carolina")+(_xlpm.states="Arizona")+(_xlpm.states="Maryland"))))</f>
        <v>104554.22997557334</v>
      </c>
      <c r="Y30" s="12" cm="1">
        <f t="array" ref="Y30">_xlfn.LET(_xlpm.data,_xlfn.VSTACK('MS:NCA9'!Y30),_xlpm.states,_xlfn.VSTACK('MS:NCA9'!$B$2),
SUM(_xlfn._xlws.FILTER(_xlpm.data,(_xlpm.states="North Carolina")+(_xlpm.states="Arizona")+(_xlpm.states="Maryland"))))</f>
        <v>106992.99461674667</v>
      </c>
      <c r="Z30" s="12" cm="1">
        <f t="array" ref="Z30">_xlfn.LET(_xlpm.data,_xlfn.VSTACK('MS:NCA9'!Z30),_xlpm.states,_xlfn.VSTACK('MS:NCA9'!$B$2),
SUM(_xlfn._xlws.FILTER(_xlpm.data,(_xlpm.states="North Carolina")+(_xlpm.states="Arizona")+(_xlpm.states="Maryland"))))</f>
        <v>109431.75925791998</v>
      </c>
      <c r="AA30" s="12" cm="1">
        <f t="array" ref="AA30">_xlfn.LET(_xlpm.data,_xlfn.VSTACK('MS:NCA9'!AA30),_xlpm.states,_xlfn.VSTACK('MS:NCA9'!$B$2),
SUM(_xlfn._xlws.FILTER(_xlpm.data,(_xlpm.states="North Carolina")+(_xlpm.states="Arizona")+(_xlpm.states="Maryland"))))</f>
        <v>111677.66207370668</v>
      </c>
      <c r="AB30" s="12" cm="1">
        <f t="array" ref="AB30">_xlfn.LET(_xlpm.data,_xlfn.VSTACK('MS:NCA9'!AB30),_xlpm.states,_xlfn.VSTACK('MS:NCA9'!$B$2),
SUM(_xlfn._xlws.FILTER(_xlpm.data,(_xlpm.states="North Carolina")+(_xlpm.states="Arizona")+(_xlpm.states="Maryland"))))</f>
        <v>113479.81275264001</v>
      </c>
      <c r="AC30" s="12" cm="1">
        <f t="array" ref="AC30">_xlfn.LET(_xlpm.data,_xlfn.VSTACK('MS:NCA9'!AC30),_xlpm.states,_xlfn.VSTACK('MS:NCA9'!$B$2),
SUM(_xlfn._xlws.FILTER(_xlpm.data,(_xlpm.states="North Carolina")+(_xlpm.states="Arizona")+(_xlpm.states="Maryland"))))</f>
        <v>115441.11692213333</v>
      </c>
      <c r="AD30" s="12" cm="1">
        <f t="array" ref="AD30">_xlfn.LET(_xlpm.data,_xlfn.VSTACK('MS:NCA9'!AD30),_xlpm.states,_xlfn.VSTACK('MS:NCA9'!$B$2),
SUM(_xlfn._xlws.FILTER(_xlpm.data,(_xlpm.states="North Carolina")+(_xlpm.states="Arizona")+(_xlpm.states="Maryland"))))</f>
        <v>117402.42109162667</v>
      </c>
      <c r="AE30" s="12" cm="1">
        <f t="array" ref="AE30">_xlfn.LET(_xlpm.data,_xlfn.VSTACK('MS:NCA9'!AE30),_xlpm.states,_xlfn.VSTACK('MS:NCA9'!$B$2),
SUM(_xlfn._xlws.FILTER(_xlpm.data,(_xlpm.states="North Carolina")+(_xlpm.states="Arizona")+(_xlpm.states="Maryland"))))</f>
        <v>118771.11508522667</v>
      </c>
      <c r="AF30" s="12" cm="1">
        <f t="array" ref="AF30">_xlfn.LET(_xlpm.data,_xlfn.VSTACK('MS:NCA9'!AF30),_xlpm.states,_xlfn.VSTACK('MS:NCA9'!$B$2),
SUM(_xlfn._xlws.FILTER(_xlpm.data,(_xlpm.states="North Carolina")+(_xlpm.states="Arizona")+(_xlpm.states="Maryland"))))</f>
        <v>120187.54211338666</v>
      </c>
      <c r="AG30" s="12" cm="1">
        <f t="array" ref="AG30">_xlfn.LET(_xlpm.data,_xlfn.VSTACK('MS:NCA9'!AG30),_xlpm.states,_xlfn.VSTACK('MS:NCA9'!$B$2),
SUM(_xlfn._xlws.FILTER(_xlpm.data,(_xlpm.states="North Carolina")+(_xlpm.states="Arizona")+(_xlpm.states="Maryland"))))</f>
        <v>121763.12263210666</v>
      </c>
      <c r="AH30" s="12" cm="1">
        <f t="array" ref="AH30">_xlfn.LET(_xlpm.data,_xlfn.VSTACK('MS:NCA9'!AH30),_xlpm.states,_xlfn.VSTACK('MS:NCA9'!$B$2),
SUM(_xlfn._xlws.FILTER(_xlpm.data,(_xlpm.states="North Carolina")+(_xlpm.states="Arizona")+(_xlpm.states="Maryland"))))</f>
        <v>124229.93667274665</v>
      </c>
      <c r="AI30" s="12" cm="1">
        <f t="array" ref="AI30">_xlfn.LET(_xlpm.data,_xlfn.VSTACK('MS:NCA9'!AI30),_xlpm.states,_xlfn.VSTACK('MS:NCA9'!$B$2),
SUM(_xlfn._xlws.FILTER(_xlpm.data,(_xlpm.states="North Carolina")+(_xlpm.states="Arizona")+(_xlpm.states="Maryland"))))</f>
        <v>126903.63723850666</v>
      </c>
      <c r="AJ30" s="12" cm="1">
        <f t="array" ref="AJ30">_xlfn.LET(_xlpm.data,_xlfn.VSTACK('MS:NCA9'!AJ30),_xlpm.states,_xlfn.VSTACK('MS:NCA9'!$B$2),
SUM(_xlfn._xlws.FILTER(_xlpm.data,(_xlpm.states="North Carolina")+(_xlpm.states="Arizona")+(_xlpm.states="Maryland"))))</f>
        <v>129418.18431370668</v>
      </c>
      <c r="AK30" s="12" cm="1">
        <f t="array" ref="AK30">_xlfn.LET(_xlpm.data,_xlfn.VSTACK('MS:NCA9'!AK30),_xlpm.states,_xlfn.VSTACK('MS:NCA9'!$B$2),
SUM(_xlfn._xlws.FILTER(_xlpm.data,(_xlpm.states="North Carolina")+(_xlpm.states="Arizona")+(_xlpm.states="Maryland"))))</f>
        <v>131614.42440778669</v>
      </c>
      <c r="AL30" s="12" cm="1">
        <f t="array" ref="AL30">_xlfn.LET(_xlpm.data,_xlfn.VSTACK('MS:NCA9'!AL30),_xlpm.states,_xlfn.VSTACK('MS:NCA9'!$B$2),
SUM(_xlfn._xlws.FILTER(_xlpm.data,(_xlpm.states="North Carolina")+(_xlpm.states="Arizona")+(_xlpm.states="Maryland"))))</f>
        <v>133190.00492650666</v>
      </c>
      <c r="AM30" s="12" cm="1">
        <f t="array" ref="AM30">_xlfn.LET(_xlpm.data,_xlfn.VSTACK('MS:NCA9'!AM30),_xlpm.states,_xlfn.VSTACK('MS:NCA9'!$B$2),
SUM(_xlfn._xlws.FILTER(_xlpm.data,(_xlpm.states="North Carolina")+(_xlpm.states="Arizona")+(_xlpm.states="Maryland"))))</f>
        <v>134765.58544522666</v>
      </c>
      <c r="AN30" s="12" cm="1">
        <f t="array" ref="AN30">_xlfn.LET(_xlpm.data,_xlfn.VSTACK('MS:NCA9'!AN30),_xlpm.states,_xlfn.VSTACK('MS:NCA9'!$B$2),
SUM(_xlfn._xlws.FILTER(_xlpm.data,(_xlpm.states="North Carolina")+(_xlpm.states="Arizona")+(_xlpm.states="Maryland"))))</f>
        <v>136182.01247338665</v>
      </c>
    </row>
    <row r="31" spans="2:40" outlineLevel="1" x14ac:dyDescent="0.25">
      <c r="B31" s="39" t="s">
        <v>473</v>
      </c>
      <c r="E31" s="12" cm="1">
        <f t="array" ref="E31">_xlfn.LET(_xlpm.data,_xlfn.VSTACK('MS:NCA9'!E31),_xlpm.states,_xlfn.VSTACK('MS:NCA9'!$B$2),
SUM(_xlfn._xlws.FILTER(_xlpm.data,(_xlpm.states="North Carolina")+(_xlpm.states="Arizona")+(_xlpm.states="Maryland"))))</f>
        <v>0</v>
      </c>
      <c r="F31" s="12" cm="1">
        <f t="array" ref="F31">_xlfn.LET(_xlpm.data,_xlfn.VSTACK('MS:NCA9'!F31),_xlpm.states,_xlfn.VSTACK('MS:NCA9'!$B$2),
SUM(_xlfn._xlws.FILTER(_xlpm.data,(_xlpm.states="North Carolina")+(_xlpm.states="Arizona")+(_xlpm.states="Maryland"))))</f>
        <v>0</v>
      </c>
      <c r="G31" s="12" cm="1">
        <f t="array" ref="G31">_xlfn.LET(_xlpm.data,_xlfn.VSTACK('MS:NCA9'!G31),_xlpm.states,_xlfn.VSTACK('MS:NCA9'!$B$2),
SUM(_xlfn._xlws.FILTER(_xlpm.data,(_xlpm.states="North Carolina")+(_xlpm.states="Arizona")+(_xlpm.states="Maryland"))))</f>
        <v>0</v>
      </c>
      <c r="H31" s="12" cm="1">
        <f t="array" ref="H31">_xlfn.LET(_xlpm.data,_xlfn.VSTACK('MS:NCA9'!H31),_xlpm.states,_xlfn.VSTACK('MS:NCA9'!$B$2),
SUM(_xlfn._xlws.FILTER(_xlpm.data,(_xlpm.states="North Carolina")+(_xlpm.states="Arizona")+(_xlpm.states="Maryland"))))</f>
        <v>0</v>
      </c>
      <c r="I31" s="12" cm="1">
        <f t="array" ref="I31">_xlfn.LET(_xlpm.data,_xlfn.VSTACK('MS:NCA9'!I31),_xlpm.states,_xlfn.VSTACK('MS:NCA9'!$B$2),
SUM(_xlfn._xlws.FILTER(_xlpm.data,(_xlpm.states="North Carolina")+(_xlpm.states="Arizona")+(_xlpm.states="Maryland"))))</f>
        <v>0</v>
      </c>
      <c r="J31" s="12" cm="1">
        <f t="array" ref="J31">_xlfn.LET(_xlpm.data,_xlfn.VSTACK('MS:NCA9'!J31),_xlpm.states,_xlfn.VSTACK('MS:NCA9'!$B$2),
SUM(_xlfn._xlws.FILTER(_xlpm.data,(_xlpm.states="North Carolina")+(_xlpm.states="Arizona")+(_xlpm.states="Maryland"))))</f>
        <v>0</v>
      </c>
      <c r="K31" s="12" cm="1">
        <f t="array" ref="K31">_xlfn.LET(_xlpm.data,_xlfn.VSTACK('MS:NCA9'!K31),_xlpm.states,_xlfn.VSTACK('MS:NCA9'!$B$2),
SUM(_xlfn._xlws.FILTER(_xlpm.data,(_xlpm.states="North Carolina")+(_xlpm.states="Arizona")+(_xlpm.states="Maryland"))))</f>
        <v>0</v>
      </c>
      <c r="L31" s="12" cm="1">
        <f t="array" ref="L31">_xlfn.LET(_xlpm.data,_xlfn.VSTACK('MS:NCA9'!L31),_xlpm.states,_xlfn.VSTACK('MS:NCA9'!$B$2),
SUM(_xlfn._xlws.FILTER(_xlpm.data,(_xlpm.states="North Carolina")+(_xlpm.states="Arizona")+(_xlpm.states="Maryland"))))</f>
        <v>0</v>
      </c>
      <c r="M31" s="12" cm="1">
        <f t="array" ref="M31">_xlfn.LET(_xlpm.data,_xlfn.VSTACK('MS:NCA9'!M31),_xlpm.states,_xlfn.VSTACK('MS:NCA9'!$B$2),
SUM(_xlfn._xlws.FILTER(_xlpm.data,(_xlpm.states="North Carolina")+(_xlpm.states="Arizona")+(_xlpm.states="Maryland"))))</f>
        <v>0</v>
      </c>
      <c r="N31" s="12" cm="1">
        <f t="array" ref="N31">_xlfn.LET(_xlpm.data,_xlfn.VSTACK('MS:NCA9'!N31),_xlpm.states,_xlfn.VSTACK('MS:NCA9'!$B$2),
SUM(_xlfn._xlws.FILTER(_xlpm.data,(_xlpm.states="North Carolina")+(_xlpm.states="Arizona")+(_xlpm.states="Maryland"))))</f>
        <v>0</v>
      </c>
      <c r="O31" s="12" cm="1">
        <f t="array" ref="O31">_xlfn.LET(_xlpm.data,_xlfn.VSTACK('MS:NCA9'!O31),_xlpm.states,_xlfn.VSTACK('MS:NCA9'!$B$2),
SUM(_xlfn._xlws.FILTER(_xlpm.data,(_xlpm.states="North Carolina")+(_xlpm.states="Arizona")+(_xlpm.states="Maryland"))))</f>
        <v>0</v>
      </c>
      <c r="P31" s="12" cm="1">
        <f t="array" ref="P31">_xlfn.LET(_xlpm.data,_xlfn.VSTACK('MS:NCA9'!P31),_xlpm.states,_xlfn.VSTACK('MS:NCA9'!$B$2),
SUM(_xlfn._xlws.FILTER(_xlpm.data,(_xlpm.states="North Carolina")+(_xlpm.states="Arizona")+(_xlpm.states="Maryland"))))</f>
        <v>0</v>
      </c>
      <c r="Q31" s="12" cm="1">
        <f t="array" ref="Q31">_xlfn.LET(_xlpm.data,_xlfn.VSTACK('MS:NCA9'!Q31),_xlpm.states,_xlfn.VSTACK('MS:NCA9'!$B$2),
SUM(_xlfn._xlws.FILTER(_xlpm.data,(_xlpm.states="North Carolina")+(_xlpm.states="Arizona")+(_xlpm.states="Maryland"))))</f>
        <v>0</v>
      </c>
      <c r="R31" s="12" cm="1">
        <f t="array" ref="R31">_xlfn.LET(_xlpm.data,_xlfn.VSTACK('MS:NCA9'!R31),_xlpm.states,_xlfn.VSTACK('MS:NCA9'!$B$2),
SUM(_xlfn._xlws.FILTER(_xlpm.data,(_xlpm.states="North Carolina")+(_xlpm.states="Arizona")+(_xlpm.states="Maryland"))))</f>
        <v>0</v>
      </c>
      <c r="S31" s="12" cm="1">
        <f t="array" ref="S31">_xlfn.LET(_xlpm.data,_xlfn.VSTACK('MS:NCA9'!S31),_xlpm.states,_xlfn.VSTACK('MS:NCA9'!$B$2),
SUM(_xlfn._xlws.FILTER(_xlpm.data,(_xlpm.states="North Carolina")+(_xlpm.states="Arizona")+(_xlpm.states="Maryland"))))</f>
        <v>0</v>
      </c>
      <c r="T31" s="12" cm="1">
        <f t="array" ref="T31">_xlfn.LET(_xlpm.data,_xlfn.VSTACK('MS:NCA9'!T31),_xlpm.states,_xlfn.VSTACK('MS:NCA9'!$B$2),
SUM(_xlfn._xlws.FILTER(_xlpm.data,(_xlpm.states="North Carolina")+(_xlpm.states="Arizona")+(_xlpm.states="Maryland"))))</f>
        <v>0</v>
      </c>
      <c r="U31" s="12" cm="1">
        <f t="array" ref="U31">_xlfn.LET(_xlpm.data,_xlfn.VSTACK('MS:NCA9'!U31),_xlpm.states,_xlfn.VSTACK('MS:NCA9'!$B$2),
SUM(_xlfn._xlws.FILTER(_xlpm.data,(_xlpm.states="North Carolina")+(_xlpm.states="Arizona")+(_xlpm.states="Maryland"))))</f>
        <v>0</v>
      </c>
      <c r="V31" s="12" cm="1">
        <f t="array" ref="V31">_xlfn.LET(_xlpm.data,_xlfn.VSTACK('MS:NCA9'!V31),_xlpm.states,_xlfn.VSTACK('MS:NCA9'!$B$2),
SUM(_xlfn._xlws.FILTER(_xlpm.data,(_xlpm.states="North Carolina")+(_xlpm.states="Arizona")+(_xlpm.states="Maryland"))))</f>
        <v>0</v>
      </c>
      <c r="W31" s="12" cm="1">
        <f t="array" ref="W31">_xlfn.LET(_xlpm.data,_xlfn.VSTACK('MS:NCA9'!W31),_xlpm.states,_xlfn.VSTACK('MS:NCA9'!$B$2),
SUM(_xlfn._xlws.FILTER(_xlpm.data,(_xlpm.states="North Carolina")+(_xlpm.states="Arizona")+(_xlpm.states="Maryland"))))</f>
        <v>0</v>
      </c>
      <c r="X31" s="12" cm="1">
        <f t="array" ref="X31">_xlfn.LET(_xlpm.data,_xlfn.VSTACK('MS:NCA9'!X31),_xlpm.states,_xlfn.VSTACK('MS:NCA9'!$B$2),
SUM(_xlfn._xlws.FILTER(_xlpm.data,(_xlpm.states="North Carolina")+(_xlpm.states="Arizona")+(_xlpm.states="Maryland"))))</f>
        <v>0</v>
      </c>
      <c r="Y31" s="12" cm="1">
        <f t="array" ref="Y31">_xlfn.LET(_xlpm.data,_xlfn.VSTACK('MS:NCA9'!Y31),_xlpm.states,_xlfn.VSTACK('MS:NCA9'!$B$2),
SUM(_xlfn._xlws.FILTER(_xlpm.data,(_xlpm.states="North Carolina")+(_xlpm.states="Arizona")+(_xlpm.states="Maryland"))))</f>
        <v>0</v>
      </c>
      <c r="Z31" s="12" cm="1">
        <f t="array" ref="Z31">_xlfn.LET(_xlpm.data,_xlfn.VSTACK('MS:NCA9'!Z31),_xlpm.states,_xlfn.VSTACK('MS:NCA9'!$B$2),
SUM(_xlfn._xlws.FILTER(_xlpm.data,(_xlpm.states="North Carolina")+(_xlpm.states="Arizona")+(_xlpm.states="Maryland"))))</f>
        <v>0</v>
      </c>
      <c r="AA31" s="12" cm="1">
        <f t="array" ref="AA31">_xlfn.LET(_xlpm.data,_xlfn.VSTACK('MS:NCA9'!AA31),_xlpm.states,_xlfn.VSTACK('MS:NCA9'!$B$2),
SUM(_xlfn._xlws.FILTER(_xlpm.data,(_xlpm.states="North Carolina")+(_xlpm.states="Arizona")+(_xlpm.states="Maryland"))))</f>
        <v>0</v>
      </c>
      <c r="AB31" s="12" cm="1">
        <f t="array" ref="AB31">_xlfn.LET(_xlpm.data,_xlfn.VSTACK('MS:NCA9'!AB31),_xlpm.states,_xlfn.VSTACK('MS:NCA9'!$B$2),
SUM(_xlfn._xlws.FILTER(_xlpm.data,(_xlpm.states="North Carolina")+(_xlpm.states="Arizona")+(_xlpm.states="Maryland"))))</f>
        <v>0</v>
      </c>
      <c r="AC31" s="12" cm="1">
        <f t="array" ref="AC31">_xlfn.LET(_xlpm.data,_xlfn.VSTACK('MS:NCA9'!AC31),_xlpm.states,_xlfn.VSTACK('MS:NCA9'!$B$2),
SUM(_xlfn._xlws.FILTER(_xlpm.data,(_xlpm.states="North Carolina")+(_xlpm.states="Arizona")+(_xlpm.states="Maryland"))))</f>
        <v>0</v>
      </c>
      <c r="AD31" s="12" cm="1">
        <f t="array" ref="AD31">_xlfn.LET(_xlpm.data,_xlfn.VSTACK('MS:NCA9'!AD31),_xlpm.states,_xlfn.VSTACK('MS:NCA9'!$B$2),
SUM(_xlfn._xlws.FILTER(_xlpm.data,(_xlpm.states="North Carolina")+(_xlpm.states="Arizona")+(_xlpm.states="Maryland"))))</f>
        <v>0</v>
      </c>
      <c r="AE31" s="12" cm="1">
        <f t="array" ref="AE31">_xlfn.LET(_xlpm.data,_xlfn.VSTACK('MS:NCA9'!AE31),_xlpm.states,_xlfn.VSTACK('MS:NCA9'!$B$2),
SUM(_xlfn._xlws.FILTER(_xlpm.data,(_xlpm.states="North Carolina")+(_xlpm.states="Arizona")+(_xlpm.states="Maryland"))))</f>
        <v>0</v>
      </c>
      <c r="AF31" s="12" cm="1">
        <f t="array" ref="AF31">_xlfn.LET(_xlpm.data,_xlfn.VSTACK('MS:NCA9'!AF31),_xlpm.states,_xlfn.VSTACK('MS:NCA9'!$B$2),
SUM(_xlfn._xlws.FILTER(_xlpm.data,(_xlpm.states="North Carolina")+(_xlpm.states="Arizona")+(_xlpm.states="Maryland"))))</f>
        <v>0</v>
      </c>
      <c r="AG31" s="12" cm="1">
        <f t="array" ref="AG31">_xlfn.LET(_xlpm.data,_xlfn.VSTACK('MS:NCA9'!AG31),_xlpm.states,_xlfn.VSTACK('MS:NCA9'!$B$2),
SUM(_xlfn._xlws.FILTER(_xlpm.data,(_xlpm.states="North Carolina")+(_xlpm.states="Arizona")+(_xlpm.states="Maryland"))))</f>
        <v>0</v>
      </c>
      <c r="AH31" s="12" cm="1">
        <f t="array" ref="AH31">_xlfn.LET(_xlpm.data,_xlfn.VSTACK('MS:NCA9'!AH31),_xlpm.states,_xlfn.VSTACK('MS:NCA9'!$B$2),
SUM(_xlfn._xlws.FILTER(_xlpm.data,(_xlpm.states="North Carolina")+(_xlpm.states="Arizona")+(_xlpm.states="Maryland"))))</f>
        <v>0</v>
      </c>
      <c r="AI31" s="12" cm="1">
        <f t="array" ref="AI31">_xlfn.LET(_xlpm.data,_xlfn.VSTACK('MS:NCA9'!AI31),_xlpm.states,_xlfn.VSTACK('MS:NCA9'!$B$2),
SUM(_xlfn._xlws.FILTER(_xlpm.data,(_xlpm.states="North Carolina")+(_xlpm.states="Arizona")+(_xlpm.states="Maryland"))))</f>
        <v>0</v>
      </c>
      <c r="AJ31" s="12" cm="1">
        <f t="array" ref="AJ31">_xlfn.LET(_xlpm.data,_xlfn.VSTACK('MS:NCA9'!AJ31),_xlpm.states,_xlfn.VSTACK('MS:NCA9'!$B$2),
SUM(_xlfn._xlws.FILTER(_xlpm.data,(_xlpm.states="North Carolina")+(_xlpm.states="Arizona")+(_xlpm.states="Maryland"))))</f>
        <v>0</v>
      </c>
      <c r="AK31" s="12" cm="1">
        <f t="array" ref="AK31">_xlfn.LET(_xlpm.data,_xlfn.VSTACK('MS:NCA9'!AK31),_xlpm.states,_xlfn.VSTACK('MS:NCA9'!$B$2),
SUM(_xlfn._xlws.FILTER(_xlpm.data,(_xlpm.states="North Carolina")+(_xlpm.states="Arizona")+(_xlpm.states="Maryland"))))</f>
        <v>0</v>
      </c>
      <c r="AL31" s="12" cm="1">
        <f t="array" ref="AL31">_xlfn.LET(_xlpm.data,_xlfn.VSTACK('MS:NCA9'!AL31),_xlpm.states,_xlfn.VSTACK('MS:NCA9'!$B$2),
SUM(_xlfn._xlws.FILTER(_xlpm.data,(_xlpm.states="North Carolina")+(_xlpm.states="Arizona")+(_xlpm.states="Maryland"))))</f>
        <v>0</v>
      </c>
      <c r="AM31" s="12" cm="1">
        <f t="array" ref="AM31">_xlfn.LET(_xlpm.data,_xlfn.VSTACK('MS:NCA9'!AM31),_xlpm.states,_xlfn.VSTACK('MS:NCA9'!$B$2),
SUM(_xlfn._xlws.FILTER(_xlpm.data,(_xlpm.states="North Carolina")+(_xlpm.states="Arizona")+(_xlpm.states="Maryland"))))</f>
        <v>0</v>
      </c>
      <c r="AN31" s="12" cm="1">
        <f t="array" ref="AN31">_xlfn.LET(_xlpm.data,_xlfn.VSTACK('MS:NCA9'!AN31),_xlpm.states,_xlfn.VSTACK('MS:NCA9'!$B$2),
SUM(_xlfn._xlws.FILTER(_xlpm.data,(_xlpm.states="North Carolina")+(_xlpm.states="Arizona")+(_xlpm.states="Maryland"))))</f>
        <v>0</v>
      </c>
    </row>
    <row r="32" spans="2:40" outlineLevel="1" x14ac:dyDescent="0.25">
      <c r="B32" s="39" t="s">
        <v>474</v>
      </c>
      <c r="E32" s="12" cm="1">
        <f t="array" ref="E32">_xlfn.LET(_xlpm.data,_xlfn.VSTACK('MS:NCA9'!E32),_xlpm.states,_xlfn.VSTACK('MS:NCA9'!$B$2),
SUM(_xlfn._xlws.FILTER(_xlpm.data,(_xlpm.states="North Carolina")+(_xlpm.states="Arizona")+(_xlpm.states="Maryland"))))</f>
        <v>0</v>
      </c>
      <c r="F32" s="12" cm="1">
        <f t="array" ref="F32">_xlfn.LET(_xlpm.data,_xlfn.VSTACK('MS:NCA9'!F32),_xlpm.states,_xlfn.VSTACK('MS:NCA9'!$B$2),
SUM(_xlfn._xlws.FILTER(_xlpm.data,(_xlpm.states="North Carolina")+(_xlpm.states="Arizona")+(_xlpm.states="Maryland"))))</f>
        <v>0</v>
      </c>
      <c r="G32" s="12" cm="1">
        <f t="array" ref="G32">_xlfn.LET(_xlpm.data,_xlfn.VSTACK('MS:NCA9'!G32),_xlpm.states,_xlfn.VSTACK('MS:NCA9'!$B$2),
SUM(_xlfn._xlws.FILTER(_xlpm.data,(_xlpm.states="North Carolina")+(_xlpm.states="Arizona")+(_xlpm.states="Maryland"))))</f>
        <v>0</v>
      </c>
      <c r="H32" s="12" cm="1">
        <f t="array" ref="H32">_xlfn.LET(_xlpm.data,_xlfn.VSTACK('MS:NCA9'!H32),_xlpm.states,_xlfn.VSTACK('MS:NCA9'!$B$2),
SUM(_xlfn._xlws.FILTER(_xlpm.data,(_xlpm.states="North Carolina")+(_xlpm.states="Arizona")+(_xlpm.states="Maryland"))))</f>
        <v>0</v>
      </c>
      <c r="I32" s="12" cm="1">
        <f t="array" ref="I32">_xlfn.LET(_xlpm.data,_xlfn.VSTACK('MS:NCA9'!I32),_xlpm.states,_xlfn.VSTACK('MS:NCA9'!$B$2),
SUM(_xlfn._xlws.FILTER(_xlpm.data,(_xlpm.states="North Carolina")+(_xlpm.states="Arizona")+(_xlpm.states="Maryland"))))</f>
        <v>0</v>
      </c>
      <c r="J32" s="12" cm="1">
        <f t="array" ref="J32">_xlfn.LET(_xlpm.data,_xlfn.VSTACK('MS:NCA9'!J32),_xlpm.states,_xlfn.VSTACK('MS:NCA9'!$B$2),
SUM(_xlfn._xlws.FILTER(_xlpm.data,(_xlpm.states="North Carolina")+(_xlpm.states="Arizona")+(_xlpm.states="Maryland"))))</f>
        <v>0</v>
      </c>
      <c r="K32" s="12" cm="1">
        <f t="array" ref="K32">_xlfn.LET(_xlpm.data,_xlfn.VSTACK('MS:NCA9'!K32),_xlpm.states,_xlfn.VSTACK('MS:NCA9'!$B$2),
SUM(_xlfn._xlws.FILTER(_xlpm.data,(_xlpm.states="North Carolina")+(_xlpm.states="Arizona")+(_xlpm.states="Maryland"))))</f>
        <v>0</v>
      </c>
      <c r="L32" s="12" cm="1">
        <f t="array" ref="L32">_xlfn.LET(_xlpm.data,_xlfn.VSTACK('MS:NCA9'!L32),_xlpm.states,_xlfn.VSTACK('MS:NCA9'!$B$2),
SUM(_xlfn._xlws.FILTER(_xlpm.data,(_xlpm.states="North Carolina")+(_xlpm.states="Arizona")+(_xlpm.states="Maryland"))))</f>
        <v>0</v>
      </c>
      <c r="M32" s="12" cm="1">
        <f t="array" ref="M32">_xlfn.LET(_xlpm.data,_xlfn.VSTACK('MS:NCA9'!M32),_xlpm.states,_xlfn.VSTACK('MS:NCA9'!$B$2),
SUM(_xlfn._xlws.FILTER(_xlpm.data,(_xlpm.states="North Carolina")+(_xlpm.states="Arizona")+(_xlpm.states="Maryland"))))</f>
        <v>0</v>
      </c>
      <c r="N32" s="12" cm="1">
        <f t="array" ref="N32">_xlfn.LET(_xlpm.data,_xlfn.VSTACK('MS:NCA9'!N32),_xlpm.states,_xlfn.VSTACK('MS:NCA9'!$B$2),
SUM(_xlfn._xlws.FILTER(_xlpm.data,(_xlpm.states="North Carolina")+(_xlpm.states="Arizona")+(_xlpm.states="Maryland"))))</f>
        <v>0</v>
      </c>
      <c r="O32" s="12" cm="1">
        <f t="array" ref="O32">_xlfn.LET(_xlpm.data,_xlfn.VSTACK('MS:NCA9'!O32),_xlpm.states,_xlfn.VSTACK('MS:NCA9'!$B$2),
SUM(_xlfn._xlws.FILTER(_xlpm.data,(_xlpm.states="North Carolina")+(_xlpm.states="Arizona")+(_xlpm.states="Maryland"))))</f>
        <v>0</v>
      </c>
      <c r="P32" s="12" cm="1">
        <f t="array" ref="P32">_xlfn.LET(_xlpm.data,_xlfn.VSTACK('MS:NCA9'!P32),_xlpm.states,_xlfn.VSTACK('MS:NCA9'!$B$2),
SUM(_xlfn._xlws.FILTER(_xlpm.data,(_xlpm.states="North Carolina")+(_xlpm.states="Arizona")+(_xlpm.states="Maryland"))))</f>
        <v>0</v>
      </c>
      <c r="Q32" s="12" cm="1">
        <f t="array" ref="Q32">_xlfn.LET(_xlpm.data,_xlfn.VSTACK('MS:NCA9'!Q32),_xlpm.states,_xlfn.VSTACK('MS:NCA9'!$B$2),
SUM(_xlfn._xlws.FILTER(_xlpm.data,(_xlpm.states="North Carolina")+(_xlpm.states="Arizona")+(_xlpm.states="Maryland"))))</f>
        <v>0</v>
      </c>
      <c r="R32" s="12" cm="1">
        <f t="array" ref="R32">_xlfn.LET(_xlpm.data,_xlfn.VSTACK('MS:NCA9'!R32),_xlpm.states,_xlfn.VSTACK('MS:NCA9'!$B$2),
SUM(_xlfn._xlws.FILTER(_xlpm.data,(_xlpm.states="North Carolina")+(_xlpm.states="Arizona")+(_xlpm.states="Maryland"))))</f>
        <v>0</v>
      </c>
      <c r="S32" s="12" cm="1">
        <f t="array" ref="S32">_xlfn.LET(_xlpm.data,_xlfn.VSTACK('MS:NCA9'!S32),_xlpm.states,_xlfn.VSTACK('MS:NCA9'!$B$2),
SUM(_xlfn._xlws.FILTER(_xlpm.data,(_xlpm.states="North Carolina")+(_xlpm.states="Arizona")+(_xlpm.states="Maryland"))))</f>
        <v>0</v>
      </c>
      <c r="T32" s="12" cm="1">
        <f t="array" ref="T32">_xlfn.LET(_xlpm.data,_xlfn.VSTACK('MS:NCA9'!T32),_xlpm.states,_xlfn.VSTACK('MS:NCA9'!$B$2),
SUM(_xlfn._xlws.FILTER(_xlpm.data,(_xlpm.states="North Carolina")+(_xlpm.states="Arizona")+(_xlpm.states="Maryland"))))</f>
        <v>0</v>
      </c>
      <c r="U32" s="12" cm="1">
        <f t="array" ref="U32">_xlfn.LET(_xlpm.data,_xlfn.VSTACK('MS:NCA9'!U32),_xlpm.states,_xlfn.VSTACK('MS:NCA9'!$B$2),
SUM(_xlfn._xlws.FILTER(_xlpm.data,(_xlpm.states="North Carolina")+(_xlpm.states="Arizona")+(_xlpm.states="Maryland"))))</f>
        <v>0</v>
      </c>
      <c r="V32" s="12" cm="1">
        <f t="array" ref="V32">_xlfn.LET(_xlpm.data,_xlfn.VSTACK('MS:NCA9'!V32),_xlpm.states,_xlfn.VSTACK('MS:NCA9'!$B$2),
SUM(_xlfn._xlws.FILTER(_xlpm.data,(_xlpm.states="North Carolina")+(_xlpm.states="Arizona")+(_xlpm.states="Maryland"))))</f>
        <v>0</v>
      </c>
      <c r="W32" s="12" cm="1">
        <f t="array" ref="W32">_xlfn.LET(_xlpm.data,_xlfn.VSTACK('MS:NCA9'!W32),_xlpm.states,_xlfn.VSTACK('MS:NCA9'!$B$2),
SUM(_xlfn._xlws.FILTER(_xlpm.data,(_xlpm.states="North Carolina")+(_xlpm.states="Arizona")+(_xlpm.states="Maryland"))))</f>
        <v>0</v>
      </c>
      <c r="X32" s="12" cm="1">
        <f t="array" ref="X32">_xlfn.LET(_xlpm.data,_xlfn.VSTACK('MS:NCA9'!X32),_xlpm.states,_xlfn.VSTACK('MS:NCA9'!$B$2),
SUM(_xlfn._xlws.FILTER(_xlpm.data,(_xlpm.states="North Carolina")+(_xlpm.states="Arizona")+(_xlpm.states="Maryland"))))</f>
        <v>0</v>
      </c>
      <c r="Y32" s="12" cm="1">
        <f t="array" ref="Y32">_xlfn.LET(_xlpm.data,_xlfn.VSTACK('MS:NCA9'!Y32),_xlpm.states,_xlfn.VSTACK('MS:NCA9'!$B$2),
SUM(_xlfn._xlws.FILTER(_xlpm.data,(_xlpm.states="North Carolina")+(_xlpm.states="Arizona")+(_xlpm.states="Maryland"))))</f>
        <v>0</v>
      </c>
      <c r="Z32" s="12" cm="1">
        <f t="array" ref="Z32">_xlfn.LET(_xlpm.data,_xlfn.VSTACK('MS:NCA9'!Z32),_xlpm.states,_xlfn.VSTACK('MS:NCA9'!$B$2),
SUM(_xlfn._xlws.FILTER(_xlpm.data,(_xlpm.states="North Carolina")+(_xlpm.states="Arizona")+(_xlpm.states="Maryland"))))</f>
        <v>0</v>
      </c>
      <c r="AA32" s="12" cm="1">
        <f t="array" ref="AA32">_xlfn.LET(_xlpm.data,_xlfn.VSTACK('MS:NCA9'!AA32),_xlpm.states,_xlfn.VSTACK('MS:NCA9'!$B$2),
SUM(_xlfn._xlws.FILTER(_xlpm.data,(_xlpm.states="North Carolina")+(_xlpm.states="Arizona")+(_xlpm.states="Maryland"))))</f>
        <v>0</v>
      </c>
      <c r="AB32" s="12" cm="1">
        <f t="array" ref="AB32">_xlfn.LET(_xlpm.data,_xlfn.VSTACK('MS:NCA9'!AB32),_xlpm.states,_xlfn.VSTACK('MS:NCA9'!$B$2),
SUM(_xlfn._xlws.FILTER(_xlpm.data,(_xlpm.states="North Carolina")+(_xlpm.states="Arizona")+(_xlpm.states="Maryland"))))</f>
        <v>0</v>
      </c>
      <c r="AC32" s="12" cm="1">
        <f t="array" ref="AC32">_xlfn.LET(_xlpm.data,_xlfn.VSTACK('MS:NCA9'!AC32),_xlpm.states,_xlfn.VSTACK('MS:NCA9'!$B$2),
SUM(_xlfn._xlws.FILTER(_xlpm.data,(_xlpm.states="North Carolina")+(_xlpm.states="Arizona")+(_xlpm.states="Maryland"))))</f>
        <v>0</v>
      </c>
      <c r="AD32" s="12" cm="1">
        <f t="array" ref="AD32">_xlfn.LET(_xlpm.data,_xlfn.VSTACK('MS:NCA9'!AD32),_xlpm.states,_xlfn.VSTACK('MS:NCA9'!$B$2),
SUM(_xlfn._xlws.FILTER(_xlpm.data,(_xlpm.states="North Carolina")+(_xlpm.states="Arizona")+(_xlpm.states="Maryland"))))</f>
        <v>0</v>
      </c>
      <c r="AE32" s="12" cm="1">
        <f t="array" ref="AE32">_xlfn.LET(_xlpm.data,_xlfn.VSTACK('MS:NCA9'!AE32),_xlpm.states,_xlfn.VSTACK('MS:NCA9'!$B$2),
SUM(_xlfn._xlws.FILTER(_xlpm.data,(_xlpm.states="North Carolina")+(_xlpm.states="Arizona")+(_xlpm.states="Maryland"))))</f>
        <v>0</v>
      </c>
      <c r="AF32" s="12" cm="1">
        <f t="array" ref="AF32">_xlfn.LET(_xlpm.data,_xlfn.VSTACK('MS:NCA9'!AF32),_xlpm.states,_xlfn.VSTACK('MS:NCA9'!$B$2),
SUM(_xlfn._xlws.FILTER(_xlpm.data,(_xlpm.states="North Carolina")+(_xlpm.states="Arizona")+(_xlpm.states="Maryland"))))</f>
        <v>0</v>
      </c>
      <c r="AG32" s="12" cm="1">
        <f t="array" ref="AG32">_xlfn.LET(_xlpm.data,_xlfn.VSTACK('MS:NCA9'!AG32),_xlpm.states,_xlfn.VSTACK('MS:NCA9'!$B$2),
SUM(_xlfn._xlws.FILTER(_xlpm.data,(_xlpm.states="North Carolina")+(_xlpm.states="Arizona")+(_xlpm.states="Maryland"))))</f>
        <v>0</v>
      </c>
      <c r="AH32" s="12" cm="1">
        <f t="array" ref="AH32">_xlfn.LET(_xlpm.data,_xlfn.VSTACK('MS:NCA9'!AH32),_xlpm.states,_xlfn.VSTACK('MS:NCA9'!$B$2),
SUM(_xlfn._xlws.FILTER(_xlpm.data,(_xlpm.states="North Carolina")+(_xlpm.states="Arizona")+(_xlpm.states="Maryland"))))</f>
        <v>0</v>
      </c>
      <c r="AI32" s="12" cm="1">
        <f t="array" ref="AI32">_xlfn.LET(_xlpm.data,_xlfn.VSTACK('MS:NCA9'!AI32),_xlpm.states,_xlfn.VSTACK('MS:NCA9'!$B$2),
SUM(_xlfn._xlws.FILTER(_xlpm.data,(_xlpm.states="North Carolina")+(_xlpm.states="Arizona")+(_xlpm.states="Maryland"))))</f>
        <v>0</v>
      </c>
      <c r="AJ32" s="12" cm="1">
        <f t="array" ref="AJ32">_xlfn.LET(_xlpm.data,_xlfn.VSTACK('MS:NCA9'!AJ32),_xlpm.states,_xlfn.VSTACK('MS:NCA9'!$B$2),
SUM(_xlfn._xlws.FILTER(_xlpm.data,(_xlpm.states="North Carolina")+(_xlpm.states="Arizona")+(_xlpm.states="Maryland"))))</f>
        <v>0</v>
      </c>
      <c r="AK32" s="12" cm="1">
        <f t="array" ref="AK32">_xlfn.LET(_xlpm.data,_xlfn.VSTACK('MS:NCA9'!AK32),_xlpm.states,_xlfn.VSTACK('MS:NCA9'!$B$2),
SUM(_xlfn._xlws.FILTER(_xlpm.data,(_xlpm.states="North Carolina")+(_xlpm.states="Arizona")+(_xlpm.states="Maryland"))))</f>
        <v>0</v>
      </c>
      <c r="AL32" s="12" cm="1">
        <f t="array" ref="AL32">_xlfn.LET(_xlpm.data,_xlfn.VSTACK('MS:NCA9'!AL32),_xlpm.states,_xlfn.VSTACK('MS:NCA9'!$B$2),
SUM(_xlfn._xlws.FILTER(_xlpm.data,(_xlpm.states="North Carolina")+(_xlpm.states="Arizona")+(_xlpm.states="Maryland"))))</f>
        <v>0</v>
      </c>
      <c r="AM32" s="12" cm="1">
        <f t="array" ref="AM32">_xlfn.LET(_xlpm.data,_xlfn.VSTACK('MS:NCA9'!AM32),_xlpm.states,_xlfn.VSTACK('MS:NCA9'!$B$2),
SUM(_xlfn._xlws.FILTER(_xlpm.data,(_xlpm.states="North Carolina")+(_xlpm.states="Arizona")+(_xlpm.states="Maryland"))))</f>
        <v>0</v>
      </c>
      <c r="AN32" s="12" cm="1">
        <f t="array" ref="AN32">_xlfn.LET(_xlpm.data,_xlfn.VSTACK('MS:NCA9'!AN32),_xlpm.states,_xlfn.VSTACK('MS:NCA9'!$B$2),
SUM(_xlfn._xlws.FILTER(_xlpm.data,(_xlpm.states="North Carolina")+(_xlpm.states="Arizona")+(_xlpm.states="Maryland"))))</f>
        <v>0</v>
      </c>
    </row>
    <row r="33" spans="2:40" outlineLevel="1" x14ac:dyDescent="0.25">
      <c r="B33" s="39" t="s">
        <v>475</v>
      </c>
      <c r="E33" s="12" cm="1">
        <f t="array" ref="E33">_xlfn.LET(_xlpm.data,_xlfn.VSTACK('MS:NCA9'!E33),_xlpm.states,_xlfn.VSTACK('MS:NCA9'!$B$2),
SUM(_xlfn._xlws.FILTER(_xlpm.data,(_xlpm.states="North Carolina")+(_xlpm.states="Arizona")+(_xlpm.states="Maryland"))))</f>
        <v>73931.936866666656</v>
      </c>
      <c r="F33" s="12" cm="1">
        <f t="array" ref="F33">_xlfn.LET(_xlpm.data,_xlfn.VSTACK('MS:NCA9'!F33),_xlpm.states,_xlfn.VSTACK('MS:NCA9'!$B$2),
SUM(_xlfn._xlws.FILTER(_xlpm.data,(_xlpm.states="North Carolina")+(_xlpm.states="Arizona")+(_xlpm.states="Maryland"))))</f>
        <v>73931.936866666656</v>
      </c>
      <c r="G33" s="12" cm="1">
        <f t="array" ref="G33">_xlfn.LET(_xlpm.data,_xlfn.VSTACK('MS:NCA9'!G33),_xlpm.states,_xlfn.VSTACK('MS:NCA9'!$B$2),
SUM(_xlfn._xlws.FILTER(_xlpm.data,(_xlpm.states="North Carolina")+(_xlpm.states="Arizona")+(_xlpm.states="Maryland"))))</f>
        <v>73931.936866666656</v>
      </c>
      <c r="H33" s="12" cm="1">
        <f t="array" ref="H33">_xlfn.LET(_xlpm.data,_xlfn.VSTACK('MS:NCA9'!H33),_xlpm.states,_xlfn.VSTACK('MS:NCA9'!$B$2),
SUM(_xlfn._xlws.FILTER(_xlpm.data,(_xlpm.states="North Carolina")+(_xlpm.states="Arizona")+(_xlpm.states="Maryland"))))</f>
        <v>73931.936866666656</v>
      </c>
      <c r="I33" s="12" cm="1">
        <f t="array" ref="I33">_xlfn.LET(_xlpm.data,_xlfn.VSTACK('MS:NCA9'!I33),_xlpm.states,_xlfn.VSTACK('MS:NCA9'!$B$2),
SUM(_xlfn._xlws.FILTER(_xlpm.data,(_xlpm.states="North Carolina")+(_xlpm.states="Arizona")+(_xlpm.states="Maryland"))))</f>
        <v>73931.936866666656</v>
      </c>
      <c r="J33" s="12" cm="1">
        <f t="array" ref="J33">_xlfn.LET(_xlpm.data,_xlfn.VSTACK('MS:NCA9'!J33),_xlpm.states,_xlfn.VSTACK('MS:NCA9'!$B$2),
SUM(_xlfn._xlws.FILTER(_xlpm.data,(_xlpm.states="North Carolina")+(_xlpm.states="Arizona")+(_xlpm.states="Maryland"))))</f>
        <v>97693.523199999996</v>
      </c>
      <c r="K33" s="12" cm="1">
        <f t="array" ref="K33">_xlfn.LET(_xlpm.data,_xlfn.VSTACK('MS:NCA9'!K33),_xlpm.states,_xlfn.VSTACK('MS:NCA9'!$B$2),
SUM(_xlfn._xlws.FILTER(_xlpm.data,(_xlpm.states="North Carolina")+(_xlpm.states="Arizona")+(_xlpm.states="Maryland"))))</f>
        <v>122326.61956666666</v>
      </c>
      <c r="L33" s="12" cm="1">
        <f t="array" ref="L33">_xlfn.LET(_xlpm.data,_xlfn.VSTACK('MS:NCA9'!L33),_xlpm.states,_xlfn.VSTACK('MS:NCA9'!$B$2),
SUM(_xlfn._xlws.FILTER(_xlpm.data,(_xlpm.states="North Carolina")+(_xlpm.states="Arizona")+(_xlpm.states="Maryland"))))</f>
        <v>122326.61956666666</v>
      </c>
      <c r="M33" s="12" cm="1">
        <f t="array" ref="M33">_xlfn.LET(_xlpm.data,_xlfn.VSTACK('MS:NCA9'!M33),_xlpm.states,_xlfn.VSTACK('MS:NCA9'!$B$2),
SUM(_xlfn._xlws.FILTER(_xlpm.data,(_xlpm.states="North Carolina")+(_xlpm.states="Arizona")+(_xlpm.states="Maryland"))))</f>
        <v>122326.61956666666</v>
      </c>
      <c r="N33" s="12" cm="1">
        <f t="array" ref="N33">_xlfn.LET(_xlpm.data,_xlfn.VSTACK('MS:NCA9'!N33),_xlpm.states,_xlfn.VSTACK('MS:NCA9'!$B$2),
SUM(_xlfn._xlws.FILTER(_xlpm.data,(_xlpm.states="North Carolina")+(_xlpm.states="Arizona")+(_xlpm.states="Maryland"))))</f>
        <v>122326.61956666666</v>
      </c>
      <c r="O33" s="12" cm="1">
        <f t="array" ref="O33">_xlfn.LET(_xlpm.data,_xlfn.VSTACK('MS:NCA9'!O33),_xlpm.states,_xlfn.VSTACK('MS:NCA9'!$B$2),
SUM(_xlfn._xlws.FILTER(_xlpm.data,(_xlpm.states="North Carolina")+(_xlpm.states="Arizona")+(_xlpm.states="Maryland"))))</f>
        <v>122326.61956666666</v>
      </c>
      <c r="P33" s="12" cm="1">
        <f t="array" ref="P33">_xlfn.LET(_xlpm.data,_xlfn.VSTACK('MS:NCA9'!P33),_xlpm.states,_xlfn.VSTACK('MS:NCA9'!$B$2),
SUM(_xlfn._xlws.FILTER(_xlpm.data,(_xlpm.states="North Carolina")+(_xlpm.states="Arizona")+(_xlpm.states="Maryland"))))</f>
        <v>122326.61956666666</v>
      </c>
      <c r="Q33" s="12" cm="1">
        <f t="array" ref="Q33">_xlfn.LET(_xlpm.data,_xlfn.VSTACK('MS:NCA9'!Q33),_xlpm.states,_xlfn.VSTACK('MS:NCA9'!$B$2),
SUM(_xlfn._xlws.FILTER(_xlpm.data,(_xlpm.states="North Carolina")+(_xlpm.states="Arizona")+(_xlpm.states="Maryland"))))</f>
        <v>125996.41815366663</v>
      </c>
      <c r="R33" s="12" cm="1">
        <f t="array" ref="R33">_xlfn.LET(_xlpm.data,_xlfn.VSTACK('MS:NCA9'!R33),_xlpm.states,_xlfn.VSTACK('MS:NCA9'!$B$2),
SUM(_xlfn._xlws.FILTER(_xlpm.data,(_xlpm.states="North Carolina")+(_xlpm.states="Arizona")+(_xlpm.states="Maryland"))))</f>
        <v>125996.41815366663</v>
      </c>
      <c r="S33" s="12" cm="1">
        <f t="array" ref="S33">_xlfn.LET(_xlpm.data,_xlfn.VSTACK('MS:NCA9'!S33),_xlpm.states,_xlfn.VSTACK('MS:NCA9'!$B$2),
SUM(_xlfn._xlws.FILTER(_xlpm.data,(_xlpm.states="North Carolina")+(_xlpm.states="Arizona")+(_xlpm.states="Maryland"))))</f>
        <v>125996.41815366663</v>
      </c>
      <c r="T33" s="12" cm="1">
        <f t="array" ref="T33">_xlfn.LET(_xlpm.data,_xlfn.VSTACK('MS:NCA9'!T33),_xlpm.states,_xlfn.VSTACK('MS:NCA9'!$B$2),
SUM(_xlfn._xlws.FILTER(_xlpm.data,(_xlpm.states="North Carolina")+(_xlpm.states="Arizona")+(_xlpm.states="Maryland"))))</f>
        <v>125996.41815366663</v>
      </c>
      <c r="U33" s="12" cm="1">
        <f t="array" ref="U33">_xlfn.LET(_xlpm.data,_xlfn.VSTACK('MS:NCA9'!U33),_xlpm.states,_xlfn.VSTACK('MS:NCA9'!$B$2),
SUM(_xlfn._xlws.FILTER(_xlpm.data,(_xlpm.states="North Carolina")+(_xlpm.states="Arizona")+(_xlpm.states="Maryland"))))</f>
        <v>125996.41815366663</v>
      </c>
      <c r="V33" s="12" cm="1">
        <f t="array" ref="V33">_xlfn.LET(_xlpm.data,_xlfn.VSTACK('MS:NCA9'!V33),_xlpm.states,_xlfn.VSTACK('MS:NCA9'!$B$2),
SUM(_xlfn._xlws.FILTER(_xlpm.data,(_xlpm.states="North Carolina")+(_xlpm.states="Arizona")+(_xlpm.states="Maryland"))))</f>
        <v>125996.41815366663</v>
      </c>
      <c r="W33" s="12" cm="1">
        <f t="array" ref="W33">_xlfn.LET(_xlpm.data,_xlfn.VSTACK('MS:NCA9'!W33),_xlpm.states,_xlfn.VSTACK('MS:NCA9'!$B$2),
SUM(_xlfn._xlws.FILTER(_xlpm.data,(_xlpm.states="North Carolina")+(_xlpm.states="Arizona")+(_xlpm.states="Maryland"))))</f>
        <v>150470.85207699996</v>
      </c>
      <c r="X33" s="12" cm="1">
        <f t="array" ref="X33">_xlfn.LET(_xlpm.data,_xlfn.VSTACK('MS:NCA9'!X33),_xlpm.states,_xlfn.VSTACK('MS:NCA9'!$B$2),
SUM(_xlfn._xlws.FILTER(_xlpm.data,(_xlpm.states="North Carolina")+(_xlpm.states="Arizona")+(_xlpm.states="Maryland"))))</f>
        <v>176308.58260166663</v>
      </c>
      <c r="Y33" s="12" cm="1">
        <f t="array" ref="Y33">_xlfn.LET(_xlpm.data,_xlfn.VSTACK('MS:NCA9'!Y33),_xlpm.states,_xlfn.VSTACK('MS:NCA9'!$B$2),
SUM(_xlfn._xlws.FILTER(_xlpm.data,(_xlpm.states="North Carolina")+(_xlpm.states="Arizona")+(_xlpm.states="Maryland"))))</f>
        <v>176308.58260166663</v>
      </c>
      <c r="Z33" s="12" cm="1">
        <f t="array" ref="Z33">_xlfn.LET(_xlpm.data,_xlfn.VSTACK('MS:NCA9'!Z33),_xlpm.states,_xlfn.VSTACK('MS:NCA9'!$B$2),
SUM(_xlfn._xlws.FILTER(_xlpm.data,(_xlpm.states="North Carolina")+(_xlpm.states="Arizona")+(_xlpm.states="Maryland"))))</f>
        <v>176308.58260166663</v>
      </c>
      <c r="AA33" s="12" cm="1">
        <f t="array" ref="AA33">_xlfn.LET(_xlpm.data,_xlfn.VSTACK('MS:NCA9'!AA33),_xlpm.states,_xlfn.VSTACK('MS:NCA9'!$B$2),
SUM(_xlfn._xlws.FILTER(_xlpm.data,(_xlpm.states="North Carolina")+(_xlpm.states="Arizona")+(_xlpm.states="Maryland"))))</f>
        <v>176308.58260166663</v>
      </c>
      <c r="AB33" s="12" cm="1">
        <f t="array" ref="AB33">_xlfn.LET(_xlpm.data,_xlfn.VSTACK('MS:NCA9'!AB33),_xlpm.states,_xlfn.VSTACK('MS:NCA9'!$B$2),
SUM(_xlfn._xlws.FILTER(_xlpm.data,(_xlpm.states="North Carolina")+(_xlpm.states="Arizona")+(_xlpm.states="Maryland"))))</f>
        <v>176308.58260166663</v>
      </c>
      <c r="AC33" s="12" cm="1">
        <f t="array" ref="AC33">_xlfn.LET(_xlpm.data,_xlfn.VSTACK('MS:NCA9'!AC33),_xlpm.states,_xlfn.VSTACK('MS:NCA9'!$B$2),
SUM(_xlfn._xlws.FILTER(_xlpm.data,(_xlpm.states="North Carolina")+(_xlpm.states="Arizona")+(_xlpm.states="Maryland"))))</f>
        <v>176308.58260166663</v>
      </c>
      <c r="AD33" s="12" cm="1">
        <f t="array" ref="AD33">_xlfn.LET(_xlpm.data,_xlfn.VSTACK('MS:NCA9'!AD33),_xlpm.states,_xlfn.VSTACK('MS:NCA9'!$B$2),
SUM(_xlfn._xlws.FILTER(_xlpm.data,(_xlpm.states="North Carolina")+(_xlpm.states="Arizona")+(_xlpm.states="Maryland"))))</f>
        <v>176308.58260166663</v>
      </c>
      <c r="AE33" s="12" cm="1">
        <f t="array" ref="AE33">_xlfn.LET(_xlpm.data,_xlfn.VSTACK('MS:NCA9'!AE33),_xlpm.states,_xlfn.VSTACK('MS:NCA9'!$B$2),
SUM(_xlfn._xlws.FILTER(_xlpm.data,(_xlpm.states="North Carolina")+(_xlpm.states="Arizona")+(_xlpm.states="Maryland"))))</f>
        <v>176308.58260166663</v>
      </c>
      <c r="AF33" s="12" cm="1">
        <f t="array" ref="AF33">_xlfn.LET(_xlpm.data,_xlfn.VSTACK('MS:NCA9'!AF33),_xlpm.states,_xlfn.VSTACK('MS:NCA9'!$B$2),
SUM(_xlfn._xlws.FILTER(_xlpm.data,(_xlpm.states="North Carolina")+(_xlpm.states="Arizona")+(_xlpm.states="Maryland"))))</f>
        <v>176308.58260166663</v>
      </c>
      <c r="AG33" s="12" cm="1">
        <f t="array" ref="AG33">_xlfn.LET(_xlpm.data,_xlfn.VSTACK('MS:NCA9'!AG33),_xlpm.states,_xlfn.VSTACK('MS:NCA9'!$B$2),
SUM(_xlfn._xlws.FILTER(_xlpm.data,(_xlpm.states="North Carolina")+(_xlpm.states="Arizona")+(_xlpm.states="Maryland"))))</f>
        <v>176308.58260166663</v>
      </c>
      <c r="AH33" s="12" cm="1">
        <f t="array" ref="AH33">_xlfn.LET(_xlpm.data,_xlfn.VSTACK('MS:NCA9'!AH33),_xlpm.states,_xlfn.VSTACK('MS:NCA9'!$B$2),
SUM(_xlfn._xlws.FILTER(_xlpm.data,(_xlpm.states="North Carolina")+(_xlpm.states="Arizona")+(_xlpm.states="Maryland"))))</f>
        <v>226620.74704966662</v>
      </c>
      <c r="AI33" s="12" cm="1">
        <f t="array" ref="AI33">_xlfn.LET(_xlpm.data,_xlfn.VSTACK('MS:NCA9'!AI33),_xlpm.states,_xlfn.VSTACK('MS:NCA9'!$B$2),
SUM(_xlfn._xlws.FILTER(_xlpm.data,(_xlpm.states="North Carolina")+(_xlpm.states="Arizona")+(_xlpm.states="Maryland"))))</f>
        <v>226620.74704966662</v>
      </c>
      <c r="AJ33" s="12" cm="1">
        <f t="array" ref="AJ33">_xlfn.LET(_xlpm.data,_xlfn.VSTACK('MS:NCA9'!AJ33),_xlpm.states,_xlfn.VSTACK('MS:NCA9'!$B$2),
SUM(_xlfn._xlws.FILTER(_xlpm.data,(_xlpm.states="North Carolina")+(_xlpm.states="Arizona")+(_xlpm.states="Maryland"))))</f>
        <v>226620.74704966662</v>
      </c>
      <c r="AK33" s="12" cm="1">
        <f t="array" ref="AK33">_xlfn.LET(_xlpm.data,_xlfn.VSTACK('MS:NCA9'!AK33),_xlpm.states,_xlfn.VSTACK('MS:NCA9'!$B$2),
SUM(_xlfn._xlws.FILTER(_xlpm.data,(_xlpm.states="North Carolina")+(_xlpm.states="Arizona")+(_xlpm.states="Maryland"))))</f>
        <v>226620.74704966662</v>
      </c>
      <c r="AL33" s="12" cm="1">
        <f t="array" ref="AL33">_xlfn.LET(_xlpm.data,_xlfn.VSTACK('MS:NCA9'!AL33),_xlpm.states,_xlfn.VSTACK('MS:NCA9'!$B$2),
SUM(_xlfn._xlws.FILTER(_xlpm.data,(_xlpm.states="North Carolina")+(_xlpm.states="Arizona")+(_xlpm.states="Maryland"))))</f>
        <v>226620.74704966662</v>
      </c>
      <c r="AM33" s="12" cm="1">
        <f t="array" ref="AM33">_xlfn.LET(_xlpm.data,_xlfn.VSTACK('MS:NCA9'!AM33),_xlpm.states,_xlfn.VSTACK('MS:NCA9'!$B$2),
SUM(_xlfn._xlws.FILTER(_xlpm.data,(_xlpm.states="North Carolina")+(_xlpm.states="Arizona")+(_xlpm.states="Maryland"))))</f>
        <v>226620.74704966662</v>
      </c>
      <c r="AN33" s="12" cm="1">
        <f t="array" ref="AN33">_xlfn.LET(_xlpm.data,_xlfn.VSTACK('MS:NCA9'!AN33),_xlpm.states,_xlfn.VSTACK('MS:NCA9'!$B$2),
SUM(_xlfn._xlws.FILTER(_xlpm.data,(_xlpm.states="North Carolina")+(_xlpm.states="Arizona")+(_xlpm.states="Maryland"))))</f>
        <v>226620.74704966662</v>
      </c>
    </row>
    <row r="34" spans="2:40" outlineLevel="1" x14ac:dyDescent="0.25">
      <c r="B34" s="39" t="s">
        <v>476</v>
      </c>
      <c r="E34" s="12" cm="1">
        <f t="array" ref="E34">_xlfn.LET(_xlpm.data,_xlfn.VSTACK('MS:NCA9'!E34),_xlpm.states,_xlfn.VSTACK('MS:NCA9'!$B$2),
SUM(_xlfn._xlws.FILTER(_xlpm.data,(_xlpm.states="North Carolina")+(_xlpm.states="Arizona")+(_xlpm.states="Maryland"))))</f>
        <v>0</v>
      </c>
      <c r="F34" s="12" cm="1">
        <f t="array" ref="F34">_xlfn.LET(_xlpm.data,_xlfn.VSTACK('MS:NCA9'!F34),_xlpm.states,_xlfn.VSTACK('MS:NCA9'!$B$2),
SUM(_xlfn._xlws.FILTER(_xlpm.data,(_xlpm.states="North Carolina")+(_xlpm.states="Arizona")+(_xlpm.states="Maryland"))))</f>
        <v>0</v>
      </c>
      <c r="G34" s="12" cm="1">
        <f t="array" ref="G34">_xlfn.LET(_xlpm.data,_xlfn.VSTACK('MS:NCA9'!G34),_xlpm.states,_xlfn.VSTACK('MS:NCA9'!$B$2),
SUM(_xlfn._xlws.FILTER(_xlpm.data,(_xlpm.states="North Carolina")+(_xlpm.states="Arizona")+(_xlpm.states="Maryland"))))</f>
        <v>0</v>
      </c>
      <c r="H34" s="12" cm="1">
        <f t="array" ref="H34">_xlfn.LET(_xlpm.data,_xlfn.VSTACK('MS:NCA9'!H34),_xlpm.states,_xlfn.VSTACK('MS:NCA9'!$B$2),
SUM(_xlfn._xlws.FILTER(_xlpm.data,(_xlpm.states="North Carolina")+(_xlpm.states="Arizona")+(_xlpm.states="Maryland"))))</f>
        <v>0</v>
      </c>
      <c r="I34" s="12" cm="1">
        <f t="array" ref="I34">_xlfn.LET(_xlpm.data,_xlfn.VSTACK('MS:NCA9'!I34),_xlpm.states,_xlfn.VSTACK('MS:NCA9'!$B$2),
SUM(_xlfn._xlws.FILTER(_xlpm.data,(_xlpm.states="North Carolina")+(_xlpm.states="Arizona")+(_xlpm.states="Maryland"))))</f>
        <v>0</v>
      </c>
      <c r="J34" s="12" cm="1">
        <f t="array" ref="J34">_xlfn.LET(_xlpm.data,_xlfn.VSTACK('MS:NCA9'!J34),_xlpm.states,_xlfn.VSTACK('MS:NCA9'!$B$2),
SUM(_xlfn._xlws.FILTER(_xlpm.data,(_xlpm.states="North Carolina")+(_xlpm.states="Arizona")+(_xlpm.states="Maryland"))))</f>
        <v>0</v>
      </c>
      <c r="K34" s="12" cm="1">
        <f t="array" ref="K34">_xlfn.LET(_xlpm.data,_xlfn.VSTACK('MS:NCA9'!K34),_xlpm.states,_xlfn.VSTACK('MS:NCA9'!$B$2),
SUM(_xlfn._xlws.FILTER(_xlpm.data,(_xlpm.states="North Carolina")+(_xlpm.states="Arizona")+(_xlpm.states="Maryland"))))</f>
        <v>0</v>
      </c>
      <c r="L34" s="12" cm="1">
        <f t="array" ref="L34">_xlfn.LET(_xlpm.data,_xlfn.VSTACK('MS:NCA9'!L34),_xlpm.states,_xlfn.VSTACK('MS:NCA9'!$B$2),
SUM(_xlfn._xlws.FILTER(_xlpm.data,(_xlpm.states="North Carolina")+(_xlpm.states="Arizona")+(_xlpm.states="Maryland"))))</f>
        <v>0</v>
      </c>
      <c r="M34" s="12" cm="1">
        <f t="array" ref="M34">_xlfn.LET(_xlpm.data,_xlfn.VSTACK('MS:NCA9'!M34),_xlpm.states,_xlfn.VSTACK('MS:NCA9'!$B$2),
SUM(_xlfn._xlws.FILTER(_xlpm.data,(_xlpm.states="North Carolina")+(_xlpm.states="Arizona")+(_xlpm.states="Maryland"))))</f>
        <v>0</v>
      </c>
      <c r="N34" s="12" cm="1">
        <f t="array" ref="N34">_xlfn.LET(_xlpm.data,_xlfn.VSTACK('MS:NCA9'!N34),_xlpm.states,_xlfn.VSTACK('MS:NCA9'!$B$2),
SUM(_xlfn._xlws.FILTER(_xlpm.data,(_xlpm.states="North Carolina")+(_xlpm.states="Arizona")+(_xlpm.states="Maryland"))))</f>
        <v>0</v>
      </c>
      <c r="O34" s="12" cm="1">
        <f t="array" ref="O34">_xlfn.LET(_xlpm.data,_xlfn.VSTACK('MS:NCA9'!O34),_xlpm.states,_xlfn.VSTACK('MS:NCA9'!$B$2),
SUM(_xlfn._xlws.FILTER(_xlpm.data,(_xlpm.states="North Carolina")+(_xlpm.states="Arizona")+(_xlpm.states="Maryland"))))</f>
        <v>0</v>
      </c>
      <c r="P34" s="12" cm="1">
        <f t="array" ref="P34">_xlfn.LET(_xlpm.data,_xlfn.VSTACK('MS:NCA9'!P34),_xlpm.states,_xlfn.VSTACK('MS:NCA9'!$B$2),
SUM(_xlfn._xlws.FILTER(_xlpm.data,(_xlpm.states="North Carolina")+(_xlpm.states="Arizona")+(_xlpm.states="Maryland"))))</f>
        <v>0</v>
      </c>
      <c r="Q34" s="12" cm="1">
        <f t="array" ref="Q34">_xlfn.LET(_xlpm.data,_xlfn.VSTACK('MS:NCA9'!Q34),_xlpm.states,_xlfn.VSTACK('MS:NCA9'!$B$2),
SUM(_xlfn._xlws.FILTER(_xlpm.data,(_xlpm.states="North Carolina")+(_xlpm.states="Arizona")+(_xlpm.states="Maryland"))))</f>
        <v>0</v>
      </c>
      <c r="R34" s="12" cm="1">
        <f t="array" ref="R34">_xlfn.LET(_xlpm.data,_xlfn.VSTACK('MS:NCA9'!R34),_xlpm.states,_xlfn.VSTACK('MS:NCA9'!$B$2),
SUM(_xlfn._xlws.FILTER(_xlpm.data,(_xlpm.states="North Carolina")+(_xlpm.states="Arizona")+(_xlpm.states="Maryland"))))</f>
        <v>0</v>
      </c>
      <c r="S34" s="12" cm="1">
        <f t="array" ref="S34">_xlfn.LET(_xlpm.data,_xlfn.VSTACK('MS:NCA9'!S34),_xlpm.states,_xlfn.VSTACK('MS:NCA9'!$B$2),
SUM(_xlfn._xlws.FILTER(_xlpm.data,(_xlpm.states="North Carolina")+(_xlpm.states="Arizona")+(_xlpm.states="Maryland"))))</f>
        <v>0</v>
      </c>
      <c r="T34" s="12" cm="1">
        <f t="array" ref="T34">_xlfn.LET(_xlpm.data,_xlfn.VSTACK('MS:NCA9'!T34),_xlpm.states,_xlfn.VSTACK('MS:NCA9'!$B$2),
SUM(_xlfn._xlws.FILTER(_xlpm.data,(_xlpm.states="North Carolina")+(_xlpm.states="Arizona")+(_xlpm.states="Maryland"))))</f>
        <v>0</v>
      </c>
      <c r="U34" s="12" cm="1">
        <f t="array" ref="U34">_xlfn.LET(_xlpm.data,_xlfn.VSTACK('MS:NCA9'!U34),_xlpm.states,_xlfn.VSTACK('MS:NCA9'!$B$2),
SUM(_xlfn._xlws.FILTER(_xlpm.data,(_xlpm.states="North Carolina")+(_xlpm.states="Arizona")+(_xlpm.states="Maryland"))))</f>
        <v>0</v>
      </c>
      <c r="V34" s="12" cm="1">
        <f t="array" ref="V34">_xlfn.LET(_xlpm.data,_xlfn.VSTACK('MS:NCA9'!V34),_xlpm.states,_xlfn.VSTACK('MS:NCA9'!$B$2),
SUM(_xlfn._xlws.FILTER(_xlpm.data,(_xlpm.states="North Carolina")+(_xlpm.states="Arizona")+(_xlpm.states="Maryland"))))</f>
        <v>0</v>
      </c>
      <c r="W34" s="12" cm="1">
        <f t="array" ref="W34">_xlfn.LET(_xlpm.data,_xlfn.VSTACK('MS:NCA9'!W34),_xlpm.states,_xlfn.VSTACK('MS:NCA9'!$B$2),
SUM(_xlfn._xlws.FILTER(_xlpm.data,(_xlpm.states="North Carolina")+(_xlpm.states="Arizona")+(_xlpm.states="Maryland"))))</f>
        <v>0</v>
      </c>
      <c r="X34" s="12" cm="1">
        <f t="array" ref="X34">_xlfn.LET(_xlpm.data,_xlfn.VSTACK('MS:NCA9'!X34),_xlpm.states,_xlfn.VSTACK('MS:NCA9'!$B$2),
SUM(_xlfn._xlws.FILTER(_xlpm.data,(_xlpm.states="North Carolina")+(_xlpm.states="Arizona")+(_xlpm.states="Maryland"))))</f>
        <v>0</v>
      </c>
      <c r="Y34" s="12" cm="1">
        <f t="array" ref="Y34">_xlfn.LET(_xlpm.data,_xlfn.VSTACK('MS:NCA9'!Y34),_xlpm.states,_xlfn.VSTACK('MS:NCA9'!$B$2),
SUM(_xlfn._xlws.FILTER(_xlpm.data,(_xlpm.states="North Carolina")+(_xlpm.states="Arizona")+(_xlpm.states="Maryland"))))</f>
        <v>0</v>
      </c>
      <c r="Z34" s="12" cm="1">
        <f t="array" ref="Z34">_xlfn.LET(_xlpm.data,_xlfn.VSTACK('MS:NCA9'!Z34),_xlpm.states,_xlfn.VSTACK('MS:NCA9'!$B$2),
SUM(_xlfn._xlws.FILTER(_xlpm.data,(_xlpm.states="North Carolina")+(_xlpm.states="Arizona")+(_xlpm.states="Maryland"))))</f>
        <v>0</v>
      </c>
      <c r="AA34" s="12" cm="1">
        <f t="array" ref="AA34">_xlfn.LET(_xlpm.data,_xlfn.VSTACK('MS:NCA9'!AA34),_xlpm.states,_xlfn.VSTACK('MS:NCA9'!$B$2),
SUM(_xlfn._xlws.FILTER(_xlpm.data,(_xlpm.states="North Carolina")+(_xlpm.states="Arizona")+(_xlpm.states="Maryland"))))</f>
        <v>0</v>
      </c>
      <c r="AB34" s="12" cm="1">
        <f t="array" ref="AB34">_xlfn.LET(_xlpm.data,_xlfn.VSTACK('MS:NCA9'!AB34),_xlpm.states,_xlfn.VSTACK('MS:NCA9'!$B$2),
SUM(_xlfn._xlws.FILTER(_xlpm.data,(_xlpm.states="North Carolina")+(_xlpm.states="Arizona")+(_xlpm.states="Maryland"))))</f>
        <v>0</v>
      </c>
      <c r="AC34" s="12" cm="1">
        <f t="array" ref="AC34">_xlfn.LET(_xlpm.data,_xlfn.VSTACK('MS:NCA9'!AC34),_xlpm.states,_xlfn.VSTACK('MS:NCA9'!$B$2),
SUM(_xlfn._xlws.FILTER(_xlpm.data,(_xlpm.states="North Carolina")+(_xlpm.states="Arizona")+(_xlpm.states="Maryland"))))</f>
        <v>0</v>
      </c>
      <c r="AD34" s="12" cm="1">
        <f t="array" ref="AD34">_xlfn.LET(_xlpm.data,_xlfn.VSTACK('MS:NCA9'!AD34),_xlpm.states,_xlfn.VSTACK('MS:NCA9'!$B$2),
SUM(_xlfn._xlws.FILTER(_xlpm.data,(_xlpm.states="North Carolina")+(_xlpm.states="Arizona")+(_xlpm.states="Maryland"))))</f>
        <v>0</v>
      </c>
      <c r="AE34" s="12" cm="1">
        <f t="array" ref="AE34">_xlfn.LET(_xlpm.data,_xlfn.VSTACK('MS:NCA9'!AE34),_xlpm.states,_xlfn.VSTACK('MS:NCA9'!$B$2),
SUM(_xlfn._xlws.FILTER(_xlpm.data,(_xlpm.states="North Carolina")+(_xlpm.states="Arizona")+(_xlpm.states="Maryland"))))</f>
        <v>0</v>
      </c>
      <c r="AF34" s="12" cm="1">
        <f t="array" ref="AF34">_xlfn.LET(_xlpm.data,_xlfn.VSTACK('MS:NCA9'!AF34),_xlpm.states,_xlfn.VSTACK('MS:NCA9'!$B$2),
SUM(_xlfn._xlws.FILTER(_xlpm.data,(_xlpm.states="North Carolina")+(_xlpm.states="Arizona")+(_xlpm.states="Maryland"))))</f>
        <v>0</v>
      </c>
      <c r="AG34" s="12" cm="1">
        <f t="array" ref="AG34">_xlfn.LET(_xlpm.data,_xlfn.VSTACK('MS:NCA9'!AG34),_xlpm.states,_xlfn.VSTACK('MS:NCA9'!$B$2),
SUM(_xlfn._xlws.FILTER(_xlpm.data,(_xlpm.states="North Carolina")+(_xlpm.states="Arizona")+(_xlpm.states="Maryland"))))</f>
        <v>0</v>
      </c>
      <c r="AH34" s="12" cm="1">
        <f t="array" ref="AH34">_xlfn.LET(_xlpm.data,_xlfn.VSTACK('MS:NCA9'!AH34),_xlpm.states,_xlfn.VSTACK('MS:NCA9'!$B$2),
SUM(_xlfn._xlws.FILTER(_xlpm.data,(_xlpm.states="North Carolina")+(_xlpm.states="Arizona")+(_xlpm.states="Maryland"))))</f>
        <v>0</v>
      </c>
      <c r="AI34" s="12" cm="1">
        <f t="array" ref="AI34">_xlfn.LET(_xlpm.data,_xlfn.VSTACK('MS:NCA9'!AI34),_xlpm.states,_xlfn.VSTACK('MS:NCA9'!$B$2),
SUM(_xlfn._xlws.FILTER(_xlpm.data,(_xlpm.states="North Carolina")+(_xlpm.states="Arizona")+(_xlpm.states="Maryland"))))</f>
        <v>0</v>
      </c>
      <c r="AJ34" s="12" cm="1">
        <f t="array" ref="AJ34">_xlfn.LET(_xlpm.data,_xlfn.VSTACK('MS:NCA9'!AJ34),_xlpm.states,_xlfn.VSTACK('MS:NCA9'!$B$2),
SUM(_xlfn._xlws.FILTER(_xlpm.data,(_xlpm.states="North Carolina")+(_xlpm.states="Arizona")+(_xlpm.states="Maryland"))))</f>
        <v>0</v>
      </c>
      <c r="AK34" s="12" cm="1">
        <f t="array" ref="AK34">_xlfn.LET(_xlpm.data,_xlfn.VSTACK('MS:NCA9'!AK34),_xlpm.states,_xlfn.VSTACK('MS:NCA9'!$B$2),
SUM(_xlfn._xlws.FILTER(_xlpm.data,(_xlpm.states="North Carolina")+(_xlpm.states="Arizona")+(_xlpm.states="Maryland"))))</f>
        <v>0</v>
      </c>
      <c r="AL34" s="12" cm="1">
        <f t="array" ref="AL34">_xlfn.LET(_xlpm.data,_xlfn.VSTACK('MS:NCA9'!AL34),_xlpm.states,_xlfn.VSTACK('MS:NCA9'!$B$2),
SUM(_xlfn._xlws.FILTER(_xlpm.data,(_xlpm.states="North Carolina")+(_xlpm.states="Arizona")+(_xlpm.states="Maryland"))))</f>
        <v>0</v>
      </c>
      <c r="AM34" s="12" cm="1">
        <f t="array" ref="AM34">_xlfn.LET(_xlpm.data,_xlfn.VSTACK('MS:NCA9'!AM34),_xlpm.states,_xlfn.VSTACK('MS:NCA9'!$B$2),
SUM(_xlfn._xlws.FILTER(_xlpm.data,(_xlpm.states="North Carolina")+(_xlpm.states="Arizona")+(_xlpm.states="Maryland"))))</f>
        <v>0</v>
      </c>
      <c r="AN34" s="12" cm="1">
        <f t="array" ref="AN34">_xlfn.LET(_xlpm.data,_xlfn.VSTACK('MS:NCA9'!AN34),_xlpm.states,_xlfn.VSTACK('MS:NCA9'!$B$2),
SUM(_xlfn._xlws.FILTER(_xlpm.data,(_xlpm.states="North Carolina")+(_xlpm.states="Arizona")+(_xlpm.states="Maryland"))))</f>
        <v>0</v>
      </c>
    </row>
    <row r="35" spans="2:40" outlineLevel="1" x14ac:dyDescent="0.25">
      <c r="B35" s="39" t="s">
        <v>107</v>
      </c>
      <c r="E35" s="12" cm="1">
        <f t="array" ref="E35">_xlfn.LET(_xlpm.data,_xlfn.VSTACK('MS:NCA9'!E35),_xlpm.states,_xlfn.VSTACK('MS:NCA9'!$B$2),
SUM(_xlfn._xlws.FILTER(_xlpm.data,(_xlpm.states="North Carolina")+(_xlpm.states="Arizona")+(_xlpm.states="Maryland"))))</f>
        <v>-283666.66155175999</v>
      </c>
      <c r="F35" s="12" cm="1">
        <f t="array" ref="F35">_xlfn.LET(_xlpm.data,_xlfn.VSTACK('MS:NCA9'!F35),_xlpm.states,_xlfn.VSTACK('MS:NCA9'!$B$2),
SUM(_xlfn._xlws.FILTER(_xlpm.data,(_xlpm.states="North Carolina")+(_xlpm.states="Arizona")+(_xlpm.states="Maryland"))))</f>
        <v>-290409.99144803191</v>
      </c>
      <c r="G35" s="12" cm="1">
        <f t="array" ref="G35">_xlfn.LET(_xlpm.data,_xlfn.VSTACK('MS:NCA9'!G35),_xlpm.states,_xlfn.VSTACK('MS:NCA9'!$B$2),
SUM(_xlfn._xlws.FILTER(_xlpm.data,(_xlpm.states="North Carolina")+(_xlpm.states="Arizona")+(_xlpm.states="Maryland"))))</f>
        <v>-298456.07748727995</v>
      </c>
      <c r="H35" s="12" cm="1">
        <f t="array" ref="H35">_xlfn.LET(_xlpm.data,_xlfn.VSTACK('MS:NCA9'!H35),_xlpm.states,_xlfn.VSTACK('MS:NCA9'!$B$2),
SUM(_xlfn._xlws.FILTER(_xlpm.data,(_xlpm.states="North Carolina")+(_xlpm.states="Arizona")+(_xlpm.states="Maryland"))))</f>
        <v>-302723.16763353598</v>
      </c>
      <c r="I35" s="12" cm="1">
        <f t="array" ref="I35">_xlfn.LET(_xlpm.data,_xlfn.VSTACK('MS:NCA9'!I35),_xlpm.states,_xlfn.VSTACK('MS:NCA9'!$B$2),
SUM(_xlfn._xlws.FILTER(_xlpm.data,(_xlpm.states="North Carolina")+(_xlpm.states="Arizona")+(_xlpm.states="Maryland"))))</f>
        <v>-306347.43525291199</v>
      </c>
      <c r="J35" s="12" cm="1">
        <f t="array" ref="J35">_xlfn.LET(_xlpm.data,_xlfn.VSTACK('MS:NCA9'!J35),_xlpm.states,_xlfn.VSTACK('MS:NCA9'!$B$2),
SUM(_xlfn._xlws.FILTER(_xlpm.data,(_xlpm.states="North Carolina")+(_xlpm.states="Arizona")+(_xlpm.states="Maryland"))))</f>
        <v>-317815.34616347193</v>
      </c>
      <c r="K35" s="12" cm="1">
        <f t="array" ref="K35">_xlfn.LET(_xlpm.data,_xlfn.VSTACK('MS:NCA9'!K35),_xlpm.states,_xlfn.VSTACK('MS:NCA9'!$B$2),
SUM(_xlfn._xlws.FILTER(_xlpm.data,(_xlpm.states="North Carolina")+(_xlpm.states="Arizona")+(_xlpm.states="Maryland"))))</f>
        <v>-339483.88922536001</v>
      </c>
      <c r="L35" s="12" cm="1">
        <f t="array" ref="L35">_xlfn.LET(_xlpm.data,_xlfn.VSTACK('MS:NCA9'!L35),_xlpm.states,_xlfn.VSTACK('MS:NCA9'!$B$2),
SUM(_xlfn._xlws.FILTER(_xlpm.data,(_xlpm.states="North Carolina")+(_xlpm.states="Arizona")+(_xlpm.states="Maryland"))))</f>
        <v>-347465.33899663994</v>
      </c>
      <c r="M35" s="12" cm="1">
        <f t="array" ref="M35">_xlfn.LET(_xlpm.data,_xlfn.VSTACK('MS:NCA9'!M35),_xlpm.states,_xlfn.VSTACK('MS:NCA9'!$B$2),
SUM(_xlfn._xlws.FILTER(_xlpm.data,(_xlpm.states="North Carolina")+(_xlpm.states="Arizona")+(_xlpm.states="Maryland"))))</f>
        <v>-356081.85954720003</v>
      </c>
      <c r="N35" s="12" cm="1">
        <f t="array" ref="N35">_xlfn.LET(_xlpm.data,_xlfn.VSTACK('MS:NCA9'!N35),_xlpm.states,_xlfn.VSTACK('MS:NCA9'!$B$2),
SUM(_xlfn._xlws.FILTER(_xlpm.data,(_xlpm.states="North Carolina")+(_xlpm.states="Arizona")+(_xlpm.states="Maryland"))))</f>
        <v>-368408.18348337599</v>
      </c>
      <c r="O35" s="12" cm="1">
        <f t="array" ref="O35">_xlfn.LET(_xlpm.data,_xlfn.VSTACK('MS:NCA9'!O35),_xlpm.states,_xlfn.VSTACK('MS:NCA9'!$B$2),
SUM(_xlfn._xlws.FILTER(_xlpm.data,(_xlpm.states="North Carolina")+(_xlpm.states="Arizona")+(_xlpm.states="Maryland"))))</f>
        <v>-383300.74378100794</v>
      </c>
      <c r="P35" s="12" cm="1">
        <f t="array" ref="P35">_xlfn.LET(_xlpm.data,_xlfn.VSTACK('MS:NCA9'!P35),_xlpm.states,_xlfn.VSTACK('MS:NCA9'!$B$2),
SUM(_xlfn._xlws.FILTER(_xlpm.data,(_xlpm.states="North Carolina")+(_xlpm.states="Arizona")+(_xlpm.states="Maryland"))))</f>
        <v>-399398.80936923192</v>
      </c>
      <c r="Q35" s="12" cm="1">
        <f t="array" ref="Q35">_xlfn.LET(_xlpm.data,_xlfn.VSTACK('MS:NCA9'!Q35),_xlpm.states,_xlfn.VSTACK('MS:NCA9'!$B$2),
SUM(_xlfn._xlws.FILTER(_xlpm.data,(_xlpm.states="North Carolina")+(_xlpm.states="Arizona")+(_xlpm.states="Maryland"))))</f>
        <v>-426661.51970089087</v>
      </c>
      <c r="R35" s="12" cm="1">
        <f t="array" ref="R35">_xlfn.LET(_xlpm.data,_xlfn.VSTACK('MS:NCA9'!R35),_xlpm.states,_xlfn.VSTACK('MS:NCA9'!$B$2),
SUM(_xlfn._xlws.FILTER(_xlpm.data,(_xlpm.states="North Carolina")+(_xlpm.states="Arizona")+(_xlpm.states="Maryland"))))</f>
        <v>-441310.97262915276</v>
      </c>
      <c r="S35" s="12" cm="1">
        <f t="array" ref="S35">_xlfn.LET(_xlpm.data,_xlfn.VSTACK('MS:NCA9'!S35),_xlpm.states,_xlfn.VSTACK('MS:NCA9'!$B$2),
SUM(_xlfn._xlws.FILTER(_xlpm.data,(_xlpm.states="North Carolina")+(_xlpm.states="Arizona")+(_xlpm.states="Maryland"))))</f>
        <v>-455342.06393039692</v>
      </c>
      <c r="T35" s="12" cm="1">
        <f t="array" ref="T35">_xlfn.LET(_xlpm.data,_xlfn.VSTACK('MS:NCA9'!T35),_xlpm.states,_xlfn.VSTACK('MS:NCA9'!$B$2),
SUM(_xlfn._xlws.FILTER(_xlpm.data,(_xlpm.states="North Carolina")+(_xlpm.states="Arizona")+(_xlpm.states="Maryland"))))</f>
        <v>-469298.5955756061</v>
      </c>
      <c r="U35" s="12" cm="1">
        <f t="array" ref="U35">_xlfn.LET(_xlpm.data,_xlfn.VSTACK('MS:NCA9'!U35),_xlpm.states,_xlfn.VSTACK('MS:NCA9'!$B$2),
SUM(_xlfn._xlws.FILTER(_xlpm.data,(_xlpm.states="North Carolina")+(_xlpm.states="Arizona")+(_xlpm.states="Maryland"))))</f>
        <v>-482641.97095224331</v>
      </c>
      <c r="V35" s="12" cm="1">
        <f t="array" ref="V35">_xlfn.LET(_xlpm.data,_xlfn.VSTACK('MS:NCA9'!V35),_xlpm.states,_xlfn.VSTACK('MS:NCA9'!$B$2),
SUM(_xlfn._xlws.FILTER(_xlpm.data,(_xlpm.states="North Carolina")+(_xlpm.states="Arizona")+(_xlpm.states="Maryland"))))</f>
        <v>-497260.6098001388</v>
      </c>
      <c r="W35" s="12" cm="1">
        <f t="array" ref="W35">_xlfn.LET(_xlpm.data,_xlfn.VSTACK('MS:NCA9'!W35),_xlpm.states,_xlfn.VSTACK('MS:NCA9'!$B$2),
SUM(_xlfn._xlws.FILTER(_xlpm.data,(_xlpm.states="North Carolina")+(_xlpm.states="Arizona")+(_xlpm.states="Maryland"))))</f>
        <v>-518054.42358595767</v>
      </c>
      <c r="X35" s="12" cm="1">
        <f t="array" ref="X35">_xlfn.LET(_xlpm.data,_xlfn.VSTACK('MS:NCA9'!X35),_xlpm.states,_xlfn.VSTACK('MS:NCA9'!$B$2),
SUM(_xlfn._xlws.FILTER(_xlpm.data,(_xlpm.states="North Carolina")+(_xlpm.states="Arizona")+(_xlpm.states="Maryland"))))</f>
        <v>-537695.43266762118</v>
      </c>
      <c r="Y35" s="12" cm="1">
        <f t="array" ref="Y35">_xlfn.LET(_xlpm.data,_xlfn.VSTACK('MS:NCA9'!Y35),_xlpm.states,_xlfn.VSTACK('MS:NCA9'!$B$2),
SUM(_xlfn._xlws.FILTER(_xlpm.data,(_xlpm.states="North Carolina")+(_xlpm.states="Arizona")+(_xlpm.states="Maryland"))))</f>
        <v>-552309.79520073917</v>
      </c>
      <c r="Z35" s="12" cm="1">
        <f t="array" ref="Z35">_xlfn.LET(_xlpm.data,_xlfn.VSTACK('MS:NCA9'!Z35),_xlpm.states,_xlfn.VSTACK('MS:NCA9'!$B$2),
SUM(_xlfn._xlws.FILTER(_xlpm.data,(_xlpm.states="North Carolina")+(_xlpm.states="Arizona")+(_xlpm.states="Maryland"))))</f>
        <v>-566924.15773385705</v>
      </c>
      <c r="AA35" s="12" cm="1">
        <f t="array" ref="AA35">_xlfn.LET(_xlpm.data,_xlfn.VSTACK('MS:NCA9'!AA35),_xlpm.states,_xlfn.VSTACK('MS:NCA9'!$B$2),
SUM(_xlfn._xlws.FILTER(_xlpm.data,(_xlpm.states="North Carolina")+(_xlpm.states="Arizona")+(_xlpm.states="Maryland"))))</f>
        <v>-580876.41306428856</v>
      </c>
      <c r="AB35" s="12" cm="1">
        <f t="array" ref="AB35">_xlfn.LET(_xlpm.data,_xlfn.VSTACK('MS:NCA9'!AB35),_xlpm.states,_xlfn.VSTACK('MS:NCA9'!$B$2),
SUM(_xlfn._xlws.FILTER(_xlpm.data,(_xlpm.states="North Carolina")+(_xlpm.states="Arizona")+(_xlpm.states="Maryland"))))</f>
        <v>-591077.43763698044</v>
      </c>
      <c r="AC35" s="12" cm="1">
        <f t="array" ref="AC35">_xlfn.LET(_xlpm.data,_xlfn.VSTACK('MS:NCA9'!AC35),_xlpm.states,_xlfn.VSTACK('MS:NCA9'!$B$2),
SUM(_xlfn._xlws.FILTER(_xlpm.data,(_xlpm.states="North Carolina")+(_xlpm.states="Arizona")+(_xlpm.states="Maryland"))))</f>
        <v>-601866.00975632365</v>
      </c>
      <c r="AD35" s="12" cm="1">
        <f t="array" ref="AD35">_xlfn.LET(_xlpm.data,_xlfn.VSTACK('MS:NCA9'!AD35),_xlpm.states,_xlfn.VSTACK('MS:NCA9'!$B$2),
SUM(_xlfn._xlws.FILTER(_xlpm.data,(_xlpm.states="North Carolina")+(_xlpm.states="Arizona")+(_xlpm.states="Maryland"))))</f>
        <v>-612654.58187566686</v>
      </c>
      <c r="AE35" s="12" cm="1">
        <f t="array" ref="AE35">_xlfn.LET(_xlpm.data,_xlfn.VSTACK('MS:NCA9'!AE35),_xlpm.states,_xlfn.VSTACK('MS:NCA9'!$B$2),
SUM(_xlfn._xlws.FILTER(_xlpm.data,(_xlpm.states="North Carolina")+(_xlpm.states="Arizona")+(_xlpm.states="Maryland"))))</f>
        <v>-620826.96470289002</v>
      </c>
      <c r="AF35" s="12" cm="1">
        <f t="array" ref="AF35">_xlfn.LET(_xlpm.data,_xlfn.VSTACK('MS:NCA9'!AF35),_xlpm.states,_xlfn.VSTACK('MS:NCA9'!$B$2),
SUM(_xlfn._xlws.FILTER(_xlpm.data,(_xlpm.states="North Carolina")+(_xlpm.states="Arizona")+(_xlpm.states="Maryland"))))</f>
        <v>-629703.77487020916</v>
      </c>
      <c r="AG35" s="12" cm="1">
        <f t="array" ref="AG35">_xlfn.LET(_xlpm.data,_xlfn.VSTACK('MS:NCA9'!AG35),_xlpm.states,_xlfn.VSTACK('MS:NCA9'!$B$2),
SUM(_xlfn._xlws.FILTER(_xlpm.data,(_xlpm.states="North Carolina")+(_xlpm.states="Arizona")+(_xlpm.states="Maryland"))))</f>
        <v>-639168.13258417952</v>
      </c>
      <c r="AH35" s="12" cm="1">
        <f t="array" ref="AH35">_xlfn.LET(_xlpm.data,_xlfn.VSTACK('MS:NCA9'!AH35),_xlpm.states,_xlfn.VSTACK('MS:NCA9'!$B$2),
SUM(_xlfn._xlws.FILTER(_xlpm.data,(_xlpm.states="North Carolina")+(_xlpm.states="Arizona")+(_xlpm.states="Maryland"))))</f>
        <v>-661079.69021917903</v>
      </c>
      <c r="AI35" s="12" cm="1">
        <f t="array" ref="AI35">_xlfn.LET(_xlpm.data,_xlfn.VSTACK('MS:NCA9'!AI35),_xlpm.states,_xlfn.VSTACK('MS:NCA9'!$B$2),
SUM(_xlfn._xlws.FILTER(_xlpm.data,(_xlpm.states="North Carolina")+(_xlpm.states="Arizona")+(_xlpm.states="Maryland"))))</f>
        <v>-678245.76300716586</v>
      </c>
      <c r="AJ35" s="12" cm="1">
        <f t="array" ref="AJ35">_xlfn.LET(_xlpm.data,_xlfn.VSTACK('MS:NCA9'!AJ35),_xlpm.states,_xlfn.VSTACK('MS:NCA9'!$B$2),
SUM(_xlfn._xlws.FILTER(_xlpm.data,(_xlpm.states="North Carolina")+(_xlpm.states="Arizona")+(_xlpm.states="Maryland"))))</f>
        <v>-694824.28824850114</v>
      </c>
      <c r="AK35" s="12" cm="1">
        <f t="array" ref="AK35">_xlfn.LET(_xlpm.data,_xlfn.VSTACK('MS:NCA9'!AK35),_xlpm.states,_xlfn.VSTACK('MS:NCA9'!$B$2),
SUM(_xlfn._xlws.FILTER(_xlpm.data,(_xlpm.states="North Carolina")+(_xlpm.states="Arizona")+(_xlpm.states="Maryland"))))</f>
        <v>-708164.57062271319</v>
      </c>
      <c r="AL35" s="12" cm="1">
        <f t="array" ref="AL35">_xlfn.LET(_xlpm.data,_xlfn.VSTACK('MS:NCA9'!AL35),_xlpm.states,_xlfn.VSTACK('MS:NCA9'!$B$2),
SUM(_xlfn._xlws.FILTER(_xlpm.data,(_xlpm.states="North Carolina")+(_xlpm.states="Arizona")+(_xlpm.states="Maryland"))))</f>
        <v>-717628.92833668354</v>
      </c>
      <c r="AM35" s="12" cm="1">
        <f t="array" ref="AM35">_xlfn.LET(_xlpm.data,_xlfn.VSTACK('MS:NCA9'!AM35),_xlpm.states,_xlfn.VSTACK('MS:NCA9'!$B$2),
SUM(_xlfn._xlws.FILTER(_xlpm.data,(_xlpm.states="North Carolina")+(_xlpm.states="Arizona")+(_xlpm.states="Maryland"))))</f>
        <v>-727093.28605065402</v>
      </c>
      <c r="AN35" s="12" cm="1">
        <f t="array" ref="AN35">_xlfn.LET(_xlpm.data,_xlfn.VSTACK('MS:NCA9'!AN35),_xlpm.states,_xlfn.VSTACK('MS:NCA9'!$B$2),
SUM(_xlfn._xlws.FILTER(_xlpm.data,(_xlpm.states="North Carolina")+(_xlpm.states="Arizona")+(_xlpm.states="Maryland"))))</f>
        <v>-735970.09621797304</v>
      </c>
    </row>
    <row r="36" spans="2:40" outlineLevel="1" x14ac:dyDescent="0.25">
      <c r="B36" s="39" t="s">
        <v>320</v>
      </c>
      <c r="C36" s="4"/>
      <c r="E36" s="12" cm="1">
        <f t="array" ref="E36">_xlfn.LET(_xlpm.data,_xlfn.VSTACK('MS:NCA9'!E36),_xlpm.states,_xlfn.VSTACK('MS:NCA9'!$B$2),
SUM(_xlfn._xlws.FILTER(_xlpm.data,(_xlpm.states="North Carolina")+(_xlpm.states="Arizona")+(_xlpm.states="Maryland"))))</f>
        <v>0</v>
      </c>
      <c r="F36" s="12" cm="1">
        <f t="array" ref="F36">_xlfn.LET(_xlpm.data,_xlfn.VSTACK('MS:NCA9'!F36),_xlpm.states,_xlfn.VSTACK('MS:NCA9'!$B$2),
SUM(_xlfn._xlws.FILTER(_xlpm.data,(_xlpm.states="North Carolina")+(_xlpm.states="Arizona")+(_xlpm.states="Maryland"))))</f>
        <v>0</v>
      </c>
      <c r="G36" s="12" cm="1">
        <f t="array" ref="G36">_xlfn.LET(_xlpm.data,_xlfn.VSTACK('MS:NCA9'!G36),_xlpm.states,_xlfn.VSTACK('MS:NCA9'!$B$2),
SUM(_xlfn._xlws.FILTER(_xlpm.data,(_xlpm.states="North Carolina")+(_xlpm.states="Arizona")+(_xlpm.states="Maryland"))))</f>
        <v>0</v>
      </c>
      <c r="H36" s="12" cm="1">
        <f t="array" ref="H36">_xlfn.LET(_xlpm.data,_xlfn.VSTACK('MS:NCA9'!H36),_xlpm.states,_xlfn.VSTACK('MS:NCA9'!$B$2),
SUM(_xlfn._xlws.FILTER(_xlpm.data,(_xlpm.states="North Carolina")+(_xlpm.states="Arizona")+(_xlpm.states="Maryland"))))</f>
        <v>0</v>
      </c>
      <c r="I36" s="12" cm="1">
        <f t="array" ref="I36">_xlfn.LET(_xlpm.data,_xlfn.VSTACK('MS:NCA9'!I36),_xlpm.states,_xlfn.VSTACK('MS:NCA9'!$B$2),
SUM(_xlfn._xlws.FILTER(_xlpm.data,(_xlpm.states="North Carolina")+(_xlpm.states="Arizona")+(_xlpm.states="Maryland"))))</f>
        <v>0</v>
      </c>
      <c r="J36" s="12" cm="1">
        <f t="array" ref="J36">_xlfn.LET(_xlpm.data,_xlfn.VSTACK('MS:NCA9'!J36),_xlpm.states,_xlfn.VSTACK('MS:NCA9'!$B$2),
SUM(_xlfn._xlws.FILTER(_xlpm.data,(_xlpm.states="North Carolina")+(_xlpm.states="Arizona")+(_xlpm.states="Maryland"))))</f>
        <v>0</v>
      </c>
      <c r="K36" s="12" cm="1">
        <f t="array" ref="K36">_xlfn.LET(_xlpm.data,_xlfn.VSTACK('MS:NCA9'!K36),_xlpm.states,_xlfn.VSTACK('MS:NCA9'!$B$2),
SUM(_xlfn._xlws.FILTER(_xlpm.data,(_xlpm.states="North Carolina")+(_xlpm.states="Arizona")+(_xlpm.states="Maryland"))))</f>
        <v>0</v>
      </c>
      <c r="L36" s="12" cm="1">
        <f t="array" ref="L36">_xlfn.LET(_xlpm.data,_xlfn.VSTACK('MS:NCA9'!L36),_xlpm.states,_xlfn.VSTACK('MS:NCA9'!$B$2),
SUM(_xlfn._xlws.FILTER(_xlpm.data,(_xlpm.states="North Carolina")+(_xlpm.states="Arizona")+(_xlpm.states="Maryland"))))</f>
        <v>0</v>
      </c>
      <c r="M36" s="12" cm="1">
        <f t="array" ref="M36">_xlfn.LET(_xlpm.data,_xlfn.VSTACK('MS:NCA9'!M36),_xlpm.states,_xlfn.VSTACK('MS:NCA9'!$B$2),
SUM(_xlfn._xlws.FILTER(_xlpm.data,(_xlpm.states="North Carolina")+(_xlpm.states="Arizona")+(_xlpm.states="Maryland"))))</f>
        <v>0</v>
      </c>
      <c r="N36" s="12" cm="1">
        <f t="array" ref="N36">_xlfn.LET(_xlpm.data,_xlfn.VSTACK('MS:NCA9'!N36),_xlpm.states,_xlfn.VSTACK('MS:NCA9'!$B$2),
SUM(_xlfn._xlws.FILTER(_xlpm.data,(_xlpm.states="North Carolina")+(_xlpm.states="Arizona")+(_xlpm.states="Maryland"))))</f>
        <v>0</v>
      </c>
      <c r="O36" s="12" cm="1">
        <f t="array" ref="O36">_xlfn.LET(_xlpm.data,_xlfn.VSTACK('MS:NCA9'!O36),_xlpm.states,_xlfn.VSTACK('MS:NCA9'!$B$2),
SUM(_xlfn._xlws.FILTER(_xlpm.data,(_xlpm.states="North Carolina")+(_xlpm.states="Arizona")+(_xlpm.states="Maryland"))))</f>
        <v>0</v>
      </c>
      <c r="P36" s="12" cm="1">
        <f t="array" ref="P36">_xlfn.LET(_xlpm.data,_xlfn.VSTACK('MS:NCA9'!P36),_xlpm.states,_xlfn.VSTACK('MS:NCA9'!$B$2),
SUM(_xlfn._xlws.FILTER(_xlpm.data,(_xlpm.states="North Carolina")+(_xlpm.states="Arizona")+(_xlpm.states="Maryland"))))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331</v>
      </c>
      <c r="C37" s="15"/>
      <c r="E37" s="13">
        <f t="shared" ref="E37:AN37" si="0">SUM(E26:E36)</f>
        <v>2080222.1847129068</v>
      </c>
      <c r="F37" s="13">
        <f t="shared" si="0"/>
        <v>2129673.2706189016</v>
      </c>
      <c r="G37" s="13">
        <f t="shared" si="0"/>
        <v>2188677.901573386</v>
      </c>
      <c r="H37" s="13">
        <f t="shared" si="0"/>
        <v>2219969.8959792638</v>
      </c>
      <c r="I37" s="13">
        <f t="shared" si="0"/>
        <v>2246547.8585213544</v>
      </c>
      <c r="J37" s="13">
        <f t="shared" si="0"/>
        <v>2330645.8718654616</v>
      </c>
      <c r="K37" s="13">
        <f t="shared" si="0"/>
        <v>2489548.5209859721</v>
      </c>
      <c r="L37" s="13">
        <f t="shared" si="0"/>
        <v>2548079.1526420261</v>
      </c>
      <c r="M37" s="13">
        <f t="shared" si="0"/>
        <v>2611266.9700128003</v>
      </c>
      <c r="N37" s="13">
        <f t="shared" si="0"/>
        <v>2701660.0122114234</v>
      </c>
      <c r="O37" s="13">
        <f t="shared" si="0"/>
        <v>2810872.1210607253</v>
      </c>
      <c r="P37" s="13">
        <f t="shared" si="0"/>
        <v>2928924.6020410345</v>
      </c>
      <c r="Q37" s="13">
        <f t="shared" si="0"/>
        <v>3128851.1444731993</v>
      </c>
      <c r="R37" s="13">
        <f t="shared" si="0"/>
        <v>3236280.4659471205</v>
      </c>
      <c r="S37" s="13">
        <f t="shared" si="0"/>
        <v>3339175.1354895774</v>
      </c>
      <c r="T37" s="13">
        <f t="shared" si="0"/>
        <v>3441523.0342211104</v>
      </c>
      <c r="U37" s="13">
        <f t="shared" si="0"/>
        <v>3539374.4536497844</v>
      </c>
      <c r="V37" s="13">
        <f t="shared" si="0"/>
        <v>3646577.8052010178</v>
      </c>
      <c r="W37" s="13">
        <f t="shared" si="0"/>
        <v>3799065.7729636906</v>
      </c>
      <c r="X37" s="13">
        <f t="shared" si="0"/>
        <v>3943099.8395625567</v>
      </c>
      <c r="Y37" s="13">
        <f t="shared" si="0"/>
        <v>4050271.8314720867</v>
      </c>
      <c r="Z37" s="13">
        <f t="shared" si="0"/>
        <v>4157443.8233816191</v>
      </c>
      <c r="AA37" s="13">
        <f t="shared" si="0"/>
        <v>4259760.3624714483</v>
      </c>
      <c r="AB37" s="13">
        <f t="shared" si="0"/>
        <v>4334567.8760045227</v>
      </c>
      <c r="AC37" s="13">
        <f t="shared" si="0"/>
        <v>4413684.071546373</v>
      </c>
      <c r="AD37" s="13">
        <f t="shared" si="0"/>
        <v>4492800.2670882223</v>
      </c>
      <c r="AE37" s="13">
        <f t="shared" si="0"/>
        <v>4552731.0744878594</v>
      </c>
      <c r="AF37" s="13">
        <f t="shared" si="0"/>
        <v>4617827.6823815331</v>
      </c>
      <c r="AG37" s="13">
        <f t="shared" si="0"/>
        <v>4687232.9722839827</v>
      </c>
      <c r="AH37" s="13">
        <f t="shared" si="0"/>
        <v>4847917.7282739794</v>
      </c>
      <c r="AI37" s="13">
        <f t="shared" si="0"/>
        <v>4973802.2620525481</v>
      </c>
      <c r="AJ37" s="13">
        <f t="shared" si="0"/>
        <v>5095378.113822341</v>
      </c>
      <c r="AK37" s="13">
        <f t="shared" si="0"/>
        <v>5193206.8512332281</v>
      </c>
      <c r="AL37" s="13">
        <f t="shared" si="0"/>
        <v>5262612.1411356777</v>
      </c>
      <c r="AM37" s="13">
        <f t="shared" si="0"/>
        <v>5332017.4310381273</v>
      </c>
      <c r="AN37" s="13">
        <f t="shared" si="0"/>
        <v>5397114.038931801</v>
      </c>
    </row>
    <row r="39" spans="2:40" x14ac:dyDescent="0.25">
      <c r="B39" s="1" t="s">
        <v>132</v>
      </c>
    </row>
    <row r="40" spans="2:40" outlineLevel="1" x14ac:dyDescent="0.25">
      <c r="B40" s="39" t="s">
        <v>23</v>
      </c>
      <c r="E40" s="12" cm="1">
        <f t="array" ref="E40">_xlfn.LET(_xlpm.data,_xlfn.VSTACK('MS:NCA9'!E40),_xlpm.states,_xlfn.VSTACK('MS:NCA9'!$B$2),
SUM(_xlfn._xlws.FILTER(_xlpm.data,(_xlpm.states="North Carolina")+(_xlpm.states="Arizona")+(_xlpm.states="Maryland"))))</f>
        <v>1145982.597118234</v>
      </c>
      <c r="F40" s="12" cm="1">
        <f t="array" ref="F40">_xlfn.LET(_xlpm.data,_xlfn.VSTACK('MS:NCA9'!F40),_xlpm.states,_xlfn.VSTACK('MS:NCA9'!$B$2),
SUM(_xlfn._xlws.FILTER(_xlpm.data,(_xlpm.states="North Carolina")+(_xlpm.states="Arizona")+(_xlpm.states="Maryland"))))</f>
        <v>1185625.6083289289</v>
      </c>
      <c r="G40" s="12" cm="1">
        <f t="array" ref="G40">_xlfn.LET(_xlpm.data,_xlfn.VSTACK('MS:NCA9'!G40),_xlpm.states,_xlfn.VSTACK('MS:NCA9'!$B$2),
SUM(_xlfn._xlws.FILTER(_xlpm.data,(_xlpm.states="North Carolina")+(_xlpm.states="Arizona")+(_xlpm.states="Maryland"))))</f>
        <v>1210419.5771920688</v>
      </c>
      <c r="H40" s="12" cm="1">
        <f t="array" ref="H40">_xlfn.LET(_xlpm.data,_xlfn.VSTACK('MS:NCA9'!H40),_xlpm.states,_xlfn.VSTACK('MS:NCA9'!$B$2),
SUM(_xlfn._xlws.FILTER(_xlpm.data,(_xlpm.states="North Carolina")+(_xlpm.states="Arizona")+(_xlpm.states="Maryland"))))</f>
        <v>1223830.7324089834</v>
      </c>
      <c r="I40" s="12" cm="1">
        <f t="array" ref="I40">_xlfn.LET(_xlpm.data,_xlfn.VSTACK('MS:NCA9'!I40),_xlpm.states,_xlfn.VSTACK('MS:NCA9'!$B$2),
SUM(_xlfn._xlws.FILTER(_xlpm.data,(_xlpm.states="North Carolina")+(_xlpm.states="Arizona")+(_xlpm.states="Maryland"))))</f>
        <v>1235791.1157409421</v>
      </c>
      <c r="J40" s="12" cm="1">
        <f t="array" ref="J40">_xlfn.LET(_xlpm.data,_xlfn.VSTACK('MS:NCA9'!J40),_xlpm.states,_xlfn.VSTACK('MS:NCA9'!$B$2),
SUM(_xlfn._xlws.FILTER(_xlpm.data,(_xlpm.states="North Carolina")+(_xlpm.states="Arizona")+(_xlpm.states="Maryland"))))</f>
        <v>1291460.2667362601</v>
      </c>
      <c r="K40" s="12" cm="1">
        <f t="array" ref="K40">_xlfn.LET(_xlpm.data,_xlfn.VSTACK('MS:NCA9'!K40),_xlpm.states,_xlfn.VSTACK('MS:NCA9'!$B$2),
SUM(_xlfn._xlws.FILTER(_xlpm.data,(_xlpm.states="North Carolina")+(_xlpm.states="Arizona")+(_xlpm.states="Maryland"))))</f>
        <v>1408886.0778586764</v>
      </c>
      <c r="L40" s="12" cm="1">
        <f t="array" ref="L40">_xlfn.LET(_xlpm.data,_xlfn.VSTACK('MS:NCA9'!L40),_xlpm.states,_xlfn.VSTACK('MS:NCA9'!$B$2),
SUM(_xlfn._xlws.FILTER(_xlpm.data,(_xlpm.states="North Carolina")+(_xlpm.states="Arizona")+(_xlpm.states="Maryland"))))</f>
        <v>1443052.7980662612</v>
      </c>
      <c r="M40" s="12" cm="1">
        <f t="array" ref="M40">_xlfn.LET(_xlpm.data,_xlfn.VSTACK('MS:NCA9'!M40),_xlpm.states,_xlfn.VSTACK('MS:NCA9'!$B$2),
SUM(_xlfn._xlws.FILTER(_xlpm.data,(_xlpm.states="North Carolina")+(_xlpm.states="Arizona")+(_xlpm.states="Maryland"))))</f>
        <v>1474357.3013282462</v>
      </c>
      <c r="N40" s="12" cm="1">
        <f t="array" ref="N40">_xlfn.LET(_xlpm.data,_xlfn.VSTACK('MS:NCA9'!N40),_xlpm.states,_xlfn.VSTACK('MS:NCA9'!$B$2),
SUM(_xlfn._xlws.FILTER(_xlpm.data,(_xlpm.states="North Carolina")+(_xlpm.states="Arizona")+(_xlpm.states="Maryland"))))</f>
        <v>1532742.9611078789</v>
      </c>
      <c r="O40" s="12" cm="1">
        <f t="array" ref="O40">_xlfn.LET(_xlpm.data,_xlfn.VSTACK('MS:NCA9'!O40),_xlpm.states,_xlfn.VSTACK('MS:NCA9'!$B$2),
SUM(_xlfn._xlws.FILTER(_xlpm.data,(_xlpm.states="North Carolina")+(_xlpm.states="Arizona")+(_xlpm.states="Maryland"))))</f>
        <v>1601119.6320951809</v>
      </c>
      <c r="P40" s="12" cm="1">
        <f t="array" ref="P40">_xlfn.LET(_xlpm.data,_xlfn.VSTACK('MS:NCA9'!P40),_xlpm.states,_xlfn.VSTACK('MS:NCA9'!$B$2),
SUM(_xlfn._xlws.FILTER(_xlpm.data,(_xlpm.states="North Carolina")+(_xlpm.states="Arizona")+(_xlpm.states="Maryland"))))</f>
        <v>1660718.7315496169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 cm="1">
        <f t="array" ref="E41">_xlfn.LET(_xlpm.data,_xlfn.VSTACK('MS:NCA9'!E41),_xlpm.states,_xlfn.VSTACK('MS:NCA9'!$B$2),
SUM(_xlfn._xlws.FILTER(_xlpm.data,(_xlpm.states="North Carolina")+(_xlpm.states="Arizona")+(_xlpm.states="Maryland"))))</f>
        <v>0</v>
      </c>
      <c r="F41" s="12" cm="1">
        <f t="array" ref="F41">_xlfn.LET(_xlpm.data,_xlfn.VSTACK('MS:NCA9'!F41),_xlpm.states,_xlfn.VSTACK('MS:NCA9'!$B$2),
SUM(_xlfn._xlws.FILTER(_xlpm.data,(_xlpm.states="North Carolina")+(_xlpm.states="Arizona")+(_xlpm.states="Maryland"))))</f>
        <v>0</v>
      </c>
      <c r="G41" s="12" cm="1">
        <f t="array" ref="G41">_xlfn.LET(_xlpm.data,_xlfn.VSTACK('MS:NCA9'!G41),_xlpm.states,_xlfn.VSTACK('MS:NCA9'!$B$2),
SUM(_xlfn._xlws.FILTER(_xlpm.data,(_xlpm.states="North Carolina")+(_xlpm.states="Arizona")+(_xlpm.states="Maryland"))))</f>
        <v>0</v>
      </c>
      <c r="H41" s="12" cm="1">
        <f t="array" ref="H41">_xlfn.LET(_xlpm.data,_xlfn.VSTACK('MS:NCA9'!H41),_xlpm.states,_xlfn.VSTACK('MS:NCA9'!$B$2),
SUM(_xlfn._xlws.FILTER(_xlpm.data,(_xlpm.states="North Carolina")+(_xlpm.states="Arizona")+(_xlpm.states="Maryland"))))</f>
        <v>0</v>
      </c>
      <c r="I41" s="12" cm="1">
        <f t="array" ref="I41">_xlfn.LET(_xlpm.data,_xlfn.VSTACK('MS:NCA9'!I41),_xlpm.states,_xlfn.VSTACK('MS:NCA9'!$B$2),
SUM(_xlfn._xlws.FILTER(_xlpm.data,(_xlpm.states="North Carolina")+(_xlpm.states="Arizona")+(_xlpm.states="Maryland"))))</f>
        <v>0</v>
      </c>
      <c r="J41" s="12" cm="1">
        <f t="array" ref="J41">_xlfn.LET(_xlpm.data,_xlfn.VSTACK('MS:NCA9'!J41),_xlpm.states,_xlfn.VSTACK('MS:NCA9'!$B$2),
SUM(_xlfn._xlws.FILTER(_xlpm.data,(_xlpm.states="North Carolina")+(_xlpm.states="Arizona")+(_xlpm.states="Maryland"))))</f>
        <v>0</v>
      </c>
      <c r="K41" s="12" cm="1">
        <f t="array" ref="K41">_xlfn.LET(_xlpm.data,_xlfn.VSTACK('MS:NCA9'!K41),_xlpm.states,_xlfn.VSTACK('MS:NCA9'!$B$2),
SUM(_xlfn._xlws.FILTER(_xlpm.data,(_xlpm.states="North Carolina")+(_xlpm.states="Arizona")+(_xlpm.states="Maryland"))))</f>
        <v>0</v>
      </c>
      <c r="L41" s="12" cm="1">
        <f t="array" ref="L41">_xlfn.LET(_xlpm.data,_xlfn.VSTACK('MS:NCA9'!L41),_xlpm.states,_xlfn.VSTACK('MS:NCA9'!$B$2),
SUM(_xlfn._xlws.FILTER(_xlpm.data,(_xlpm.states="North Carolina")+(_xlpm.states="Arizona")+(_xlpm.states="Maryland"))))</f>
        <v>0</v>
      </c>
      <c r="M41" s="12" cm="1">
        <f t="array" ref="M41">_xlfn.LET(_xlpm.data,_xlfn.VSTACK('MS:NCA9'!M41),_xlpm.states,_xlfn.VSTACK('MS:NCA9'!$B$2),
SUM(_xlfn._xlws.FILTER(_xlpm.data,(_xlpm.states="North Carolina")+(_xlpm.states="Arizona")+(_xlpm.states="Maryland"))))</f>
        <v>0</v>
      </c>
      <c r="N41" s="12" cm="1">
        <f t="array" ref="N41">_xlfn.LET(_xlpm.data,_xlfn.VSTACK('MS:NCA9'!N41),_xlpm.states,_xlfn.VSTACK('MS:NCA9'!$B$2),
SUM(_xlfn._xlws.FILTER(_xlpm.data,(_xlpm.states="North Carolina")+(_xlpm.states="Arizona")+(_xlpm.states="Maryland"))))</f>
        <v>0</v>
      </c>
      <c r="O41" s="12" cm="1">
        <f t="array" ref="O41">_xlfn.LET(_xlpm.data,_xlfn.VSTACK('MS:NCA9'!O41),_xlpm.states,_xlfn.VSTACK('MS:NCA9'!$B$2),
SUM(_xlfn._xlws.FILTER(_xlpm.data,(_xlpm.states="North Carolina")+(_xlpm.states="Arizona")+(_xlpm.states="Maryland"))))</f>
        <v>0</v>
      </c>
      <c r="P41" s="12" cm="1">
        <f t="array" ref="P41">_xlfn.LET(_xlpm.data,_xlfn.VSTACK('MS:NCA9'!P41),_xlpm.states,_xlfn.VSTACK('MS:NCA9'!$B$2),
SUM(_xlfn._xlws.FILTER(_xlpm.data,(_xlpm.states="North Carolina")+(_xlpm.states="Arizona")+(_xlpm.states="Maryland"))))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 cm="1">
        <f t="array" ref="E42">_xlfn.LET(_xlpm.data,_xlfn.VSTACK('MS:NCA9'!E42),_xlpm.states,_xlfn.VSTACK('MS:NCA9'!$B$2),
SUM(_xlfn._xlws.FILTER(_xlpm.data,(_xlpm.states="North Carolina")+(_xlpm.states="Arizona")+(_xlpm.states="Maryland"))))</f>
        <v>25895.800000000003</v>
      </c>
      <c r="F42" s="12" cm="1">
        <f t="array" ref="F42">_xlfn.LET(_xlpm.data,_xlfn.VSTACK('MS:NCA9'!F42),_xlpm.states,_xlfn.VSTACK('MS:NCA9'!$B$2),
SUM(_xlfn._xlws.FILTER(_xlpm.data,(_xlpm.states="North Carolina")+(_xlpm.states="Arizona")+(_xlpm.states="Maryland"))))</f>
        <v>25895.800000000003</v>
      </c>
      <c r="G42" s="12" cm="1">
        <f t="array" ref="G42">_xlfn.LET(_xlpm.data,_xlfn.VSTACK('MS:NCA9'!G42),_xlpm.states,_xlfn.VSTACK('MS:NCA9'!$B$2),
SUM(_xlfn._xlws.FILTER(_xlpm.data,(_xlpm.states="North Carolina")+(_xlpm.states="Arizona")+(_xlpm.states="Maryland"))))</f>
        <v>25895.800000000003</v>
      </c>
      <c r="H42" s="12" cm="1">
        <f t="array" ref="H42">_xlfn.LET(_xlpm.data,_xlfn.VSTACK('MS:NCA9'!H42),_xlpm.states,_xlfn.VSTACK('MS:NCA9'!$B$2),
SUM(_xlfn._xlws.FILTER(_xlpm.data,(_xlpm.states="North Carolina")+(_xlpm.states="Arizona")+(_xlpm.states="Maryland"))))</f>
        <v>25895.800000000003</v>
      </c>
      <c r="I42" s="12" cm="1">
        <f t="array" ref="I42">_xlfn.LET(_xlpm.data,_xlfn.VSTACK('MS:NCA9'!I42),_xlpm.states,_xlfn.VSTACK('MS:NCA9'!$B$2),
SUM(_xlfn._xlws.FILTER(_xlpm.data,(_xlpm.states="North Carolina")+(_xlpm.states="Arizona")+(_xlpm.states="Maryland"))))</f>
        <v>25895.800000000003</v>
      </c>
      <c r="J42" s="12" cm="1">
        <f t="array" ref="J42">_xlfn.LET(_xlpm.data,_xlfn.VSTACK('MS:NCA9'!J42),_xlpm.states,_xlfn.VSTACK('MS:NCA9'!$B$2),
SUM(_xlfn._xlws.FILTER(_xlpm.data,(_xlpm.states="North Carolina")+(_xlpm.states="Arizona")+(_xlpm.states="Maryland"))))</f>
        <v>32608.800000000003</v>
      </c>
      <c r="K42" s="12" cm="1">
        <f t="array" ref="K42">_xlfn.LET(_xlpm.data,_xlfn.VSTACK('MS:NCA9'!K42),_xlpm.states,_xlfn.VSTACK('MS:NCA9'!$B$2),
SUM(_xlfn._xlws.FILTER(_xlpm.data,(_xlpm.states="North Carolina")+(_xlpm.states="Arizona")+(_xlpm.states="Maryland"))))</f>
        <v>46901.170000000006</v>
      </c>
      <c r="L42" s="12" cm="1">
        <f t="array" ref="L42">_xlfn.LET(_xlpm.data,_xlfn.VSTACK('MS:NCA9'!L42),_xlpm.states,_xlfn.VSTACK('MS:NCA9'!$B$2),
SUM(_xlfn._xlws.FILTER(_xlpm.data,(_xlpm.states="North Carolina")+(_xlpm.states="Arizona")+(_xlpm.states="Maryland"))))</f>
        <v>46901.170000000006</v>
      </c>
      <c r="M42" s="12" cm="1">
        <f t="array" ref="M42">_xlfn.LET(_xlpm.data,_xlfn.VSTACK('MS:NCA9'!M42),_xlpm.states,_xlfn.VSTACK('MS:NCA9'!$B$2),
SUM(_xlfn._xlws.FILTER(_xlpm.data,(_xlpm.states="North Carolina")+(_xlpm.states="Arizona")+(_xlpm.states="Maryland"))))</f>
        <v>46901.170000000006</v>
      </c>
      <c r="N42" s="12" cm="1">
        <f t="array" ref="N42">_xlfn.LET(_xlpm.data,_xlfn.VSTACK('MS:NCA9'!N42),_xlpm.states,_xlfn.VSTACK('MS:NCA9'!$B$2),
SUM(_xlfn._xlws.FILTER(_xlpm.data,(_xlpm.states="North Carolina")+(_xlpm.states="Arizona")+(_xlpm.states="Maryland"))))</f>
        <v>53614.170000000006</v>
      </c>
      <c r="O42" s="12" cm="1">
        <f t="array" ref="O42">_xlfn.LET(_xlpm.data,_xlfn.VSTACK('MS:NCA9'!O42),_xlpm.states,_xlfn.VSTACK('MS:NCA9'!$B$2),
SUM(_xlfn._xlws.FILTER(_xlpm.data,(_xlpm.states="North Carolina")+(_xlpm.states="Arizona")+(_xlpm.states="Maryland"))))</f>
        <v>53614.170000000006</v>
      </c>
      <c r="P42" s="12" cm="1">
        <f t="array" ref="P42">_xlfn.LET(_xlpm.data,_xlfn.VSTACK('MS:NCA9'!P42),_xlpm.states,_xlfn.VSTACK('MS:NCA9'!$B$2),
SUM(_xlfn._xlws.FILTER(_xlpm.data,(_xlpm.states="North Carolina")+(_xlpm.states="Arizona")+(_xlpm.states="Maryland"))))</f>
        <v>53614.170000000006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 cm="1">
        <f t="array" ref="E43">_xlfn.LET(_xlpm.data,_xlfn.VSTACK('MS:NCA9'!E43),_xlpm.states,_xlfn.VSTACK('MS:NCA9'!$B$2),
SUM(_xlfn._xlws.FILTER(_xlpm.data,(_xlpm.states="North Carolina")+(_xlpm.states="Arizona")+(_xlpm.states="Maryland"))))</f>
        <v>15161.26</v>
      </c>
      <c r="F43" s="12" cm="1">
        <f t="array" ref="F43">_xlfn.LET(_xlpm.data,_xlfn.VSTACK('MS:NCA9'!F43),_xlpm.states,_xlfn.VSTACK('MS:NCA9'!$B$2),
SUM(_xlfn._xlws.FILTER(_xlpm.data,(_xlpm.states="North Carolina")+(_xlpm.states="Arizona")+(_xlpm.states="Maryland"))))</f>
        <v>15161.26</v>
      </c>
      <c r="G43" s="12" cm="1">
        <f t="array" ref="G43">_xlfn.LET(_xlpm.data,_xlfn.VSTACK('MS:NCA9'!G43),_xlpm.states,_xlfn.VSTACK('MS:NCA9'!$B$2),
SUM(_xlfn._xlws.FILTER(_xlpm.data,(_xlpm.states="North Carolina")+(_xlpm.states="Arizona")+(_xlpm.states="Maryland"))))</f>
        <v>15161.26</v>
      </c>
      <c r="H43" s="12" cm="1">
        <f t="array" ref="H43">_xlfn.LET(_xlpm.data,_xlfn.VSTACK('MS:NCA9'!H43),_xlpm.states,_xlfn.VSTACK('MS:NCA9'!$B$2),
SUM(_xlfn._xlws.FILTER(_xlpm.data,(_xlpm.states="North Carolina")+(_xlpm.states="Arizona")+(_xlpm.states="Maryland"))))</f>
        <v>15161.26</v>
      </c>
      <c r="I43" s="12" cm="1">
        <f t="array" ref="I43">_xlfn.LET(_xlpm.data,_xlfn.VSTACK('MS:NCA9'!I43),_xlpm.states,_xlfn.VSTACK('MS:NCA9'!$B$2),
SUM(_xlfn._xlws.FILTER(_xlpm.data,(_xlpm.states="North Carolina")+(_xlpm.states="Arizona")+(_xlpm.states="Maryland"))))</f>
        <v>15161.26</v>
      </c>
      <c r="J43" s="12" cm="1">
        <f t="array" ref="J43">_xlfn.LET(_xlpm.data,_xlfn.VSTACK('MS:NCA9'!J43),_xlpm.states,_xlfn.VSTACK('MS:NCA9'!$B$2),
SUM(_xlfn._xlws.FILTER(_xlpm.data,(_xlpm.states="North Carolina")+(_xlpm.states="Arizona")+(_xlpm.states="Maryland"))))</f>
        <v>20761.260000000002</v>
      </c>
      <c r="K43" s="12" cm="1">
        <f t="array" ref="K43">_xlfn.LET(_xlpm.data,_xlfn.VSTACK('MS:NCA9'!K43),_xlpm.states,_xlfn.VSTACK('MS:NCA9'!$B$2),
SUM(_xlfn._xlws.FILTER(_xlpm.data,(_xlpm.states="North Carolina")+(_xlpm.states="Arizona")+(_xlpm.states="Maryland"))))</f>
        <v>26461.260000000002</v>
      </c>
      <c r="L43" s="12" cm="1">
        <f t="array" ref="L43">_xlfn.LET(_xlpm.data,_xlfn.VSTACK('MS:NCA9'!L43),_xlpm.states,_xlfn.VSTACK('MS:NCA9'!$B$2),
SUM(_xlfn._xlws.FILTER(_xlpm.data,(_xlpm.states="North Carolina")+(_xlpm.states="Arizona")+(_xlpm.states="Maryland"))))</f>
        <v>26461.260000000002</v>
      </c>
      <c r="M43" s="12" cm="1">
        <f t="array" ref="M43">_xlfn.LET(_xlpm.data,_xlfn.VSTACK('MS:NCA9'!M43),_xlpm.states,_xlfn.VSTACK('MS:NCA9'!$B$2),
SUM(_xlfn._xlws.FILTER(_xlpm.data,(_xlpm.states="North Carolina")+(_xlpm.states="Arizona")+(_xlpm.states="Maryland"))))</f>
        <v>26461.260000000002</v>
      </c>
      <c r="N43" s="12" cm="1">
        <f t="array" ref="N43">_xlfn.LET(_xlpm.data,_xlfn.VSTACK('MS:NCA9'!N43),_xlpm.states,_xlfn.VSTACK('MS:NCA9'!$B$2),
SUM(_xlfn._xlws.FILTER(_xlpm.data,(_xlpm.states="North Carolina")+(_xlpm.states="Arizona")+(_xlpm.states="Maryland"))))</f>
        <v>31061.260000000002</v>
      </c>
      <c r="O43" s="12" cm="1">
        <f t="array" ref="O43">_xlfn.LET(_xlpm.data,_xlfn.VSTACK('MS:NCA9'!O43),_xlpm.states,_xlfn.VSTACK('MS:NCA9'!$B$2),
SUM(_xlfn._xlws.FILTER(_xlpm.data,(_xlpm.states="North Carolina")+(_xlpm.states="Arizona")+(_xlpm.states="Maryland"))))</f>
        <v>31061.260000000002</v>
      </c>
      <c r="P43" s="12" cm="1">
        <f t="array" ref="P43">_xlfn.LET(_xlpm.data,_xlfn.VSTACK('MS:NCA9'!P43),_xlpm.states,_xlfn.VSTACK('MS:NCA9'!$B$2),
SUM(_xlfn._xlws.FILTER(_xlpm.data,(_xlpm.states="North Carolina")+(_xlpm.states="Arizona")+(_xlpm.states="Maryland"))))</f>
        <v>31061.260000000002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 cm="1">
        <f t="array" ref="E44">_xlfn.LET(_xlpm.data,_xlfn.VSTACK('MS:NCA9'!E44),_xlpm.states,_xlfn.VSTACK('MS:NCA9'!$B$2),
SUM(_xlfn._xlws.FILTER(_xlpm.data,(_xlpm.states="North Carolina")+(_xlpm.states="Arizona")+(_xlpm.states="Maryland"))))</f>
        <v>9444.4282000000003</v>
      </c>
      <c r="F44" s="12" cm="1">
        <f t="array" ref="F44">_xlfn.LET(_xlpm.data,_xlfn.VSTACK('MS:NCA9'!F44),_xlpm.states,_xlfn.VSTACK('MS:NCA9'!$B$2),
SUM(_xlfn._xlws.FILTER(_xlpm.data,(_xlpm.states="North Carolina")+(_xlpm.states="Arizona")+(_xlpm.states="Maryland"))))</f>
        <v>10552.960800000001</v>
      </c>
      <c r="G44" s="12" cm="1">
        <f t="array" ref="G44">_xlfn.LET(_xlpm.data,_xlfn.VSTACK('MS:NCA9'!G44),_xlpm.states,_xlfn.VSTACK('MS:NCA9'!$B$2),
SUM(_xlfn._xlws.FILTER(_xlpm.data,(_xlpm.states="North Carolina")+(_xlpm.states="Arizona")+(_xlpm.states="Maryland"))))</f>
        <v>10468.7258</v>
      </c>
      <c r="H44" s="12" cm="1">
        <f t="array" ref="H44">_xlfn.LET(_xlpm.data,_xlfn.VSTACK('MS:NCA9'!H44),_xlpm.states,_xlfn.VSTACK('MS:NCA9'!$B$2),
SUM(_xlfn._xlws.FILTER(_xlpm.data,(_xlpm.states="North Carolina")+(_xlpm.states="Arizona")+(_xlpm.states="Maryland"))))</f>
        <v>10566.438400000001</v>
      </c>
      <c r="I44" s="12" cm="1">
        <f t="array" ref="I44">_xlfn.LET(_xlpm.data,_xlfn.VSTACK('MS:NCA9'!I44),_xlpm.states,_xlfn.VSTACK('MS:NCA9'!$B$2),
SUM(_xlfn._xlws.FILTER(_xlpm.data,(_xlpm.states="North Carolina")+(_xlpm.states="Arizona")+(_xlpm.states="Maryland"))))</f>
        <v>10660.7816</v>
      </c>
      <c r="J44" s="12" cm="1">
        <f t="array" ref="J44">_xlfn.LET(_xlpm.data,_xlfn.VSTACK('MS:NCA9'!J44),_xlpm.states,_xlfn.VSTACK('MS:NCA9'!$B$2),
SUM(_xlfn._xlws.FILTER(_xlpm.data,(_xlpm.states="North Carolina")+(_xlpm.states="Arizona")+(_xlpm.states="Maryland"))))</f>
        <v>11125.758800000001</v>
      </c>
      <c r="K44" s="12" cm="1">
        <f t="array" ref="K44">_xlfn.LET(_xlpm.data,_xlfn.VSTACK('MS:NCA9'!K44),_xlpm.states,_xlfn.VSTACK('MS:NCA9'!$B$2),
SUM(_xlfn._xlws.FILTER(_xlpm.data,(_xlpm.states="North Carolina")+(_xlpm.states="Arizona")+(_xlpm.states="Maryland"))))</f>
        <v>12776.764799999997</v>
      </c>
      <c r="L44" s="12" cm="1">
        <f t="array" ref="L44">_xlfn.LET(_xlpm.data,_xlfn.VSTACK('MS:NCA9'!L44),_xlpm.states,_xlfn.VSTACK('MS:NCA9'!$B$2),
SUM(_xlfn._xlws.FILTER(_xlpm.data,(_xlpm.states="North Carolina")+(_xlpm.states="Arizona")+(_xlpm.states="Maryland"))))</f>
        <v>13144.029399999999</v>
      </c>
      <c r="M44" s="12" cm="1">
        <f t="array" ref="M44">_xlfn.LET(_xlpm.data,_xlfn.VSTACK('MS:NCA9'!M44),_xlpm.states,_xlfn.VSTACK('MS:NCA9'!$B$2),
SUM(_xlfn._xlws.FILTER(_xlpm.data,(_xlpm.states="North Carolina")+(_xlpm.states="Arizona")+(_xlpm.states="Maryland"))))</f>
        <v>13272.066599999998</v>
      </c>
      <c r="N44" s="12" cm="1">
        <f t="array" ref="N44">_xlfn.LET(_xlpm.data,_xlfn.VSTACK('MS:NCA9'!N44),_xlpm.states,_xlfn.VSTACK('MS:NCA9'!$B$2),
SUM(_xlfn._xlws.FILTER(_xlpm.data,(_xlpm.states="North Carolina")+(_xlpm.states="Arizona")+(_xlpm.states="Maryland"))))</f>
        <v>13757.260199999999</v>
      </c>
      <c r="O44" s="12" cm="1">
        <f t="array" ref="O44">_xlfn.LET(_xlpm.data,_xlfn.VSTACK('MS:NCA9'!O44),_xlpm.states,_xlfn.VSTACK('MS:NCA9'!$B$2),
SUM(_xlfn._xlws.FILTER(_xlpm.data,(_xlpm.states="North Carolina")+(_xlpm.states="Arizona")+(_xlpm.states="Maryland"))))</f>
        <v>14485.050599999999</v>
      </c>
      <c r="P44" s="12" cm="1">
        <f t="array" ref="P44">_xlfn.LET(_xlpm.data,_xlfn.VSTACK('MS:NCA9'!P44),_xlpm.states,_xlfn.VSTACK('MS:NCA9'!$B$2),
SUM(_xlfn._xlws.FILTER(_xlpm.data,(_xlpm.states="North Carolina")+(_xlpm.states="Arizona")+(_xlpm.states="Maryland"))))</f>
        <v>14505.267000000002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37</v>
      </c>
      <c r="E45" s="12" cm="1">
        <f t="array" ref="E45">_xlfn.LET(_xlpm.data,_xlfn.VSTACK('MS:NCA9'!E45),_xlpm.states,_xlfn.VSTACK('MS:NCA9'!$B$2),
SUM(_xlfn._xlws.FILTER(_xlpm.data,(_xlpm.states="North Carolina")+(_xlpm.states="Arizona")+(_xlpm.states="Maryland"))))</f>
        <v>23500</v>
      </c>
      <c r="F45" s="12" cm="1">
        <f t="array" ref="F45">_xlfn.LET(_xlpm.data,_xlfn.VSTACK('MS:NCA9'!F45),_xlpm.states,_xlfn.VSTACK('MS:NCA9'!$B$2),
SUM(_xlfn._xlws.FILTER(_xlpm.data,(_xlpm.states="North Carolina")+(_xlpm.states="Arizona")+(_xlpm.states="Maryland"))))</f>
        <v>23500</v>
      </c>
      <c r="G45" s="12" cm="1">
        <f t="array" ref="G45">_xlfn.LET(_xlpm.data,_xlfn.VSTACK('MS:NCA9'!G45),_xlpm.states,_xlfn.VSTACK('MS:NCA9'!$B$2),
SUM(_xlfn._xlws.FILTER(_xlpm.data,(_xlpm.states="North Carolina")+(_xlpm.states="Arizona")+(_xlpm.states="Maryland"))))</f>
        <v>23500</v>
      </c>
      <c r="H45" s="12" cm="1">
        <f t="array" ref="H45">_xlfn.LET(_xlpm.data,_xlfn.VSTACK('MS:NCA9'!H45),_xlpm.states,_xlfn.VSTACK('MS:NCA9'!$B$2),
SUM(_xlfn._xlws.FILTER(_xlpm.data,(_xlpm.states="North Carolina")+(_xlpm.states="Arizona")+(_xlpm.states="Maryland"))))</f>
        <v>23500</v>
      </c>
      <c r="I45" s="12" cm="1">
        <f t="array" ref="I45">_xlfn.LET(_xlpm.data,_xlfn.VSTACK('MS:NCA9'!I45),_xlpm.states,_xlfn.VSTACK('MS:NCA9'!$B$2),
SUM(_xlfn._xlws.FILTER(_xlpm.data,(_xlpm.states="North Carolina")+(_xlpm.states="Arizona")+(_xlpm.states="Maryland"))))</f>
        <v>23500</v>
      </c>
      <c r="J45" s="12" cm="1">
        <f t="array" ref="J45">_xlfn.LET(_xlpm.data,_xlfn.VSTACK('MS:NCA9'!J45),_xlpm.states,_xlfn.VSTACK('MS:NCA9'!$B$2),
SUM(_xlfn._xlws.FILTER(_xlpm.data,(_xlpm.states="North Carolina")+(_xlpm.states="Arizona")+(_xlpm.states="Maryland"))))</f>
        <v>29500</v>
      </c>
      <c r="K45" s="12" cm="1">
        <f t="array" ref="K45">_xlfn.LET(_xlpm.data,_xlfn.VSTACK('MS:NCA9'!K45),_xlpm.states,_xlfn.VSTACK('MS:NCA9'!$B$2),
SUM(_xlfn._xlws.FILTER(_xlpm.data,(_xlpm.states="North Carolina")+(_xlpm.states="Arizona")+(_xlpm.states="Maryland"))))</f>
        <v>33750</v>
      </c>
      <c r="L45" s="12" cm="1">
        <f t="array" ref="L45">_xlfn.LET(_xlpm.data,_xlfn.VSTACK('MS:NCA9'!L45),_xlpm.states,_xlfn.VSTACK('MS:NCA9'!$B$2),
SUM(_xlfn._xlws.FILTER(_xlpm.data,(_xlpm.states="North Carolina")+(_xlpm.states="Arizona")+(_xlpm.states="Maryland"))))</f>
        <v>33750</v>
      </c>
      <c r="M45" s="12" cm="1">
        <f t="array" ref="M45">_xlfn.LET(_xlpm.data,_xlfn.VSTACK('MS:NCA9'!M45),_xlpm.states,_xlfn.VSTACK('MS:NCA9'!$B$2),
SUM(_xlfn._xlws.FILTER(_xlpm.data,(_xlpm.states="North Carolina")+(_xlpm.states="Arizona")+(_xlpm.states="Maryland"))))</f>
        <v>33750</v>
      </c>
      <c r="N45" s="12" cm="1">
        <f t="array" ref="N45">_xlfn.LET(_xlpm.data,_xlfn.VSTACK('MS:NCA9'!N45),_xlpm.states,_xlfn.VSTACK('MS:NCA9'!$B$2),
SUM(_xlfn._xlws.FILTER(_xlpm.data,(_xlpm.states="North Carolina")+(_xlpm.states="Arizona")+(_xlpm.states="Maryland"))))</f>
        <v>38250</v>
      </c>
      <c r="O45" s="12" cm="1">
        <f t="array" ref="O45">_xlfn.LET(_xlpm.data,_xlfn.VSTACK('MS:NCA9'!O45),_xlpm.states,_xlfn.VSTACK('MS:NCA9'!$B$2),
SUM(_xlfn._xlws.FILTER(_xlpm.data,(_xlpm.states="North Carolina")+(_xlpm.states="Arizona")+(_xlpm.states="Maryland"))))</f>
        <v>38250</v>
      </c>
      <c r="P45" s="12" cm="1">
        <f t="array" ref="P45">_xlfn.LET(_xlpm.data,_xlfn.VSTACK('MS:NCA9'!P45),_xlpm.states,_xlfn.VSTACK('MS:NCA9'!$B$2),
SUM(_xlfn._xlws.FILTER(_xlpm.data,(_xlpm.states="North Carolina")+(_xlpm.states="Arizona")+(_xlpm.states="Maryland"))))</f>
        <v>38250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40</v>
      </c>
      <c r="E46" s="12" cm="1">
        <f t="array" ref="E46">_xlfn.LET(_xlpm.data,_xlfn.VSTACK('MS:NCA9'!E46),_xlpm.states,_xlfn.VSTACK('MS:NCA9'!$B$2),
SUM(_xlfn._xlws.FILTER(_xlpm.data,(_xlpm.states="North Carolina")+(_xlpm.states="Arizona")+(_xlpm.states="Maryland"))))</f>
        <v>107162</v>
      </c>
      <c r="F46" s="12" cm="1">
        <f t="array" ref="F46">_xlfn.LET(_xlpm.data,_xlfn.VSTACK('MS:NCA9'!F46),_xlpm.states,_xlfn.VSTACK('MS:NCA9'!$B$2),
SUM(_xlfn._xlws.FILTER(_xlpm.data,(_xlpm.states="North Carolina")+(_xlpm.states="Arizona")+(_xlpm.states="Maryland"))))</f>
        <v>110746</v>
      </c>
      <c r="G46" s="12" cm="1">
        <f t="array" ref="G46">_xlfn.LET(_xlpm.data,_xlfn.VSTACK('MS:NCA9'!G46),_xlpm.states,_xlfn.VSTACK('MS:NCA9'!$B$2),
SUM(_xlfn._xlws.FILTER(_xlpm.data,(_xlpm.states="North Carolina")+(_xlpm.states="Arizona")+(_xlpm.states="Maryland"))))</f>
        <v>113300.5</v>
      </c>
      <c r="H46" s="12" cm="1">
        <f t="array" ref="H46">_xlfn.LET(_xlpm.data,_xlfn.VSTACK('MS:NCA9'!H46),_xlpm.states,_xlfn.VSTACK('MS:NCA9'!$B$2),
SUM(_xlfn._xlws.FILTER(_xlpm.data,(_xlpm.states="North Carolina")+(_xlpm.states="Arizona")+(_xlpm.states="Maryland"))))</f>
        <v>115002.5</v>
      </c>
      <c r="I46" s="12" cm="1">
        <f t="array" ref="I46">_xlfn.LET(_xlpm.data,_xlfn.VSTACK('MS:NCA9'!I46),_xlpm.states,_xlfn.VSTACK('MS:NCA9'!$B$2),
SUM(_xlfn._xlws.FILTER(_xlpm.data,(_xlpm.states="North Carolina")+(_xlpm.states="Arizona")+(_xlpm.states="Maryland"))))</f>
        <v>116429.5</v>
      </c>
      <c r="J46" s="12" cm="1">
        <f t="array" ref="J46">_xlfn.LET(_xlpm.data,_xlfn.VSTACK('MS:NCA9'!J46),_xlpm.states,_xlfn.VSTACK('MS:NCA9'!$B$2),
SUM(_xlfn._xlws.FILTER(_xlpm.data,(_xlpm.states="North Carolina")+(_xlpm.states="Arizona")+(_xlpm.states="Maryland"))))</f>
        <v>121822.5</v>
      </c>
      <c r="K46" s="12" cm="1">
        <f t="array" ref="K46">_xlfn.LET(_xlpm.data,_xlfn.VSTACK('MS:NCA9'!K46),_xlpm.states,_xlfn.VSTACK('MS:NCA9'!$B$2),
SUM(_xlfn._xlws.FILTER(_xlpm.data,(_xlpm.states="North Carolina")+(_xlpm.states="Arizona")+(_xlpm.states="Maryland"))))</f>
        <v>130326.5</v>
      </c>
      <c r="L46" s="12" cm="1">
        <f t="array" ref="L46">_xlfn.LET(_xlpm.data,_xlfn.VSTACK('MS:NCA9'!L46),_xlpm.states,_xlfn.VSTACK('MS:NCA9'!$B$2),
SUM(_xlfn._xlws.FILTER(_xlpm.data,(_xlpm.states="North Carolina")+(_xlpm.states="Arizona")+(_xlpm.states="Maryland"))))</f>
        <v>133487</v>
      </c>
      <c r="M46" s="12" cm="1">
        <f t="array" ref="M46">_xlfn.LET(_xlpm.data,_xlfn.VSTACK('MS:NCA9'!M46),_xlpm.states,_xlfn.VSTACK('MS:NCA9'!$B$2),
SUM(_xlfn._xlws.FILTER(_xlpm.data,(_xlpm.states="North Carolina")+(_xlpm.states="Arizona")+(_xlpm.states="Maryland"))))</f>
        <v>136605</v>
      </c>
      <c r="N46" s="12" cm="1">
        <f t="array" ref="N46">_xlfn.LET(_xlpm.data,_xlfn.VSTACK('MS:NCA9'!N46),_xlpm.states,_xlfn.VSTACK('MS:NCA9'!$B$2),
SUM(_xlfn._xlws.FILTER(_xlpm.data,(_xlpm.states="North Carolina")+(_xlpm.states="Arizona")+(_xlpm.states="Maryland"))))</f>
        <v>142659.5</v>
      </c>
      <c r="O46" s="12" cm="1">
        <f t="array" ref="O46">_xlfn.LET(_xlpm.data,_xlfn.VSTACK('MS:NCA9'!O46),_xlpm.states,_xlfn.VSTACK('MS:NCA9'!$B$2),
SUM(_xlfn._xlws.FILTER(_xlpm.data,(_xlpm.states="North Carolina")+(_xlpm.states="Arizona")+(_xlpm.states="Maryland"))))</f>
        <v>148128.5</v>
      </c>
      <c r="P46" s="12" cm="1">
        <f t="array" ref="P46">_xlfn.LET(_xlpm.data,_xlfn.VSTACK('MS:NCA9'!P46),_xlpm.states,_xlfn.VSTACK('MS:NCA9'!$B$2),
SUM(_xlfn._xlws.FILTER(_xlpm.data,(_xlpm.states="North Carolina")+(_xlpm.states="Arizona")+(_xlpm.states="Maryland"))))</f>
        <v>153312.5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42</v>
      </c>
      <c r="E47" s="12" cm="1">
        <f t="array" ref="E47">_xlfn.LET(_xlpm.data,_xlfn.VSTACK('MS:NCA9'!E47),_xlpm.states,_xlfn.VSTACK('MS:NCA9'!$B$2),
SUM(_xlfn._xlws.FILTER(_xlpm.data,(_xlpm.states="North Carolina")+(_xlpm.states="Arizona")+(_xlpm.states="Maryland"))))</f>
        <v>17550</v>
      </c>
      <c r="F47" s="12" cm="1">
        <f t="array" ref="F47">_xlfn.LET(_xlpm.data,_xlfn.VSTACK('MS:NCA9'!F47),_xlpm.states,_xlfn.VSTACK('MS:NCA9'!$B$2),
SUM(_xlfn._xlws.FILTER(_xlpm.data,(_xlpm.states="North Carolina")+(_xlpm.states="Arizona")+(_xlpm.states="Maryland"))))</f>
        <v>17550</v>
      </c>
      <c r="G47" s="12" cm="1">
        <f t="array" ref="G47">_xlfn.LET(_xlpm.data,_xlfn.VSTACK('MS:NCA9'!G47),_xlpm.states,_xlfn.VSTACK('MS:NCA9'!$B$2),
SUM(_xlfn._xlws.FILTER(_xlpm.data,(_xlpm.states="North Carolina")+(_xlpm.states="Arizona")+(_xlpm.states="Maryland"))))</f>
        <v>17550</v>
      </c>
      <c r="H47" s="12" cm="1">
        <f t="array" ref="H47">_xlfn.LET(_xlpm.data,_xlfn.VSTACK('MS:NCA9'!H47),_xlpm.states,_xlfn.VSTACK('MS:NCA9'!$B$2),
SUM(_xlfn._xlws.FILTER(_xlpm.data,(_xlpm.states="North Carolina")+(_xlpm.states="Arizona")+(_xlpm.states="Maryland"))))</f>
        <v>17550</v>
      </c>
      <c r="I47" s="12" cm="1">
        <f t="array" ref="I47">_xlfn.LET(_xlpm.data,_xlfn.VSTACK('MS:NCA9'!I47),_xlpm.states,_xlfn.VSTACK('MS:NCA9'!$B$2),
SUM(_xlfn._xlws.FILTER(_xlpm.data,(_xlpm.states="North Carolina")+(_xlpm.states="Arizona")+(_xlpm.states="Maryland"))))</f>
        <v>17550</v>
      </c>
      <c r="J47" s="12" cm="1">
        <f t="array" ref="J47">_xlfn.LET(_xlpm.data,_xlfn.VSTACK('MS:NCA9'!J47),_xlpm.states,_xlfn.VSTACK('MS:NCA9'!$B$2),
SUM(_xlfn._xlws.FILTER(_xlpm.data,(_xlpm.states="North Carolina")+(_xlpm.states="Arizona")+(_xlpm.states="Maryland"))))</f>
        <v>22300</v>
      </c>
      <c r="K47" s="12" cm="1">
        <f t="array" ref="K47">_xlfn.LET(_xlpm.data,_xlfn.VSTACK('MS:NCA9'!K47),_xlpm.states,_xlfn.VSTACK('MS:NCA9'!$B$2),
SUM(_xlfn._xlws.FILTER(_xlpm.data,(_xlpm.states="North Carolina")+(_xlpm.states="Arizona")+(_xlpm.states="Maryland"))))</f>
        <v>28050</v>
      </c>
      <c r="L47" s="12" cm="1">
        <f t="array" ref="L47">_xlfn.LET(_xlpm.data,_xlfn.VSTACK('MS:NCA9'!L47),_xlpm.states,_xlfn.VSTACK('MS:NCA9'!$B$2),
SUM(_xlfn._xlws.FILTER(_xlpm.data,(_xlpm.states="North Carolina")+(_xlpm.states="Arizona")+(_xlpm.states="Maryland"))))</f>
        <v>28050</v>
      </c>
      <c r="M47" s="12" cm="1">
        <f t="array" ref="M47">_xlfn.LET(_xlpm.data,_xlfn.VSTACK('MS:NCA9'!M47),_xlpm.states,_xlfn.VSTACK('MS:NCA9'!$B$2),
SUM(_xlfn._xlws.FILTER(_xlpm.data,(_xlpm.states="North Carolina")+(_xlpm.states="Arizona")+(_xlpm.states="Maryland"))))</f>
        <v>28050</v>
      </c>
      <c r="N47" s="12" cm="1">
        <f t="array" ref="N47">_xlfn.LET(_xlpm.data,_xlfn.VSTACK('MS:NCA9'!N47),_xlpm.states,_xlfn.VSTACK('MS:NCA9'!$B$2),
SUM(_xlfn._xlws.FILTER(_xlpm.data,(_xlpm.states="North Carolina")+(_xlpm.states="Arizona")+(_xlpm.states="Maryland"))))</f>
        <v>32000</v>
      </c>
      <c r="O47" s="12" cm="1">
        <f t="array" ref="O47">_xlfn.LET(_xlpm.data,_xlfn.VSTACK('MS:NCA9'!O47),_xlpm.states,_xlfn.VSTACK('MS:NCA9'!$B$2),
SUM(_xlfn._xlws.FILTER(_xlpm.data,(_xlpm.states="North Carolina")+(_xlpm.states="Arizona")+(_xlpm.states="Maryland"))))</f>
        <v>32000</v>
      </c>
      <c r="P47" s="12" cm="1">
        <f t="array" ref="P47">_xlfn.LET(_xlpm.data,_xlfn.VSTACK('MS:NCA9'!P47),_xlpm.states,_xlfn.VSTACK('MS:NCA9'!$B$2),
SUM(_xlfn._xlws.FILTER(_xlpm.data,(_xlpm.states="North Carolina")+(_xlpm.states="Arizona")+(_xlpm.states="Maryland"))))</f>
        <v>32000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43</v>
      </c>
      <c r="E48" s="12" cm="1">
        <f t="array" ref="E48">_xlfn.LET(_xlpm.data,_xlfn.VSTACK('MS:NCA9'!E48),_xlpm.states,_xlfn.VSTACK('MS:NCA9'!$B$2),
SUM(_xlfn._xlws.FILTER(_xlpm.data,(_xlpm.states="North Carolina")+(_xlpm.states="Arizona")+(_xlpm.states="Maryland"))))</f>
        <v>0</v>
      </c>
      <c r="F48" s="12" cm="1">
        <f t="array" ref="F48">_xlfn.LET(_xlpm.data,_xlfn.VSTACK('MS:NCA9'!F48),_xlpm.states,_xlfn.VSTACK('MS:NCA9'!$B$2),
SUM(_xlfn._xlws.FILTER(_xlpm.data,(_xlpm.states="North Carolina")+(_xlpm.states="Arizona")+(_xlpm.states="Maryland"))))</f>
        <v>0</v>
      </c>
      <c r="G48" s="12" cm="1">
        <f t="array" ref="G48">_xlfn.LET(_xlpm.data,_xlfn.VSTACK('MS:NCA9'!G48),_xlpm.states,_xlfn.VSTACK('MS:NCA9'!$B$2),
SUM(_xlfn._xlws.FILTER(_xlpm.data,(_xlpm.states="North Carolina")+(_xlpm.states="Arizona")+(_xlpm.states="Maryland"))))</f>
        <v>0</v>
      </c>
      <c r="H48" s="12" cm="1">
        <f t="array" ref="H48">_xlfn.LET(_xlpm.data,_xlfn.VSTACK('MS:NCA9'!H48),_xlpm.states,_xlfn.VSTACK('MS:NCA9'!$B$2),
SUM(_xlfn._xlws.FILTER(_xlpm.data,(_xlpm.states="North Carolina")+(_xlpm.states="Arizona")+(_xlpm.states="Maryland"))))</f>
        <v>104139</v>
      </c>
      <c r="I48" s="12" cm="1">
        <f t="array" ref="I48">_xlfn.LET(_xlpm.data,_xlfn.VSTACK('MS:NCA9'!I48),_xlpm.states,_xlfn.VSTACK('MS:NCA9'!$B$2),
SUM(_xlfn._xlws.FILTER(_xlpm.data,(_xlpm.states="North Carolina")+(_xlpm.states="Arizona")+(_xlpm.states="Maryland"))))</f>
        <v>126877.11</v>
      </c>
      <c r="J48" s="12" cm="1">
        <f t="array" ref="J48">_xlfn.LET(_xlpm.data,_xlfn.VSTACK('MS:NCA9'!J48),_xlpm.states,_xlfn.VSTACK('MS:NCA9'!$B$2),
SUM(_xlfn._xlws.FILTER(_xlpm.data,(_xlpm.states="North Carolina")+(_xlpm.states="Arizona")+(_xlpm.states="Maryland"))))</f>
        <v>0</v>
      </c>
      <c r="K48" s="12" cm="1">
        <f t="array" ref="K48">_xlfn.LET(_xlpm.data,_xlfn.VSTACK('MS:NCA9'!K48),_xlpm.states,_xlfn.VSTACK('MS:NCA9'!$B$2),
SUM(_xlfn._xlws.FILTER(_xlpm.data,(_xlpm.states="North Carolina")+(_xlpm.states="Arizona")+(_xlpm.states="Maryland"))))</f>
        <v>0</v>
      </c>
      <c r="L48" s="12" cm="1">
        <f t="array" ref="L48">_xlfn.LET(_xlpm.data,_xlfn.VSTACK('MS:NCA9'!L48),_xlpm.states,_xlfn.VSTACK('MS:NCA9'!$B$2),
SUM(_xlfn._xlws.FILTER(_xlpm.data,(_xlpm.states="North Carolina")+(_xlpm.states="Arizona")+(_xlpm.states="Maryland"))))</f>
        <v>103139</v>
      </c>
      <c r="M48" s="12" cm="1">
        <f t="array" ref="M48">_xlfn.LET(_xlpm.data,_xlfn.VSTACK('MS:NCA9'!M48),_xlpm.states,_xlfn.VSTACK('MS:NCA9'!$B$2),
SUM(_xlfn._xlws.FILTER(_xlpm.data,(_xlpm.states="North Carolina")+(_xlpm.states="Arizona")+(_xlpm.states="Maryland"))))</f>
        <v>0</v>
      </c>
      <c r="N48" s="12" cm="1">
        <f t="array" ref="N48">_xlfn.LET(_xlpm.data,_xlfn.VSTACK('MS:NCA9'!N48),_xlpm.states,_xlfn.VSTACK('MS:NCA9'!$B$2),
SUM(_xlfn._xlws.FILTER(_xlpm.data,(_xlpm.states="North Carolina")+(_xlpm.states="Arizona")+(_xlpm.states="Maryland"))))</f>
        <v>0</v>
      </c>
      <c r="O48" s="12" cm="1">
        <f t="array" ref="O48">_xlfn.LET(_xlpm.data,_xlfn.VSTACK('MS:NCA9'!O48),_xlpm.states,_xlfn.VSTACK('MS:NCA9'!$B$2),
SUM(_xlfn._xlws.FILTER(_xlpm.data,(_xlpm.states="North Carolina")+(_xlpm.states="Arizona")+(_xlpm.states="Maryland"))))</f>
        <v>0</v>
      </c>
      <c r="P48" s="12" cm="1">
        <f t="array" ref="P48">_xlfn.LET(_xlpm.data,_xlfn.VSTACK('MS:NCA9'!P48),_xlpm.states,_xlfn.VSTACK('MS:NCA9'!$B$2),
SUM(_xlfn._xlws.FILTER(_xlpm.data,(_xlpm.states="North Carolina")+(_xlpm.states="Arizona")+(_xlpm.states="Maryland"))))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44</v>
      </c>
      <c r="E49" s="12" cm="1">
        <f t="array" ref="E49">_xlfn.LET(_xlpm.data,_xlfn.VSTACK('MS:NCA9'!E49),_xlpm.states,_xlfn.VSTACK('MS:NCA9'!$B$2),
SUM(_xlfn._xlws.FILTER(_xlpm.data,(_xlpm.states="North Carolina")+(_xlpm.states="Arizona")+(_xlpm.states="Maryland"))))</f>
        <v>463171.23122839723</v>
      </c>
      <c r="F49" s="12" cm="1">
        <f t="array" ref="F49">_xlfn.LET(_xlpm.data,_xlfn.VSTACK('MS:NCA9'!F49),_xlpm.states,_xlfn.VSTACK('MS:NCA9'!$B$2),
SUM(_xlfn._xlws.FILTER(_xlpm.data,(_xlpm.states="North Carolina")+(_xlpm.states="Arizona")+(_xlpm.states="Maryland"))))</f>
        <v>445634.1222344595</v>
      </c>
      <c r="G49" s="12" cm="1">
        <f t="array" ref="G49">_xlfn.LET(_xlpm.data,_xlfn.VSTACK('MS:NCA9'!G49),_xlpm.states,_xlfn.VSTACK('MS:NCA9'!$B$2),
SUM(_xlfn._xlws.FILTER(_xlpm.data,(_xlpm.states="North Carolina")+(_xlpm.states="Arizona")+(_xlpm.states="Maryland"))))</f>
        <v>417154.48899051029</v>
      </c>
      <c r="H49" s="12" cm="1">
        <f t="array" ref="H49">_xlfn.LET(_xlpm.data,_xlfn.VSTACK('MS:NCA9'!H49),_xlpm.states,_xlfn.VSTACK('MS:NCA9'!$B$2),
SUM(_xlfn._xlws.FILTER(_xlpm.data,(_xlpm.states="North Carolina")+(_xlpm.states="Arizona")+(_xlpm.states="Maryland"))))</f>
        <v>387893.7293971983</v>
      </c>
      <c r="I49" s="12" cm="1">
        <f t="array" ref="I49">_xlfn.LET(_xlpm.data,_xlfn.VSTACK('MS:NCA9'!I49),_xlpm.states,_xlfn.VSTACK('MS:NCA9'!$B$2),
SUM(_xlfn._xlws.FILTER(_xlpm.data,(_xlpm.states="North Carolina")+(_xlpm.states="Arizona")+(_xlpm.states="Maryland"))))</f>
        <v>370189.09019745764</v>
      </c>
      <c r="J49" s="12" cm="1">
        <f t="array" ref="J49">_xlfn.LET(_xlpm.data,_xlfn.VSTACK('MS:NCA9'!J49),_xlpm.states,_xlfn.VSTACK('MS:NCA9'!$B$2),
SUM(_xlfn._xlws.FILTER(_xlpm.data,(_xlpm.states="North Carolina")+(_xlpm.states="Arizona")+(_xlpm.states="Maryland"))))</f>
        <v>359576.9864627996</v>
      </c>
      <c r="K49" s="12" cm="1">
        <f t="array" ref="K49">_xlfn.LET(_xlpm.data,_xlfn.VSTACK('MS:NCA9'!K49),_xlpm.states,_xlfn.VSTACK('MS:NCA9'!$B$2),
SUM(_xlfn._xlws.FILTER(_xlpm.data,(_xlpm.states="North Carolina")+(_xlpm.states="Arizona")+(_xlpm.states="Maryland"))))</f>
        <v>353379.56344037276</v>
      </c>
      <c r="L49" s="12" cm="1">
        <f t="array" ref="L49">_xlfn.LET(_xlpm.data,_xlfn.VSTACK('MS:NCA9'!L49),_xlpm.states,_xlfn.VSTACK('MS:NCA9'!$B$2),
SUM(_xlfn._xlws.FILTER(_xlpm.data,(_xlpm.states="North Carolina")+(_xlpm.states="Arizona")+(_xlpm.states="Maryland"))))</f>
        <v>342121.64036493411</v>
      </c>
      <c r="M49" s="12" cm="1">
        <f t="array" ref="M49">_xlfn.LET(_xlpm.data,_xlfn.VSTACK('MS:NCA9'!M49),_xlpm.states,_xlfn.VSTACK('MS:NCA9'!$B$2),
SUM(_xlfn._xlws.FILTER(_xlpm.data,(_xlpm.states="North Carolina")+(_xlpm.states="Arizona")+(_xlpm.states="Maryland"))))</f>
        <v>329117.2684283554</v>
      </c>
      <c r="N49" s="12" cm="1">
        <f t="array" ref="N49">_xlfn.LET(_xlpm.data,_xlfn.VSTACK('MS:NCA9'!N49),_xlpm.states,_xlfn.VSTACK('MS:NCA9'!$B$2),
SUM(_xlfn._xlws.FILTER(_xlpm.data,(_xlpm.states="North Carolina")+(_xlpm.states="Arizona")+(_xlpm.states="Maryland"))))</f>
        <v>321113.30106613867</v>
      </c>
      <c r="O49" s="12" cm="1">
        <f t="array" ref="O49">_xlfn.LET(_xlpm.data,_xlfn.VSTACK('MS:NCA9'!O49),_xlpm.states,_xlfn.VSTACK('MS:NCA9'!$B$2),
SUM(_xlfn._xlws.FILTER(_xlpm.data,(_xlpm.states="North Carolina")+(_xlpm.states="Arizona")+(_xlpm.states="Maryland"))))</f>
        <v>312923.7039503397</v>
      </c>
      <c r="P49" s="12" cm="1">
        <f t="array" ref="P49">_xlfn.LET(_xlpm.data,_xlfn.VSTACK('MS:NCA9'!P49),_xlpm.states,_xlfn.VSTACK('MS:NCA9'!$B$2),
SUM(_xlfn._xlws.FILTER(_xlpm.data,(_xlpm.states="North Carolina")+(_xlpm.states="Arizona")+(_xlpm.states="Maryland"))))</f>
        <v>308041.11726060207</v>
      </c>
      <c r="Q49" s="12">
        <f>SUM('MDA1:NCA9'!Q49)</f>
        <v>895041.79931503895</v>
      </c>
      <c r="R49" s="12">
        <f>SUM('MDA1:NCA9'!R49)</f>
        <v>910668.36856786034</v>
      </c>
      <c r="S49" s="12">
        <f>SUM('MDA1:NCA9'!S49)</f>
        <v>927466.93051464309</v>
      </c>
      <c r="T49" s="12">
        <f>SUM('MDA1:NCA9'!T49)</f>
        <v>944656.15669274668</v>
      </c>
      <c r="U49" s="12">
        <f>SUM('MDA1:NCA9'!U49)</f>
        <v>958720.06902028539</v>
      </c>
      <c r="V49" s="12">
        <f>SUM('MDA1:NCA9'!V49)</f>
        <v>972002.65288518334</v>
      </c>
      <c r="W49" s="12">
        <f>SUM('MDA1:NCA9'!W49)</f>
        <v>987238.557906684</v>
      </c>
      <c r="X49" s="12">
        <f>SUM('MDA1:NCA9'!X49)</f>
        <v>1002865.1271595053</v>
      </c>
      <c r="Y49" s="12">
        <f>SUM('MDA1:NCA9'!Y49)</f>
        <v>1016147.7110244035</v>
      </c>
      <c r="Z49" s="12">
        <f>SUM('MDA1:NCA9'!Z49)</f>
        <v>1030992.9518145833</v>
      </c>
      <c r="AA49" s="12">
        <f>SUM('MDA1:NCA9'!AA49)</f>
        <v>1045838.192604763</v>
      </c>
      <c r="AB49" s="12">
        <f>SUM('MDA1:NCA9'!AB49)</f>
        <v>1059511.440700982</v>
      </c>
      <c r="AC49" s="12">
        <f>SUM('MDA1:NCA9'!AC49)</f>
        <v>1177350.138964657</v>
      </c>
      <c r="AD49" s="12">
        <f>SUM('MDA1:NCA9'!AD49)</f>
        <v>1191101.5199071399</v>
      </c>
      <c r="AE49" s="12">
        <f>SUM('MDA1:NCA9'!AE49)</f>
        <v>1203993.4395407173</v>
      </c>
      <c r="AF49" s="12">
        <f>SUM('MDA1:NCA9'!AF49)</f>
        <v>1216025.8978653899</v>
      </c>
      <c r="AG49" s="12">
        <f>SUM('MDA1:NCA9'!AG49)</f>
        <v>1227198.8948811567</v>
      </c>
      <c r="AH49" s="12">
        <f>SUM('MDA1:NCA9'!AH49)</f>
        <v>1240950.2758236397</v>
      </c>
      <c r="AI49" s="12">
        <f>SUM('MDA1:NCA9'!AI49)</f>
        <v>1257280.040692837</v>
      </c>
      <c r="AJ49" s="12">
        <f>SUM('MDA1:NCA9'!AJ49)</f>
        <v>1273180.074907583</v>
      </c>
      <c r="AK49" s="12">
        <f>SUM('MDA1:NCA9'!AK49)</f>
        <v>1288650.3784678755</v>
      </c>
      <c r="AL49" s="12">
        <f>SUM('MDA1:NCA9'!AL49)</f>
        <v>1303261.2207192646</v>
      </c>
      <c r="AM49" s="12">
        <f>SUM('MDA1:NCA9'!AM49)</f>
        <v>1319590.9855884628</v>
      </c>
      <c r="AN49" s="12">
        <f>SUM('MDA1:NCA9'!AN49)</f>
        <v>1334631.5584943036</v>
      </c>
    </row>
    <row r="50" spans="2:40" x14ac:dyDescent="0.25">
      <c r="B50" s="1" t="s">
        <v>332</v>
      </c>
      <c r="E50" s="13">
        <f>SUM(E40:E49)</f>
        <v>1807867.3165466313</v>
      </c>
      <c r="F50" s="13">
        <f t="shared" ref="F50:AN50" si="1">SUM(F40:F49)</f>
        <v>1834665.7513633885</v>
      </c>
      <c r="G50" s="13">
        <f t="shared" si="1"/>
        <v>1833450.3519825791</v>
      </c>
      <c r="H50" s="13">
        <f t="shared" si="1"/>
        <v>1923539.4602061817</v>
      </c>
      <c r="I50" s="13">
        <f t="shared" si="1"/>
        <v>1942054.6575384</v>
      </c>
      <c r="J50" s="13">
        <f t="shared" si="1"/>
        <v>1889155.5719990598</v>
      </c>
      <c r="K50" s="13">
        <f t="shared" si="1"/>
        <v>2040531.3360990491</v>
      </c>
      <c r="L50" s="13">
        <f t="shared" si="1"/>
        <v>2170106.8978311955</v>
      </c>
      <c r="M50" s="13">
        <f t="shared" si="1"/>
        <v>2088514.0663566017</v>
      </c>
      <c r="N50" s="13">
        <f t="shared" si="1"/>
        <v>2165198.4523740173</v>
      </c>
      <c r="O50" s="13">
        <f t="shared" si="1"/>
        <v>2231582.3166455207</v>
      </c>
      <c r="P50" s="13">
        <f t="shared" si="1"/>
        <v>2291503.0458102189</v>
      </c>
      <c r="Q50" s="13">
        <f t="shared" si="1"/>
        <v>6436089.3346132785</v>
      </c>
      <c r="R50" s="13">
        <f t="shared" si="1"/>
        <v>6543784.7759068646</v>
      </c>
      <c r="S50" s="13">
        <f t="shared" si="1"/>
        <v>6890365.1172797224</v>
      </c>
      <c r="T50" s="13">
        <f t="shared" si="1"/>
        <v>7162545.9855360175</v>
      </c>
      <c r="U50" s="13">
        <f t="shared" si="1"/>
        <v>7623173.567249909</v>
      </c>
      <c r="V50" s="13">
        <f t="shared" si="1"/>
        <v>7852013.7961966172</v>
      </c>
      <c r="W50" s="13">
        <f t="shared" si="1"/>
        <v>7936028.59647917</v>
      </c>
      <c r="X50" s="13">
        <f t="shared" si="1"/>
        <v>8328969.0530224163</v>
      </c>
      <c r="Y50" s="13">
        <f t="shared" si="1"/>
        <v>8717883.2538473364</v>
      </c>
      <c r="Z50" s="13">
        <f t="shared" si="1"/>
        <v>8948962.2929345146</v>
      </c>
      <c r="AA50" s="13">
        <f t="shared" si="1"/>
        <v>9091779.836981304</v>
      </c>
      <c r="AB50" s="13">
        <f t="shared" si="1"/>
        <v>9383505.0563612171</v>
      </c>
      <c r="AC50" s="13">
        <f t="shared" si="1"/>
        <v>10461260.447185919</v>
      </c>
      <c r="AD50" s="13">
        <f t="shared" si="1"/>
        <v>10671666.356466081</v>
      </c>
      <c r="AE50" s="13">
        <f t="shared" si="1"/>
        <v>10886088.274475928</v>
      </c>
      <c r="AF50" s="13">
        <f t="shared" si="1"/>
        <v>11324708.818627298</v>
      </c>
      <c r="AG50" s="13">
        <f t="shared" si="1"/>
        <v>11422342.586298667</v>
      </c>
      <c r="AH50" s="13">
        <f t="shared" si="1"/>
        <v>11773116.14138105</v>
      </c>
      <c r="AI50" s="13">
        <f t="shared" si="1"/>
        <v>12132357.33111294</v>
      </c>
      <c r="AJ50" s="13">
        <f t="shared" si="1"/>
        <v>12473466.190093759</v>
      </c>
      <c r="AK50" s="13">
        <f t="shared" si="1"/>
        <v>12814580.902472038</v>
      </c>
      <c r="AL50" s="13">
        <f t="shared" si="1"/>
        <v>12996589.002041362</v>
      </c>
      <c r="AM50" s="13">
        <f t="shared" si="1"/>
        <v>13341425.765963992</v>
      </c>
      <c r="AN50" s="13">
        <f t="shared" si="1"/>
        <v>13619273.815064859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50</v>
      </c>
      <c r="E52" s="74">
        <f>E37-E50</f>
        <v>272354.86816627556</v>
      </c>
      <c r="F52" s="74">
        <f t="shared" ref="F52:AN52" si="2">F37-F50</f>
        <v>295007.51925551309</v>
      </c>
      <c r="G52" s="74">
        <f t="shared" si="2"/>
        <v>355227.54959080694</v>
      </c>
      <c r="H52" s="74">
        <f t="shared" si="2"/>
        <v>296430.43577308208</v>
      </c>
      <c r="I52" s="74">
        <f t="shared" si="2"/>
        <v>304493.20098295435</v>
      </c>
      <c r="J52" s="74">
        <f t="shared" si="2"/>
        <v>441490.29986640182</v>
      </c>
      <c r="K52" s="74">
        <f t="shared" si="2"/>
        <v>449017.18488692306</v>
      </c>
      <c r="L52" s="74">
        <f t="shared" si="2"/>
        <v>377972.25481083058</v>
      </c>
      <c r="M52" s="74">
        <f t="shared" si="2"/>
        <v>522752.90365619864</v>
      </c>
      <c r="N52" s="74">
        <f t="shared" si="2"/>
        <v>536461.55983740604</v>
      </c>
      <c r="O52" s="74">
        <f t="shared" si="2"/>
        <v>579289.80441520456</v>
      </c>
      <c r="P52" s="74">
        <f t="shared" si="2"/>
        <v>637421.55623081559</v>
      </c>
      <c r="Q52" s="74">
        <f t="shared" si="2"/>
        <v>-3307238.1901400792</v>
      </c>
      <c r="R52" s="74">
        <f t="shared" si="2"/>
        <v>-3307504.3099597441</v>
      </c>
      <c r="S52" s="74">
        <f t="shared" si="2"/>
        <v>-3551189.9817901449</v>
      </c>
      <c r="T52" s="74">
        <f t="shared" si="2"/>
        <v>-3721022.9513149071</v>
      </c>
      <c r="U52" s="74">
        <f t="shared" si="2"/>
        <v>-4083799.1136001246</v>
      </c>
      <c r="V52" s="74">
        <f t="shared" si="2"/>
        <v>-4205435.990995599</v>
      </c>
      <c r="W52" s="74">
        <f t="shared" si="2"/>
        <v>-4136962.8235154795</v>
      </c>
      <c r="X52" s="74">
        <f t="shared" si="2"/>
        <v>-4385869.2134598596</v>
      </c>
      <c r="Y52" s="74">
        <f t="shared" si="2"/>
        <v>-4667611.4223752497</v>
      </c>
      <c r="Z52" s="74">
        <f t="shared" si="2"/>
        <v>-4791518.4695528951</v>
      </c>
      <c r="AA52" s="74">
        <f t="shared" si="2"/>
        <v>-4832019.4745098557</v>
      </c>
      <c r="AB52" s="74">
        <f t="shared" si="2"/>
        <v>-5048937.1803566944</v>
      </c>
      <c r="AC52" s="74">
        <f t="shared" si="2"/>
        <v>-6047576.3756395457</v>
      </c>
      <c r="AD52" s="74">
        <f t="shared" si="2"/>
        <v>-6178866.0893778587</v>
      </c>
      <c r="AE52" s="74">
        <f t="shared" si="2"/>
        <v>-6333357.199988069</v>
      </c>
      <c r="AF52" s="74">
        <f t="shared" si="2"/>
        <v>-6706881.1362457648</v>
      </c>
      <c r="AG52" s="74">
        <f t="shared" si="2"/>
        <v>-6735109.6140146842</v>
      </c>
      <c r="AH52" s="74">
        <f t="shared" si="2"/>
        <v>-6925198.4131070701</v>
      </c>
      <c r="AI52" s="74">
        <f t="shared" si="2"/>
        <v>-7158555.0690603917</v>
      </c>
      <c r="AJ52" s="74">
        <f t="shared" si="2"/>
        <v>-7378088.0762714185</v>
      </c>
      <c r="AK52" s="74">
        <f t="shared" si="2"/>
        <v>-7621374.0512388097</v>
      </c>
      <c r="AL52" s="74">
        <f t="shared" si="2"/>
        <v>-7733976.8609056845</v>
      </c>
      <c r="AM52" s="74">
        <f t="shared" si="2"/>
        <v>-8009408.3349258648</v>
      </c>
      <c r="AN52" s="74">
        <f t="shared" si="2"/>
        <v>-8222159.7761330577</v>
      </c>
    </row>
    <row r="53" spans="2:40" x14ac:dyDescent="0.25">
      <c r="B53" s="1"/>
      <c r="E53" s="111">
        <f>IFERROR(E52/E37,"")</f>
        <v>0.13092585502056045</v>
      </c>
      <c r="F53" s="111">
        <f t="shared" ref="F53:AN53" si="3">IFERROR(F52/F37,"")</f>
        <v>0.1385224312693662</v>
      </c>
      <c r="G53" s="111">
        <f t="shared" si="3"/>
        <v>0.16230234212875394</v>
      </c>
      <c r="H53" s="111">
        <f t="shared" si="3"/>
        <v>0.13352903402427532</v>
      </c>
      <c r="I53" s="111">
        <f t="shared" si="3"/>
        <v>0.13553826589003423</v>
      </c>
      <c r="J53" s="111">
        <f t="shared" si="3"/>
        <v>0.18942830620296278</v>
      </c>
      <c r="K53" s="111">
        <f t="shared" si="3"/>
        <v>0.18036088917403073</v>
      </c>
      <c r="L53" s="111">
        <f t="shared" si="3"/>
        <v>0.14833615133930303</v>
      </c>
      <c r="M53" s="111">
        <f t="shared" si="3"/>
        <v>0.20019129015124645</v>
      </c>
      <c r="N53" s="111">
        <f t="shared" si="3"/>
        <v>0.19856738353923722</v>
      </c>
      <c r="O53" s="111">
        <f t="shared" si="3"/>
        <v>0.20608899283422427</v>
      </c>
      <c r="P53" s="111">
        <f t="shared" si="3"/>
        <v>0.21762989589647527</v>
      </c>
      <c r="Q53" s="111">
        <f t="shared" si="3"/>
        <v>-1.0570135929866726</v>
      </c>
      <c r="R53" s="111">
        <f t="shared" si="3"/>
        <v>-1.0220079331077938</v>
      </c>
      <c r="S53" s="111">
        <f t="shared" si="3"/>
        <v>-1.0634931795122757</v>
      </c>
      <c r="T53" s="111">
        <f t="shared" si="3"/>
        <v>-1.0812140190010535</v>
      </c>
      <c r="U53" s="111">
        <f t="shared" si="3"/>
        <v>-1.1538194579522187</v>
      </c>
      <c r="V53" s="111">
        <f t="shared" si="3"/>
        <v>-1.1532555222042695</v>
      </c>
      <c r="W53" s="111">
        <f t="shared" si="3"/>
        <v>-1.0889421428174411</v>
      </c>
      <c r="X53" s="111">
        <f t="shared" si="3"/>
        <v>-1.112289668512787</v>
      </c>
      <c r="Y53" s="111">
        <f t="shared" si="3"/>
        <v>-1.1524192984051613</v>
      </c>
      <c r="Z53" s="111">
        <f t="shared" si="3"/>
        <v>-1.1525155054664158</v>
      </c>
      <c r="AA53" s="111">
        <f t="shared" si="3"/>
        <v>-1.1343406819500972</v>
      </c>
      <c r="AB53" s="111">
        <f t="shared" si="3"/>
        <v>-1.1648075021057593</v>
      </c>
      <c r="AC53" s="111">
        <f t="shared" si="3"/>
        <v>-1.3701878697268706</v>
      </c>
      <c r="AD53" s="111">
        <f t="shared" si="3"/>
        <v>-1.3752817223237865</v>
      </c>
      <c r="AE53" s="111">
        <f t="shared" si="3"/>
        <v>-1.3911116418622451</v>
      </c>
      <c r="AF53" s="111">
        <f t="shared" si="3"/>
        <v>-1.4523887848467427</v>
      </c>
      <c r="AG53" s="111">
        <f t="shared" si="3"/>
        <v>-1.4369052389416048</v>
      </c>
      <c r="AH53" s="111">
        <f t="shared" si="3"/>
        <v>-1.4284892610115874</v>
      </c>
      <c r="AI53" s="111">
        <f t="shared" si="3"/>
        <v>-1.439252043386674</v>
      </c>
      <c r="AJ53" s="111">
        <f t="shared" si="3"/>
        <v>-1.4479961862411588</v>
      </c>
      <c r="AK53" s="111">
        <f t="shared" si="3"/>
        <v>-1.4675660472543985</v>
      </c>
      <c r="AL53" s="111">
        <f t="shared" si="3"/>
        <v>-1.4696079919043177</v>
      </c>
      <c r="AM53" s="111">
        <f t="shared" si="3"/>
        <v>-1.5021346870140404</v>
      </c>
      <c r="AN53" s="111">
        <f t="shared" si="3"/>
        <v>-1.5234363618820979</v>
      </c>
    </row>
    <row r="54" spans="2:40" x14ac:dyDescent="0.25">
      <c r="B54" s="39" t="s">
        <v>356</v>
      </c>
      <c r="C54" s="12">
        <v>53455.242566182867</v>
      </c>
      <c r="E54" s="67">
        <f>E67*_xlfn.XLOOKUP(YEAR($E$25),Base!$BJ$4:$BL$4,Base!$BJ$276:$BL$276,0,0)/12</f>
        <v>47309.450356779322</v>
      </c>
      <c r="F54" s="67">
        <f>F67*_xlfn.XLOOKUP(YEAR($E$25),Base!$BJ$4:$BL$4,Base!$BJ$276:$BL$276,0,0)/12</f>
        <v>58030.753504078835</v>
      </c>
      <c r="G54" s="67">
        <f>G67*_xlfn.XLOOKUP(YEAR($E$25),Base!$BJ$4:$BL$4,Base!$BJ$276:$BL$276,0,0)/12</f>
        <v>69112.681544484396</v>
      </c>
      <c r="H54" s="67">
        <f>H67*_xlfn.XLOOKUP(YEAR($E$25),Base!$BJ$4:$BL$4,Base!$BJ$276:$BL$276,0,0)/12</f>
        <v>78211.23057943795</v>
      </c>
      <c r="I54" s="67">
        <f>I67*_xlfn.XLOOKUP(YEAR($E$25),Base!$BJ$4:$BL$4,Base!$BJ$276:$BL$276,0,0)/12</f>
        <v>90203.604798511602</v>
      </c>
      <c r="J54" s="67">
        <f>J67*_xlfn.XLOOKUP(YEAR($E$25),Base!$BJ$4:$BL$4,Base!$BJ$276:$BL$276,0,0)/12</f>
        <v>101352.27338037443</v>
      </c>
      <c r="K54" s="67">
        <f>K67*_xlfn.XLOOKUP(YEAR($E$25),Base!$BJ$4:$BL$4,Base!$BJ$276:$BL$276,0,0)/12</f>
        <v>111403.38820998558</v>
      </c>
      <c r="L54" s="67">
        <f>L67*_xlfn.XLOOKUP(YEAR($E$25),Base!$BJ$4:$BL$4,Base!$BJ$276:$BL$276,0,0)/12</f>
        <v>121683.26265290531</v>
      </c>
      <c r="M54" s="67">
        <f>M67*_xlfn.XLOOKUP(YEAR($E$25),Base!$BJ$4:$BL$4,Base!$BJ$276:$BL$276,0,0)/12</f>
        <v>132645.11479731076</v>
      </c>
      <c r="N54" s="67">
        <f>N67*_xlfn.XLOOKUP(YEAR($E$25),Base!$BJ$4:$BL$4,Base!$BJ$276:$BL$276,0,0)/12</f>
        <v>143434.0037330412</v>
      </c>
      <c r="O54" s="67">
        <f>O67*_xlfn.XLOOKUP(YEAR($E$25),Base!$BJ$4:$BL$4,Base!$BJ$276:$BL$276,0,0)/12</f>
        <v>151576.59129030423</v>
      </c>
      <c r="P54" s="67">
        <f>P67*_xlfn.XLOOKUP(YEAR($E$25),Base!$BJ$4:$BL$4,Base!$BJ$276:$BL$276,0,0)/12</f>
        <v>159497.21371524784</v>
      </c>
      <c r="Q54" s="67">
        <f>Q67*_xlfn.XLOOKUP(YEAR($E$25),Base!$BJ$4:$BL$4,Base!$BJ$276:$BL$276,0,0)/12</f>
        <v>223043.5165213749</v>
      </c>
      <c r="R54" s="67">
        <f>R67*_xlfn.XLOOKUP(YEAR($E$25),Base!$BJ$4:$BL$4,Base!$BJ$276:$BL$276,0,0)/12</f>
        <v>261117.53130891512</v>
      </c>
      <c r="S54" s="67">
        <f>S67*_xlfn.XLOOKUP(YEAR($E$25),Base!$BJ$4:$BL$4,Base!$BJ$276:$BL$276,0,0)/12</f>
        <v>299900.71971491177</v>
      </c>
      <c r="T54" s="67">
        <f>T67*_xlfn.XLOOKUP(YEAR($E$25),Base!$BJ$4:$BL$4,Base!$BJ$276:$BL$276,0,0)/12</f>
        <v>340275.83098223846</v>
      </c>
      <c r="U54" s="67">
        <f>U67*_xlfn.XLOOKUP(YEAR($E$25),Base!$BJ$4:$BL$4,Base!$BJ$276:$BL$276,0,0)/12</f>
        <v>386911.62022517313</v>
      </c>
      <c r="V54" s="67">
        <f>V67*_xlfn.XLOOKUP(YEAR($E$25),Base!$BJ$4:$BL$4,Base!$BJ$276:$BL$276,0,0)/12</f>
        <v>438503.04043374263</v>
      </c>
      <c r="W54" s="67">
        <f>W67*_xlfn.XLOOKUP(YEAR($E$25),Base!$BJ$4:$BL$4,Base!$BJ$276:$BL$276,0,0)/12</f>
        <v>488546.68425095873</v>
      </c>
      <c r="X54" s="67">
        <f>X67*_xlfn.XLOOKUP(YEAR($E$25),Base!$BJ$4:$BL$4,Base!$BJ$276:$BL$276,0,0)/12</f>
        <v>541061.09342204139</v>
      </c>
      <c r="Y54" s="67">
        <f>Y67*_xlfn.XLOOKUP(YEAR($E$25),Base!$BJ$4:$BL$4,Base!$BJ$276:$BL$276,0,0)/12</f>
        <v>598390.94716253493</v>
      </c>
      <c r="Z54" s="67">
        <f>Z67*_xlfn.XLOOKUP(YEAR($E$25),Base!$BJ$4:$BL$4,Base!$BJ$276:$BL$276,0,0)/12</f>
        <v>659895.92918055796</v>
      </c>
      <c r="AA54" s="67">
        <f>AA67*_xlfn.XLOOKUP(YEAR($E$25),Base!$BJ$4:$BL$4,Base!$BJ$276:$BL$276,0,0)/12</f>
        <v>720487.69842110341</v>
      </c>
      <c r="AB54" s="67">
        <f>AB67*_xlfn.XLOOKUP(YEAR($E$25),Base!$BJ$4:$BL$4,Base!$BJ$276:$BL$276,0,0)/12</f>
        <v>780580.13309702463</v>
      </c>
      <c r="AC54" s="67">
        <f>AC67*_xlfn.XLOOKUP(YEAR($E$25),Base!$BJ$4:$BL$4,Base!$BJ$276:$BL$276,0,0)/12</f>
        <v>798042.05243808869</v>
      </c>
      <c r="AD54" s="67">
        <f>AD67*_xlfn.XLOOKUP(YEAR($E$25),Base!$BJ$4:$BL$4,Base!$BJ$276:$BL$276,0,0)/12</f>
        <v>868376.05408742593</v>
      </c>
      <c r="AE54" s="67">
        <f>AE67*_xlfn.XLOOKUP(YEAR($E$25),Base!$BJ$4:$BL$4,Base!$BJ$276:$BL$276,0,0)/12</f>
        <v>939406.62538681307</v>
      </c>
      <c r="AF54" s="67">
        <f>AF67*_xlfn.XLOOKUP(YEAR($E$25),Base!$BJ$4:$BL$4,Base!$BJ$276:$BL$276,0,0)/12</f>
        <v>1013983.4294003057</v>
      </c>
      <c r="AG54" s="67">
        <f>AG67*_xlfn.XLOOKUP(YEAR($E$25),Base!$BJ$4:$BL$4,Base!$BJ$276:$BL$276,0,0)/12</f>
        <v>1091034.6562797735</v>
      </c>
      <c r="AH54" s="67">
        <f>AH67*_xlfn.XLOOKUP(YEAR($E$25),Base!$BJ$4:$BL$4,Base!$BJ$276:$BL$276,0,0)/12</f>
        <v>1172184.4444712542</v>
      </c>
      <c r="AI54" s="67">
        <f>AI67*_xlfn.XLOOKUP(YEAR($E$25),Base!$BJ$4:$BL$4,Base!$BJ$276:$BL$276,0,0)/12</f>
        <v>1257807.1020817228</v>
      </c>
      <c r="AJ54" s="67">
        <f>AJ67*_xlfn.XLOOKUP(YEAR($E$25),Base!$BJ$4:$BL$4,Base!$BJ$276:$BL$276,0,0)/12</f>
        <v>1347545.8982884828</v>
      </c>
      <c r="AK54" s="67">
        <f>AK67*_xlfn.XLOOKUP(YEAR($E$25),Base!$BJ$4:$BL$4,Base!$BJ$276:$BL$276,0,0)/12</f>
        <v>1442079.3901056983</v>
      </c>
      <c r="AL54" s="67">
        <f>AL67*_xlfn.XLOOKUP(YEAR($E$25),Base!$BJ$4:$BL$4,Base!$BJ$276:$BL$276,0,0)/12</f>
        <v>1536980.9327620687</v>
      </c>
      <c r="AM54" s="67">
        <f>AM67*_xlfn.XLOOKUP(YEAR($E$25),Base!$BJ$4:$BL$4,Base!$BJ$276:$BL$276,0,0)/12</f>
        <v>1633708.3929183243</v>
      </c>
      <c r="AN54" s="67">
        <f>AN67*_xlfn.XLOOKUP(YEAR($E$25),Base!$BJ$4:$BL$4,Base!$BJ$276:$BL$276,0,0)/12</f>
        <v>1731851.1934551059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334</v>
      </c>
      <c r="E56" s="74">
        <f t="shared" ref="E56:AN56" si="4">E52-E54</f>
        <v>225045.41780949623</v>
      </c>
      <c r="F56" s="74">
        <f t="shared" si="4"/>
        <v>236976.76575143426</v>
      </c>
      <c r="G56" s="74">
        <f t="shared" si="4"/>
        <v>286114.86804632255</v>
      </c>
      <c r="H56" s="74">
        <f t="shared" si="4"/>
        <v>218219.20519364413</v>
      </c>
      <c r="I56" s="74">
        <f t="shared" si="4"/>
        <v>214289.59618444275</v>
      </c>
      <c r="J56" s="74">
        <f t="shared" si="4"/>
        <v>340138.0264860274</v>
      </c>
      <c r="K56" s="74">
        <f t="shared" si="4"/>
        <v>337613.79667693749</v>
      </c>
      <c r="L56" s="74">
        <f t="shared" si="4"/>
        <v>256288.99215792527</v>
      </c>
      <c r="M56" s="74">
        <f t="shared" si="4"/>
        <v>390107.78885888786</v>
      </c>
      <c r="N56" s="74">
        <f t="shared" si="4"/>
        <v>393027.5561043648</v>
      </c>
      <c r="O56" s="74">
        <f t="shared" si="4"/>
        <v>427713.21312490036</v>
      </c>
      <c r="P56" s="74">
        <f t="shared" si="4"/>
        <v>477924.34251556778</v>
      </c>
      <c r="Q56" s="74">
        <f t="shared" si="4"/>
        <v>-3530281.7066614539</v>
      </c>
      <c r="R56" s="74">
        <f t="shared" si="4"/>
        <v>-3568621.8412686591</v>
      </c>
      <c r="S56" s="74">
        <f t="shared" si="4"/>
        <v>-3851090.7015050566</v>
      </c>
      <c r="T56" s="74">
        <f t="shared" si="4"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    <f t="shared" si="4"/>
        <v>-4625509.5077664386</v>
      </c>
      <c r="X56" s="74">
        <f t="shared" si="4"/>
        <v>-4926930.3068819009</v>
      </c>
      <c r="Y56" s="74">
        <f t="shared" si="4"/>
        <v>-5266002.3695377847</v>
      </c>
      <c r="Z56" s="74">
        <f t="shared" si="4"/>
        <v>-5451414.3987334529</v>
      </c>
      <c r="AA56" s="74">
        <f t="shared" si="4"/>
        <v>-5552507.1729309596</v>
      </c>
      <c r="AB56" s="74">
        <f t="shared" si="4"/>
        <v>-5829517.313453719</v>
      </c>
      <c r="AC56" s="74">
        <f t="shared" si="4"/>
        <v>-6845618.4280776344</v>
      </c>
      <c r="AD56" s="74">
        <f t="shared" si="4"/>
        <v>-7047242.1434652843</v>
      </c>
      <c r="AE56" s="74">
        <f t="shared" si="4"/>
        <v>-7272763.8253748817</v>
      </c>
      <c r="AF56" s="74">
        <f t="shared" si="4"/>
        <v>-7720864.565646071</v>
      </c>
      <c r="AG56" s="74">
        <f t="shared" si="4"/>
        <v>-7826144.2702944577</v>
      </c>
      <c r="AH56" s="74">
        <f t="shared" si="4"/>
        <v>-8097382.8575783242</v>
      </c>
      <c r="AI56" s="74">
        <f t="shared" si="4"/>
        <v>-8416362.1711421143</v>
      </c>
      <c r="AJ56" s="74">
        <f t="shared" si="4"/>
        <v>-8725633.9745599013</v>
      </c>
      <c r="AK56" s="74">
        <f t="shared" si="4"/>
        <v>-9063453.441344507</v>
      </c>
      <c r="AL56" s="74">
        <f t="shared" si="4"/>
        <v>-9270957.7936677523</v>
      </c>
      <c r="AM56" s="74">
        <f t="shared" si="4"/>
        <v>-9643116.7278441899</v>
      </c>
      <c r="AN56" s="74">
        <f t="shared" si="4"/>
        <v>-9954010.9695881642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60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345</v>
      </c>
      <c r="E59" s="12">
        <f>SUM('MDA1:NCA9'!E56)</f>
        <v>-564877.58317066939</v>
      </c>
      <c r="F59" s="12">
        <f>SUM('MDA1:NCA9'!F56)</f>
        <v>-496371.82187200256</v>
      </c>
      <c r="G59" s="12">
        <f>SUM('MDA1:NCA9'!G56)</f>
        <v>-593953.86814080284</v>
      </c>
      <c r="H59" s="12">
        <f>SUM('MDA1:NCA9'!H56)</f>
        <v>-602150.95888906927</v>
      </c>
      <c r="I59" s="12">
        <f>SUM('MDA1:NCA9'!I56)</f>
        <v>-620651.86628000252</v>
      </c>
      <c r="J59" s="12">
        <f>SUM('MDA1:NCA9'!J56)</f>
        <v>-633162.50598293601</v>
      </c>
      <c r="K59" s="12">
        <f>SUM('MDA1:NCA9'!K56)</f>
        <v>-720033.55545470188</v>
      </c>
      <c r="L59" s="12">
        <f>SUM('MDA1:NCA9'!L56)</f>
        <v>-753398.79232347431</v>
      </c>
      <c r="M59" s="12">
        <f>SUM('MDA1:NCA9'!M56)</f>
        <v>-743663.26025735331</v>
      </c>
      <c r="N59" s="12">
        <f>SUM('MDA1:NCA9'!N56)</f>
        <v>-854488.30313748703</v>
      </c>
      <c r="O59" s="12">
        <f>SUM('MDA1:NCA9'!O56)</f>
        <v>-899994.14165056485</v>
      </c>
      <c r="P59" s="12">
        <f>SUM('MDA1:NCA9'!P56)</f>
        <v>-920387.95493299747</v>
      </c>
      <c r="Q59" s="12">
        <f>SUM('MDA1:NCA9'!Q56)</f>
        <v>-984564.97029494762</v>
      </c>
      <c r="R59" s="12">
        <f>SUM('MDA1:NCA9'!R56)</f>
        <v>-1075654.1451909104</v>
      </c>
      <c r="S59" s="12">
        <f>SUM('MDA1:NCA9'!S56)</f>
        <v>-1123617.6077004992</v>
      </c>
      <c r="T59" s="12">
        <f>SUM('MDA1:NCA9'!T56)</f>
        <v>-1127257.8312804054</v>
      </c>
      <c r="U59" s="12">
        <f>SUM('MDA1:NCA9'!U56)</f>
        <v>-1192556.9544755947</v>
      </c>
      <c r="V59" s="12">
        <f>SUM('MDA1:NCA9'!V56)</f>
        <v>-1318728.4165885032</v>
      </c>
      <c r="W59" s="12">
        <f>SUM('MDA1:NCA9'!W56)</f>
        <v>-1364406.6450129109</v>
      </c>
      <c r="X59" s="12">
        <f>SUM('MDA1:NCA9'!X56)</f>
        <v>-1394891.9917668798</v>
      </c>
      <c r="Y59" s="12">
        <f>SUM('MDA1:NCA9'!Y56)</f>
        <v>-1467527.9829351855</v>
      </c>
      <c r="Z59" s="12">
        <f>SUM('MDA1:NCA9'!Z56)</f>
        <v>-1607808.1856876253</v>
      </c>
      <c r="AA59" s="12">
        <f>SUM('MDA1:NCA9'!AA56)</f>
        <v>-1750347.1617156405</v>
      </c>
      <c r="AB59" s="12">
        <f>SUM('MDA1:NCA9'!AB56)</f>
        <v>-1772566.4113450344</v>
      </c>
      <c r="AC59" s="12">
        <f>SUM('MDA1:NCA9'!AC56)</f>
        <v>-1829766.0700719759</v>
      </c>
      <c r="AD59" s="12">
        <f>SUM('MDA1:NCA9'!AD56)</f>
        <v>-1930625.4114289999</v>
      </c>
      <c r="AE59" s="12">
        <f>SUM('MDA1:NCA9'!AE56)</f>
        <v>-2033842.9191761299</v>
      </c>
      <c r="AF59" s="12">
        <f>SUM('MDA1:NCA9'!AF56)</f>
        <v>-2035006.1068331103</v>
      </c>
      <c r="AG59" s="12">
        <f>SUM('MDA1:NCA9'!AG56)</f>
        <v>-2026957.2071806914</v>
      </c>
      <c r="AH59" s="12">
        <f>SUM('MDA1:NCA9'!AH56)</f>
        <v>-2071125.3561439526</v>
      </c>
      <c r="AI59" s="12">
        <f>SUM('MDA1:NCA9'!AI56)</f>
        <v>-2117834.8345308146</v>
      </c>
      <c r="AJ59" s="12">
        <f>SUM('MDA1:NCA9'!AJ56)</f>
        <v>-2126330.9825481977</v>
      </c>
      <c r="AK59" s="12">
        <f>SUM('MDA1:NCA9'!AK56)</f>
        <v>-2197432.2927680849</v>
      </c>
      <c r="AL59" s="12">
        <f>SUM('MDA1:NCA9'!AL56)</f>
        <v>-2301649.4365046974</v>
      </c>
      <c r="AM59" s="12">
        <f>SUM('MDA1:NCA9'!AM56)</f>
        <v>-2409938.7531462</v>
      </c>
      <c r="AN59" s="12">
        <f>SUM('MDA1:NCA9'!AN56)</f>
        <v>-2524338.5691861683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336</v>
      </c>
      <c r="E61" s="13">
        <f>E37-E50-E58+E59</f>
        <v>-1238189.3816710603</v>
      </c>
      <c r="F61" s="13">
        <f t="shared" ref="F61:AN61" si="5">F37-F50-F58+F59</f>
        <v>-1382197.6359498226</v>
      </c>
      <c r="G61" s="13">
        <f t="shared" si="5"/>
        <v>-1419559.6518833293</v>
      </c>
      <c r="H61" s="13">
        <f t="shared" si="5"/>
        <v>-1144027.1897826539</v>
      </c>
      <c r="I61" s="13">
        <f t="shared" si="5"/>
        <v>-1520771.9986303814</v>
      </c>
      <c r="J61" s="13">
        <f t="shared" si="5"/>
        <v>-1396285.5394498673</v>
      </c>
      <c r="K61" s="13">
        <f t="shared" si="5"/>
        <v>-1238796.3705677788</v>
      </c>
      <c r="L61" s="13">
        <f t="shared" si="5"/>
        <v>-1259246.5375126437</v>
      </c>
      <c r="M61" s="13">
        <f t="shared" si="5"/>
        <v>-1339897.0232678214</v>
      </c>
      <c r="N61" s="13">
        <f t="shared" si="5"/>
        <v>-1305873.4099667477</v>
      </c>
      <c r="O61" s="13">
        <f t="shared" si="5"/>
        <v>-942244.33723536029</v>
      </c>
      <c r="P61" s="13">
        <f t="shared" si="5"/>
        <v>-904506.39870218188</v>
      </c>
      <c r="Q61" s="13">
        <f t="shared" si="5"/>
        <v>-4913343.1604350265</v>
      </c>
      <c r="R61" s="13">
        <f t="shared" si="5"/>
        <v>-4853491.7884839885</v>
      </c>
      <c r="S61" s="13">
        <f t="shared" si="5"/>
        <v>-4909974.2561573107</v>
      </c>
      <c r="T61" s="13">
        <f t="shared" si="5"/>
        <v>-5083447.4492619792</v>
      </c>
      <c r="U61" s="13">
        <f t="shared" si="5"/>
        <v>-5877829.4014090523</v>
      </c>
      <c r="V61" s="13">
        <f t="shared" si="5"/>
        <v>-6491944.4075841019</v>
      </c>
      <c r="W61" s="13">
        <f t="shared" si="5"/>
        <v>-6233982.8018617239</v>
      </c>
      <c r="X61" s="13">
        <f t="shared" si="5"/>
        <v>-6513374.538560072</v>
      </c>
      <c r="Y61" s="13">
        <f t="shared" si="5"/>
        <v>-7102919.4053104352</v>
      </c>
      <c r="Z61" s="13">
        <f t="shared" si="5"/>
        <v>-7602273.3219071869</v>
      </c>
      <c r="AA61" s="13">
        <f t="shared" si="5"/>
        <v>-7419006.6362254964</v>
      </c>
      <c r="AB61" s="13">
        <f t="shared" si="5"/>
        <v>-7291836.9250350613</v>
      </c>
      <c r="AC61" s="13">
        <f t="shared" si="5"/>
        <v>-8347675.7790448545</v>
      </c>
      <c r="AD61" s="13">
        <f t="shared" si="5"/>
        <v>-8579824.8341401909</v>
      </c>
      <c r="AE61" s="13">
        <f t="shared" si="5"/>
        <v>-8602366.7858308665</v>
      </c>
      <c r="AF61" s="13">
        <f t="shared" si="5"/>
        <v>-9004167.2430788744</v>
      </c>
      <c r="AG61" s="13">
        <f t="shared" si="5"/>
        <v>-9259513.4878620431</v>
      </c>
      <c r="AH61" s="13">
        <f t="shared" si="5"/>
        <v>-9728937.1025843564</v>
      </c>
      <c r="AI61" s="13">
        <f t="shared" si="5"/>
        <v>-10244169.903591206</v>
      </c>
      <c r="AJ61" s="13">
        <f t="shared" si="5"/>
        <v>-10707365.725486282</v>
      </c>
      <c r="AK61" s="13">
        <f t="shared" si="5"/>
        <v>-11256919.677340228</v>
      </c>
      <c r="AL61" s="13">
        <f t="shared" si="5"/>
        <v>-11211459.630743716</v>
      </c>
      <c r="AM61" s="13">
        <f t="shared" si="5"/>
        <v>-11360013.754738731</v>
      </c>
      <c r="AN61" s="13">
        <f t="shared" si="5"/>
        <v>-11451998.345319225</v>
      </c>
    </row>
    <row r="62" spans="2:40" x14ac:dyDescent="0.25">
      <c r="B62" t="s">
        <v>337</v>
      </c>
      <c r="E62" s="12" cm="1">
        <f t="array" ref="E62:AN62">_xlfn.SCAN(-D58,E61:AN61,_xlfn.LAMBDA(_xlpm.capex,_xlpm.fcf,_xlpm.capex+_xlpm.fcf))</f>
        <v>-5682929.3816710599</v>
      </c>
      <c r="F62" s="12">
        <v>-7065127.017620882</v>
      </c>
      <c r="G62" s="12">
        <v>-8484686.6695042104</v>
      </c>
      <c r="H62" s="12">
        <v>-9628713.8592868634</v>
      </c>
      <c r="I62" s="12">
        <v>-11149485.857917245</v>
      </c>
      <c r="J62" s="12">
        <v>-12545771.397367112</v>
      </c>
      <c r="K62" s="12">
        <v>-13784567.76793489</v>
      </c>
      <c r="L62" s="12">
        <v>-15043814.305447534</v>
      </c>
      <c r="M62" s="12">
        <v>-16383711.328715354</v>
      </c>
      <c r="N62" s="12">
        <v>-17689584.738682102</v>
      </c>
      <c r="O62" s="12">
        <v>-18631829.075917464</v>
      </c>
      <c r="P62" s="12">
        <v>-19536335.474619646</v>
      </c>
      <c r="Q62" s="12">
        <v>-24449678.63505467</v>
      </c>
      <c r="R62" s="12">
        <v>-29303170.423538659</v>
      </c>
      <c r="S62" s="12">
        <v>-34213144.679695971</v>
      </c>
      <c r="T62" s="12">
        <v>-39296592.12895795</v>
      </c>
      <c r="U62" s="12">
        <v>-45174421.530367002</v>
      </c>
      <c r="V62" s="12">
        <v>-51666365.937951103</v>
      </c>
      <c r="W62" s="12">
        <v>-57900348.739812829</v>
      </c>
      <c r="X62" s="12">
        <v>-64413723.278372899</v>
      </c>
      <c r="Y62" s="12">
        <v>-71516642.683683336</v>
      </c>
      <c r="Z62" s="12">
        <v>-79118916.005590528</v>
      </c>
      <c r="AA62" s="12">
        <v>-86537922.64181602</v>
      </c>
      <c r="AB62" s="12">
        <v>-93829759.566851079</v>
      </c>
      <c r="AC62" s="12">
        <v>-102177435.34589593</v>
      </c>
      <c r="AD62" s="12">
        <v>-110757260.18003613</v>
      </c>
      <c r="AE62" s="12">
        <v>-119359626.965867</v>
      </c>
      <c r="AF62" s="12">
        <v>-128363794.20894587</v>
      </c>
      <c r="AG62" s="12">
        <v>-137623307.69680792</v>
      </c>
      <c r="AH62" s="12">
        <v>-147352244.79939228</v>
      </c>
      <c r="AI62" s="12">
        <v>-157596414.7029835</v>
      </c>
      <c r="AJ62" s="12">
        <v>-168303780.42846978</v>
      </c>
      <c r="AK62" s="12">
        <v>-179560700.10581002</v>
      </c>
      <c r="AL62" s="12">
        <v>-190772159.73655373</v>
      </c>
      <c r="AM62" s="12">
        <v>-202132173.49129245</v>
      </c>
      <c r="AN62" s="12">
        <v>-213584171.83661166</v>
      </c>
    </row>
    <row r="64" spans="2:40" x14ac:dyDescent="0.25">
      <c r="B64" s="1" t="s">
        <v>272</v>
      </c>
      <c r="C64" s="1" t="s">
        <v>347</v>
      </c>
    </row>
    <row r="65" spans="2:40" x14ac:dyDescent="0.25">
      <c r="B65" s="39" t="s">
        <v>348</v>
      </c>
      <c r="E65" s="67">
        <f>C67+C54</f>
        <v>4869737.3325661831</v>
      </c>
      <c r="F65" s="67">
        <f t="shared" ref="F65:AN65" si="6">E67+E54</f>
        <v>6355236.1645940226</v>
      </c>
      <c r="G65" s="67">
        <f t="shared" si="6"/>
        <v>7795464.5540479235</v>
      </c>
      <c r="H65" s="67">
        <f t="shared" si="6"/>
        <v>9284136.8874757383</v>
      </c>
      <c r="I65" s="67">
        <f t="shared" si="6"/>
        <v>10506375.307837831</v>
      </c>
      <c r="J65" s="67">
        <f t="shared" si="6"/>
        <v>12117350.911266726</v>
      </c>
      <c r="K65" s="67">
        <f t="shared" si="6"/>
        <v>13614988.724096967</v>
      </c>
      <c r="L65" s="67">
        <f t="shared" si="6"/>
        <v>14965188.482874731</v>
      </c>
      <c r="M65" s="67">
        <f t="shared" si="6"/>
        <v>16346118.28304028</v>
      </c>
      <c r="N65" s="67">
        <f t="shared" si="6"/>
        <v>17818660.421105411</v>
      </c>
      <c r="O65" s="67">
        <f t="shared" si="6"/>
        <v>19267967.834805202</v>
      </c>
      <c r="P65" s="67">
        <f t="shared" si="6"/>
        <v>20361788.763330866</v>
      </c>
      <c r="Q65" s="67">
        <f t="shared" si="6"/>
        <v>21425792.375748295</v>
      </c>
      <c r="R65" s="67">
        <f t="shared" si="6"/>
        <v>29962179.052704696</v>
      </c>
      <c r="S65" s="67">
        <f t="shared" si="6"/>
        <v>35076788.372497596</v>
      </c>
      <c r="T65" s="67">
        <f t="shared" si="6"/>
        <v>40286663.348369814</v>
      </c>
      <c r="U65" s="67">
        <f t="shared" si="6"/>
        <v>45710386.628614031</v>
      </c>
      <c r="V65" s="67">
        <f t="shared" si="6"/>
        <v>51975127.650248259</v>
      </c>
      <c r="W65" s="67">
        <f t="shared" si="6"/>
        <v>58905575.098266102</v>
      </c>
      <c r="X65" s="67">
        <f t="shared" si="6"/>
        <v>65628104.584378786</v>
      </c>
      <c r="Y65" s="67">
        <f t="shared" si="6"/>
        <v>72682540.216360897</v>
      </c>
      <c r="Z65" s="67">
        <f t="shared" si="6"/>
        <v>80383850.568833873</v>
      </c>
      <c r="AA65" s="67">
        <f t="shared" si="6"/>
        <v>88646019.819921628</v>
      </c>
      <c r="AB65" s="67">
        <f t="shared" si="6"/>
        <v>96785514.154568225</v>
      </c>
      <c r="AC65" s="67">
        <f t="shared" si="6"/>
        <v>104857931.21270031</v>
      </c>
      <c r="AD65" s="67">
        <f t="shared" si="6"/>
        <v>107203649.04418325</v>
      </c>
      <c r="AE65" s="67">
        <f t="shared" si="6"/>
        <v>116651849.93241088</v>
      </c>
      <c r="AF65" s="67">
        <f t="shared" si="6"/>
        <v>126193623.34362857</v>
      </c>
      <c r="AG65" s="67">
        <f t="shared" si="6"/>
        <v>136211774.01610774</v>
      </c>
      <c r="AH65" s="67">
        <f t="shared" si="6"/>
        <v>146562322.16024956</v>
      </c>
      <c r="AI65" s="67">
        <f t="shared" si="6"/>
        <v>157463443.70730516</v>
      </c>
      <c r="AJ65" s="67">
        <f t="shared" si="6"/>
        <v>168965420.71297809</v>
      </c>
      <c r="AK65" s="67">
        <f t="shared" si="6"/>
        <v>181020332.33675286</v>
      </c>
      <c r="AL65" s="67">
        <f t="shared" si="6"/>
        <v>193719331.4041988</v>
      </c>
      <c r="AM65" s="67">
        <f t="shared" si="6"/>
        <v>206467771.96770456</v>
      </c>
      <c r="AN65" s="67">
        <f t="shared" si="6"/>
        <v>219461494.1153616</v>
      </c>
    </row>
    <row r="66" spans="2:40" x14ac:dyDescent="0.25">
      <c r="B66" s="39" t="s">
        <v>349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1438189.3816710603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1382197.6359498226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1419559.6518833293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1144027.1897826539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1520771.9986303814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1396285.5394498673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1238796.3705677791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1259246.5375126437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1339897.0232678214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1305873.4099667477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942244.33723536041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904506.39870218188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8313343.1604350265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4853491.7884839885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4909974.2561573107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5083447.4492619792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5877829.4014090523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6491944.4075841019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6233982.8018617239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6513374.538560072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7102919.4053104352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7602273.3219071869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7419006.6362254964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7291836.9250350613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1547675.7790448545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8579824.8341401909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8602366.7858308665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9004167.2430788744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9259513.4878620431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9728937.1025843564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10244169.903591206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10707365.725486282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11256919.677340228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11211459.630743716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11360013.754738731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11451998.345319225</v>
      </c>
    </row>
    <row r="67" spans="2:40" x14ac:dyDescent="0.25">
      <c r="B67" s="39" t="s">
        <v>350</v>
      </c>
      <c r="C67" s="12">
        <f>Base!$BJ$281</f>
        <v>4816282.09</v>
      </c>
      <c r="E67" s="74">
        <f>SUM(E65:E66)</f>
        <v>6307926.7142372429</v>
      </c>
      <c r="F67" s="74">
        <f t="shared" ref="F67:AN67" si="7">SUM(F65:F66)</f>
        <v>7737433.8005438447</v>
      </c>
      <c r="G67" s="74">
        <f t="shared" si="7"/>
        <v>9215024.2059312537</v>
      </c>
      <c r="H67" s="74">
        <f t="shared" si="7"/>
        <v>10428164.077258393</v>
      </c>
      <c r="I67" s="74">
        <f t="shared" si="7"/>
        <v>12027147.306468213</v>
      </c>
      <c r="J67" s="74">
        <f t="shared" si="7"/>
        <v>13513636.450716592</v>
      </c>
      <c r="K67" s="74">
        <f t="shared" si="7"/>
        <v>14853785.094664745</v>
      </c>
      <c r="L67" s="74">
        <f t="shared" si="7"/>
        <v>16224435.020387374</v>
      </c>
      <c r="M67" s="74">
        <f t="shared" si="7"/>
        <v>17686015.306308102</v>
      </c>
      <c r="N67" s="74">
        <f t="shared" si="7"/>
        <v>19124533.831072159</v>
      </c>
      <c r="O67" s="74">
        <f t="shared" si="7"/>
        <v>20210212.172040563</v>
      </c>
      <c r="P67" s="74">
        <f t="shared" si="7"/>
        <v>21266295.162033048</v>
      </c>
      <c r="Q67" s="74">
        <f t="shared" si="7"/>
        <v>29739135.53618332</v>
      </c>
      <c r="R67" s="74">
        <f t="shared" si="7"/>
        <v>34815670.841188684</v>
      </c>
      <c r="S67" s="74">
        <f t="shared" si="7"/>
        <v>39986762.628654905</v>
      </c>
      <c r="T67" s="74">
        <f t="shared" si="7"/>
        <v>45370110.797631793</v>
      </c>
      <c r="U67" s="74">
        <f t="shared" si="7"/>
        <v>51588216.030023083</v>
      </c>
      <c r="V67" s="74">
        <f t="shared" si="7"/>
        <v>58467072.05783236</v>
      </c>
      <c r="W67" s="74">
        <f t="shared" si="7"/>
        <v>65139557.900127828</v>
      </c>
      <c r="X67" s="74">
        <f t="shared" si="7"/>
        <v>72141479.122938856</v>
      </c>
      <c r="Y67" s="74">
        <f t="shared" si="7"/>
        <v>79785459.621671334</v>
      </c>
      <c r="Z67" s="74">
        <f t="shared" si="7"/>
        <v>87986123.890741065</v>
      </c>
      <c r="AA67" s="74">
        <f t="shared" si="7"/>
        <v>96065026.456147119</v>
      </c>
      <c r="AB67" s="74">
        <f t="shared" si="7"/>
        <v>104077351.07960328</v>
      </c>
      <c r="AC67" s="74">
        <f t="shared" si="7"/>
        <v>106405606.99174516</v>
      </c>
      <c r="AD67" s="74">
        <f t="shared" si="7"/>
        <v>115783473.87832345</v>
      </c>
      <c r="AE67" s="74">
        <f t="shared" si="7"/>
        <v>125254216.71824175</v>
      </c>
      <c r="AF67" s="74">
        <f t="shared" si="7"/>
        <v>135197790.58670744</v>
      </c>
      <c r="AG67" s="74">
        <f t="shared" si="7"/>
        <v>145471287.50396979</v>
      </c>
      <c r="AH67" s="74">
        <f t="shared" si="7"/>
        <v>156291259.26283392</v>
      </c>
      <c r="AI67" s="74">
        <f t="shared" si="7"/>
        <v>167707613.61089638</v>
      </c>
      <c r="AJ67" s="74">
        <f t="shared" si="7"/>
        <v>179672786.43846437</v>
      </c>
      <c r="AK67" s="74">
        <f t="shared" si="7"/>
        <v>192277252.0140931</v>
      </c>
      <c r="AL67" s="74">
        <f t="shared" si="7"/>
        <v>204930791.03494251</v>
      </c>
      <c r="AM67" s="74">
        <f t="shared" si="7"/>
        <v>217827785.72244328</v>
      </c>
      <c r="AN67" s="74">
        <f t="shared" si="7"/>
        <v>230913492.46068081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351</v>
      </c>
      <c r="C69" s="12">
        <f>Base!$BJ$283</f>
        <v>3200000</v>
      </c>
      <c r="D69" s="12"/>
      <c r="E69" s="149">
        <f>C69+E61+E66</f>
        <v>3400000</v>
      </c>
      <c r="F69" s="149">
        <f t="shared" ref="F69:AN69" si="8">E69+F61+F66</f>
        <v>3400000</v>
      </c>
      <c r="G69" s="149">
        <f t="shared" si="8"/>
        <v>3400000</v>
      </c>
      <c r="H69" s="149">
        <f t="shared" si="8"/>
        <v>3400000</v>
      </c>
      <c r="I69" s="149">
        <f t="shared" si="8"/>
        <v>3400000</v>
      </c>
      <c r="J69" s="149">
        <f t="shared" si="8"/>
        <v>3400000</v>
      </c>
      <c r="K69" s="149">
        <f t="shared" si="8"/>
        <v>3400000</v>
      </c>
      <c r="L69" s="149">
        <f t="shared" si="8"/>
        <v>3400000</v>
      </c>
      <c r="M69" s="149">
        <f t="shared" si="8"/>
        <v>3400000</v>
      </c>
      <c r="N69" s="149">
        <f t="shared" si="8"/>
        <v>3400000</v>
      </c>
      <c r="O69" s="149">
        <f t="shared" si="8"/>
        <v>3400000</v>
      </c>
      <c r="P69" s="149">
        <f t="shared" si="8"/>
        <v>3400000</v>
      </c>
      <c r="Q69" s="149">
        <f t="shared" si="8"/>
        <v>6800000</v>
      </c>
      <c r="R69" s="149">
        <f t="shared" si="8"/>
        <v>6800000</v>
      </c>
      <c r="S69" s="149">
        <f t="shared" si="8"/>
        <v>6800000</v>
      </c>
      <c r="T69" s="149">
        <f t="shared" si="8"/>
        <v>6800000</v>
      </c>
      <c r="U69" s="149">
        <f t="shared" si="8"/>
        <v>6800000</v>
      </c>
      <c r="V69" s="149">
        <f t="shared" si="8"/>
        <v>6800000</v>
      </c>
      <c r="W69" s="149">
        <f t="shared" si="8"/>
        <v>6800000</v>
      </c>
      <c r="X69" s="149">
        <f t="shared" si="8"/>
        <v>6800000</v>
      </c>
      <c r="Y69" s="149">
        <f t="shared" si="8"/>
        <v>6800000</v>
      </c>
      <c r="Z69" s="149">
        <f t="shared" si="8"/>
        <v>6800000</v>
      </c>
      <c r="AA69" s="149">
        <f t="shared" si="8"/>
        <v>6800000</v>
      </c>
      <c r="AB69" s="149">
        <f t="shared" si="8"/>
        <v>6800000</v>
      </c>
      <c r="AC69" s="149">
        <f t="shared" si="8"/>
        <v>0</v>
      </c>
      <c r="AD69" s="149">
        <f t="shared" si="8"/>
        <v>0</v>
      </c>
      <c r="AE69" s="149">
        <f t="shared" si="8"/>
        <v>0</v>
      </c>
      <c r="AF69" s="149">
        <f t="shared" si="8"/>
        <v>0</v>
      </c>
      <c r="AG69" s="149">
        <f t="shared" si="8"/>
        <v>0</v>
      </c>
      <c r="AH69" s="149">
        <f t="shared" si="8"/>
        <v>0</v>
      </c>
      <c r="AI69" s="149">
        <f t="shared" si="8"/>
        <v>0</v>
      </c>
      <c r="AJ69" s="149">
        <f t="shared" si="8"/>
        <v>0</v>
      </c>
      <c r="AK69" s="149">
        <f t="shared" si="8"/>
        <v>0</v>
      </c>
      <c r="AL69" s="149">
        <f t="shared" si="8"/>
        <v>0</v>
      </c>
      <c r="AM69" s="149">
        <f t="shared" si="8"/>
        <v>0</v>
      </c>
      <c r="AN69" s="149">
        <f t="shared" si="8"/>
        <v>0</v>
      </c>
    </row>
    <row r="70" spans="2:40" x14ac:dyDescent="0.25">
      <c r="B70" s="39" t="s">
        <v>352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0</v>
      </c>
      <c r="K70" s="74">
        <f t="shared" si="9"/>
        <v>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3400000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0</v>
      </c>
      <c r="Z70" s="74">
        <f t="shared" si="9"/>
        <v>0</v>
      </c>
      <c r="AA70" s="74">
        <f t="shared" si="9"/>
        <v>0</v>
      </c>
      <c r="AB70" s="74">
        <f t="shared" si="9"/>
        <v>0</v>
      </c>
      <c r="AC70" s="74">
        <f t="shared" si="9"/>
        <v>-6800000</v>
      </c>
      <c r="AD70" s="74">
        <f t="shared" si="9"/>
        <v>0</v>
      </c>
      <c r="AE70" s="74">
        <f t="shared" si="9"/>
        <v>0</v>
      </c>
      <c r="AF70" s="74">
        <f t="shared" si="9"/>
        <v>0</v>
      </c>
      <c r="AG70" s="74">
        <f t="shared" si="9"/>
        <v>0</v>
      </c>
      <c r="AH70" s="74">
        <f t="shared" si="9"/>
        <v>0</v>
      </c>
      <c r="AI70" s="74">
        <f t="shared" si="9"/>
        <v>0</v>
      </c>
      <c r="AJ70" s="74">
        <f t="shared" si="9"/>
        <v>0</v>
      </c>
      <c r="AK70" s="74">
        <f t="shared" si="9"/>
        <v>0</v>
      </c>
      <c r="AL70" s="74">
        <f t="shared" si="9"/>
        <v>0</v>
      </c>
      <c r="AM70" s="74">
        <f t="shared" si="9"/>
        <v>0</v>
      </c>
      <c r="AN70" s="74">
        <f t="shared" si="9"/>
        <v>0</v>
      </c>
    </row>
    <row r="71" spans="2:40" x14ac:dyDescent="0.25">
      <c r="Z71" s="67"/>
      <c r="AN71" s="67"/>
    </row>
    <row r="72" spans="2:40" x14ac:dyDescent="0.25">
      <c r="E72" s="97" t="s">
        <v>353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5323-A177-4189-B9F6-7C642979B219}">
  <sheetPr>
    <tabColor theme="9" tint="0.79998168889431442"/>
  </sheetPr>
  <dimension ref="A1:AO72"/>
  <sheetViews>
    <sheetView workbookViewId="0">
      <pane xSplit="4" ySplit="25" topLeftCell="E26" activePane="bottomRight" state="frozen"/>
      <selection pane="topRight" activeCell="E1" sqref="E1"/>
      <selection pane="bottomLeft" activeCell="A26" sqref="A26"/>
      <selection pane="bottomRight" activeCell="B26" sqref="B26:B36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hidden="1" customWidth="1" outlineLevel="1"/>
    <col min="41" max="41" width="9.140625" collapsed="1"/>
  </cols>
  <sheetData>
    <row r="1" spans="1:40" x14ac:dyDescent="0.25">
      <c r="A1" s="82" t="s">
        <v>354</v>
      </c>
      <c r="B1" s="3"/>
      <c r="C1" s="3"/>
      <c r="D1" s="55" t="s">
        <v>460</v>
      </c>
      <c r="E1" s="69">
        <f>SUM('MDA1:NCA9'!E1)</f>
        <v>389</v>
      </c>
      <c r="F1" s="69">
        <f>SUM('MDA1:NCA9'!F1)</f>
        <v>410</v>
      </c>
      <c r="G1" s="69">
        <f>SUM('MDA1:NCA9'!G1)</f>
        <v>437</v>
      </c>
      <c r="H1" s="69">
        <f>SUM('MDA1:NCA9'!H1)</f>
        <v>466</v>
      </c>
      <c r="I1" s="69">
        <f>SUM('MDA1:NCA9'!I1)</f>
        <v>490</v>
      </c>
      <c r="J1" s="69">
        <f>SUM('MDA1:NCA9'!J1)</f>
        <v>520</v>
      </c>
      <c r="K1" s="69">
        <f>SUM('MDA1:NCA9'!K1)</f>
        <v>559</v>
      </c>
      <c r="L1" s="69">
        <f>SUM('MDA1:NCA9'!L1)</f>
        <v>590</v>
      </c>
      <c r="M1" s="69">
        <f>SUM('MDA1:NCA9'!M1)</f>
        <v>626</v>
      </c>
      <c r="N1" s="69">
        <f>SUM('MDA1:NCA9'!N1)</f>
        <v>665</v>
      </c>
      <c r="O1" s="69">
        <f>SUM('MDA1:NCA9'!O1)</f>
        <v>710</v>
      </c>
      <c r="P1" s="69">
        <f>SUM('MDA1:NCA9'!P1)</f>
        <v>758</v>
      </c>
      <c r="Q1" s="69">
        <f>SUM('MDA1:NCA9'!Q1)</f>
        <v>804</v>
      </c>
      <c r="R1" s="69">
        <f>SUM('MDA1:NCA9'!R1)</f>
        <v>844</v>
      </c>
      <c r="S1" s="69">
        <f>SUM('MDA1:NCA9'!S1)</f>
        <v>887</v>
      </c>
      <c r="T1" s="69">
        <f>SUM('MDA1:NCA9'!T1)</f>
        <v>931</v>
      </c>
      <c r="U1" s="69">
        <f>SUM('MDA1:NCA9'!U1)</f>
        <v>967</v>
      </c>
      <c r="V1" s="69">
        <f>SUM('MDA1:NCA9'!V1)</f>
        <v>1001</v>
      </c>
      <c r="W1" s="69">
        <f>SUM('MDA1:NCA9'!W1)</f>
        <v>1040</v>
      </c>
      <c r="X1" s="69">
        <f>SUM('MDA1:NCA9'!X1)</f>
        <v>1080</v>
      </c>
      <c r="Y1" s="69">
        <f>SUM('MDA1:NCA9'!Y1)</f>
        <v>1114</v>
      </c>
      <c r="Z1" s="69">
        <f>SUM('MDA1:NCA9'!Z1)</f>
        <v>1152</v>
      </c>
      <c r="AA1" s="69">
        <f>SUM('MDA1:NCA9'!AA1)</f>
        <v>1190</v>
      </c>
      <c r="AB1" s="69">
        <f>SUM('MDA1:NCA9'!AB1)</f>
        <v>1225</v>
      </c>
      <c r="AC1" s="69">
        <f>SUM('MDA1:NCA9'!AC1)</f>
        <v>1255</v>
      </c>
      <c r="AD1" s="69">
        <f>SUM('MDA1:NCA9'!AD1)</f>
        <v>1287</v>
      </c>
      <c r="AE1" s="69">
        <f>SUM('MDA1:NCA9'!AE1)</f>
        <v>1317</v>
      </c>
      <c r="AF1" s="69">
        <f>SUM('MDA1:NCA9'!AF1)</f>
        <v>1345</v>
      </c>
      <c r="AG1" s="69">
        <f>SUM('MDA1:NCA9'!AG1)</f>
        <v>1371</v>
      </c>
      <c r="AH1" s="69">
        <f>SUM('MDA1:NCA9'!AH1)</f>
        <v>1403</v>
      </c>
      <c r="AI1" s="69">
        <f>SUM('MDA1:NCA9'!AI1)</f>
        <v>1441</v>
      </c>
      <c r="AJ1" s="69">
        <f>SUM('MDA1:NCA9'!AJ1)</f>
        <v>1478</v>
      </c>
      <c r="AK1" s="69">
        <f>SUM('MDA1:NCA9'!AK1)</f>
        <v>1514</v>
      </c>
      <c r="AL1" s="69">
        <f>SUM('MDA1:NCA9'!AL1)</f>
        <v>1548</v>
      </c>
      <c r="AM1" s="69">
        <f>SUM('MDA1:NCA9'!AM1)</f>
        <v>1586</v>
      </c>
      <c r="AN1" s="69">
        <f>SUM('MDA1:NCA9'!AN1)</f>
        <v>1621</v>
      </c>
    </row>
    <row r="2" spans="1:40" hidden="1" outlineLevel="1" x14ac:dyDescent="0.25">
      <c r="B2" s="1" t="s">
        <v>329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 t="s">
        <v>314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 t="e">
        <v>#N/A</v>
      </c>
      <c r="AD3" s="69" t="e">
        <v>#N/A</v>
      </c>
      <c r="AE3" s="69" t="e">
        <v>#N/A</v>
      </c>
      <c r="AF3" s="69" t="e">
        <v>#N/A</v>
      </c>
      <c r="AG3" s="69" t="e">
        <v>#N/A</v>
      </c>
      <c r="AH3" s="69" t="e">
        <v>#N/A</v>
      </c>
      <c r="AI3" s="69" t="e">
        <v>#N/A</v>
      </c>
      <c r="AJ3" s="69" t="e">
        <v>#N/A</v>
      </c>
      <c r="AK3" s="69" t="e">
        <v>#N/A</v>
      </c>
      <c r="AL3" s="69" t="e">
        <v>#N/A</v>
      </c>
      <c r="AM3" s="69" t="e">
        <v>#N/A</v>
      </c>
      <c r="AN3" s="69" t="e">
        <v>#N/A</v>
      </c>
    </row>
    <row r="4" spans="1:40" hidden="1" outlineLevel="1" x14ac:dyDescent="0.25">
      <c r="B4" s="39" t="s">
        <v>465</v>
      </c>
      <c r="C4" s="3"/>
      <c r="D4" s="3"/>
      <c r="E4" s="5">
        <f>ROUND(SUM('MDA1:NCA9'!E$21),0)</f>
        <v>282</v>
      </c>
      <c r="F4" s="5">
        <f>ROUND(SUM('MDA1:NCA9'!F$21),0)</f>
        <v>298</v>
      </c>
      <c r="G4" s="5">
        <f>ROUND(SUM('MDA1:NCA9'!G$21),0)</f>
        <v>321</v>
      </c>
      <c r="H4" s="5">
        <f>ROUND(SUM('MDA1:NCA9'!H$21),0)</f>
        <v>349</v>
      </c>
      <c r="I4" s="5">
        <f>ROUND(SUM('MDA1:NCA9'!I$21),0)</f>
        <v>372</v>
      </c>
      <c r="J4" s="5">
        <f>ROUND(SUM('MDA1:NCA9'!J$21),0)</f>
        <v>396</v>
      </c>
      <c r="K4" s="5">
        <f>ROUND(SUM('MDA1:NCA9'!K$21),0)</f>
        <v>434</v>
      </c>
      <c r="L4" s="5">
        <f>ROUND(SUM('MDA1:NCA9'!L$21),0)</f>
        <v>462</v>
      </c>
      <c r="M4" s="5">
        <f>ROUND(SUM('MDA1:NCA9'!M$21),0)</f>
        <v>495</v>
      </c>
      <c r="N4" s="5">
        <f>ROUND(SUM('MDA1:NCA9'!N$21),0)</f>
        <v>530</v>
      </c>
      <c r="O4" s="5">
        <f>ROUND(SUM('MDA1:NCA9'!O$21),0)</f>
        <v>572</v>
      </c>
      <c r="P4" s="5">
        <f>ROUND(SUM('MDA1:NCA9'!P$21),0)</f>
        <v>618</v>
      </c>
      <c r="Q4" s="5">
        <f>ROUND(SUM('MDA1:NCA9'!Q$21),0)</f>
        <v>661</v>
      </c>
      <c r="R4" s="5">
        <f>ROUND(SUM('MDA1:NCA9'!R$21),0)</f>
        <v>696</v>
      </c>
      <c r="S4" s="5">
        <f>ROUND(SUM('MDA1:NCA9'!S$21),0)</f>
        <v>734</v>
      </c>
      <c r="T4" s="5">
        <f>ROUND(SUM('MDA1:NCA9'!T$21),0)</f>
        <v>778</v>
      </c>
      <c r="U4" s="5">
        <f>ROUND(SUM('MDA1:NCA9'!U$21),0)</f>
        <v>810</v>
      </c>
      <c r="V4" s="5">
        <f>ROUND(SUM('MDA1:NCA9'!V$21),0)</f>
        <v>838</v>
      </c>
      <c r="W4" s="5">
        <f>ROUND(SUM('MDA1:NCA9'!W$21),0)</f>
        <v>873</v>
      </c>
      <c r="X4" s="5">
        <f>ROUND(SUM('MDA1:NCA9'!X$21),0)</f>
        <v>915</v>
      </c>
      <c r="Y4" s="5">
        <f>ROUND(SUM('MDA1:NCA9'!Y$21),0)</f>
        <v>944</v>
      </c>
      <c r="Z4" s="5">
        <f>ROUND(SUM('MDA1:NCA9'!Z$21),0)</f>
        <v>978</v>
      </c>
      <c r="AA4" s="5">
        <f>ROUND(SUM('MDA1:NCA9'!AA$21),0)</f>
        <v>1009</v>
      </c>
      <c r="AB4" s="5">
        <f>ROUND(SUM('MDA1:NCA9'!AB$21),0)</f>
        <v>1045</v>
      </c>
      <c r="AC4" s="5">
        <f>ROUND(SUM('MDA1:NCA9'!AC$21),0)</f>
        <v>1072</v>
      </c>
      <c r="AD4" s="5">
        <f>ROUND(SUM('MDA1:NCA9'!AD$21),0)</f>
        <v>1099</v>
      </c>
      <c r="AE4" s="5">
        <f>ROUND(SUM('MDA1:NCA9'!AE$21),0)</f>
        <v>1125</v>
      </c>
      <c r="AF4" s="5">
        <f>ROUND(SUM('MDA1:NCA9'!AF$21),0)</f>
        <v>1155</v>
      </c>
      <c r="AG4" s="5">
        <f>ROUND(SUM('MDA1:NCA9'!AG$21),0)</f>
        <v>1178</v>
      </c>
      <c r="AH4" s="5">
        <f>ROUND(SUM('MDA1:NCA9'!AH$21),0)</f>
        <v>1207</v>
      </c>
      <c r="AI4" s="5">
        <f>ROUND(SUM('MDA1:NCA9'!AI$21),0)</f>
        <v>1240</v>
      </c>
      <c r="AJ4" s="5">
        <f>ROUND(SUM('MDA1:NCA9'!AJ$21),0)</f>
        <v>1279</v>
      </c>
      <c r="AK4" s="5">
        <f>ROUND(SUM('MDA1:NCA9'!AK$21),0)</f>
        <v>1315</v>
      </c>
      <c r="AL4" s="5">
        <f>ROUND(SUM('MDA1:NCA9'!AL$21),0)</f>
        <v>1344</v>
      </c>
      <c r="AM4" s="5">
        <f>ROUND(SUM('MDA1:NCA9'!AM$21),0)</f>
        <v>1379</v>
      </c>
      <c r="AN4" s="5">
        <f>ROUND(SUM('MDA1:NCA9'!AN$21),0)</f>
        <v>1415</v>
      </c>
    </row>
    <row r="5" spans="1:40" hidden="1" outlineLevel="1" x14ac:dyDescent="0.25">
      <c r="B5" s="39" t="s">
        <v>418</v>
      </c>
      <c r="C5" s="3"/>
      <c r="D5" s="3"/>
      <c r="E5" s="5">
        <f>ROUND(SUM('MDA1:NCA9'!E$6)-SUM('MDA1:NCA9'!E$21),0)</f>
        <v>59</v>
      </c>
      <c r="F5" s="5">
        <f>ROUND(SUM('MDA1:NCA9'!F$6)-SUM('MDA1:NCA9'!F$21),0)</f>
        <v>67</v>
      </c>
      <c r="G5" s="5">
        <f>ROUND(SUM('MDA1:NCA9'!G$6)-SUM('MDA1:NCA9'!G$21),0)</f>
        <v>74</v>
      </c>
      <c r="H5" s="5">
        <f>ROUND(SUM('MDA1:NCA9'!H$6)-SUM('MDA1:NCA9'!H$21),0)</f>
        <v>80</v>
      </c>
      <c r="I5" s="5">
        <f>ROUND(SUM('MDA1:NCA9'!I$6)-SUM('MDA1:NCA9'!I$21),0)</f>
        <v>86</v>
      </c>
      <c r="J5" s="5">
        <f>ROUND(SUM('MDA1:NCA9'!J$6)-SUM('MDA1:NCA9'!J$21),0)</f>
        <v>91</v>
      </c>
      <c r="K5" s="5">
        <f>ROUND(SUM('MDA1:NCA9'!K$6)-SUM('MDA1:NCA9'!K$21),0)</f>
        <v>104</v>
      </c>
      <c r="L5" s="5">
        <f>ROUND(SUM('MDA1:NCA9'!L$6)-SUM('MDA1:NCA9'!L$21),0)</f>
        <v>112</v>
      </c>
      <c r="M5" s="5">
        <f>ROUND(SUM('MDA1:NCA9'!M$6)-SUM('MDA1:NCA9'!M$21),0)</f>
        <v>115</v>
      </c>
      <c r="N5" s="5">
        <f>ROUND(SUM('MDA1:NCA9'!N$6)-SUM('MDA1:NCA9'!N$21),0)</f>
        <v>123</v>
      </c>
      <c r="O5" s="5">
        <f>ROUND(SUM('MDA1:NCA9'!O$6)-SUM('MDA1:NCA9'!O$21),0)</f>
        <v>135</v>
      </c>
      <c r="P5" s="5">
        <f>ROUND(SUM('MDA1:NCA9'!P$6)-SUM('MDA1:NCA9'!P$21),0)</f>
        <v>140</v>
      </c>
      <c r="Q5" s="5">
        <f>ROUND(SUM('MDA1:NCA9'!Q$6)-SUM('MDA1:NCA9'!Q$21),0)</f>
        <v>145</v>
      </c>
      <c r="R5" s="5">
        <f>ROUND(SUM('MDA1:NCA9'!R$6)-SUM('MDA1:NCA9'!R$21),0)</f>
        <v>152</v>
      </c>
      <c r="S5" s="5">
        <f>ROUND(SUM('MDA1:NCA9'!S$6)-SUM('MDA1:NCA9'!S$21),0)</f>
        <v>160</v>
      </c>
      <c r="T5" s="5">
        <f>ROUND(SUM('MDA1:NCA9'!T$6)-SUM('MDA1:NCA9'!T$21),0)</f>
        <v>160</v>
      </c>
      <c r="U5" s="5">
        <f>ROUND(SUM('MDA1:NCA9'!U$6)-SUM('MDA1:NCA9'!U$21),0)</f>
        <v>162</v>
      </c>
      <c r="V5" s="5">
        <f>ROUND(SUM('MDA1:NCA9'!V$6)-SUM('MDA1:NCA9'!V$21),0)</f>
        <v>167</v>
      </c>
      <c r="W5" s="5">
        <f>ROUND(SUM('MDA1:NCA9'!W$6)-SUM('MDA1:NCA9'!W$21),0)</f>
        <v>178</v>
      </c>
      <c r="X5" s="5">
        <f>ROUND(SUM('MDA1:NCA9'!X$6)-SUM('MDA1:NCA9'!X$21),0)</f>
        <v>181</v>
      </c>
      <c r="Y5" s="5">
        <f>ROUND(SUM('MDA1:NCA9'!Y$6)-SUM('MDA1:NCA9'!Y$21),0)</f>
        <v>193</v>
      </c>
      <c r="Z5" s="5">
        <f>ROUND(SUM('MDA1:NCA9'!Z$6)-SUM('MDA1:NCA9'!Z$21),0)</f>
        <v>194</v>
      </c>
      <c r="AA5" s="5">
        <f>ROUND(SUM('MDA1:NCA9'!AA$6)-SUM('MDA1:NCA9'!AA$21),0)</f>
        <v>204</v>
      </c>
      <c r="AB5" s="5">
        <f>ROUND(SUM('MDA1:NCA9'!AB$6)-SUM('MDA1:NCA9'!AB$21),0)</f>
        <v>207</v>
      </c>
      <c r="AC5" s="5">
        <f>ROUND(SUM('MDA1:NCA9'!AC$6)-SUM('MDA1:NCA9'!AC$21),0)</f>
        <v>211</v>
      </c>
      <c r="AD5" s="5">
        <f>ROUND(SUM('MDA1:NCA9'!AD$6)-SUM('MDA1:NCA9'!AD$21),0)</f>
        <v>215</v>
      </c>
      <c r="AE5" s="5">
        <f>ROUND(SUM('MDA1:NCA9'!AE$6)-SUM('MDA1:NCA9'!AE$21),0)</f>
        <v>221</v>
      </c>
      <c r="AF5" s="5">
        <f>ROUND(SUM('MDA1:NCA9'!AF$6)-SUM('MDA1:NCA9'!AF$21),0)</f>
        <v>221</v>
      </c>
      <c r="AG5" s="5">
        <f>ROUND(SUM('MDA1:NCA9'!AG$6)-SUM('MDA1:NCA9'!AG$21),0)</f>
        <v>224</v>
      </c>
      <c r="AH5" s="5">
        <f>ROUND(SUM('MDA1:NCA9'!AH$6)-SUM('MDA1:NCA9'!AH$21),0)</f>
        <v>232</v>
      </c>
      <c r="AI5" s="5">
        <f>ROUND(SUM('MDA1:NCA9'!AI$6)-SUM('MDA1:NCA9'!AI$21),0)</f>
        <v>245</v>
      </c>
      <c r="AJ5" s="5">
        <f>ROUND(SUM('MDA1:NCA9'!AJ$6)-SUM('MDA1:NCA9'!AJ$21),0)</f>
        <v>249</v>
      </c>
      <c r="AK5" s="5">
        <f>ROUND(SUM('MDA1:NCA9'!AK$6)-SUM('MDA1:NCA9'!AK$21),0)</f>
        <v>255</v>
      </c>
      <c r="AL5" s="5">
        <f>ROUND(SUM('MDA1:NCA9'!AL$6)-SUM('MDA1:NCA9'!AL$21),0)</f>
        <v>265</v>
      </c>
      <c r="AM5" s="5">
        <f>ROUND(SUM('MDA1:NCA9'!AM$6)-SUM('MDA1:NCA9'!AM$21),0)</f>
        <v>272</v>
      </c>
      <c r="AN5" s="5">
        <f>ROUND(SUM('MDA1:NCA9'!AN$6)-SUM('MDA1:NCA9'!AN$21),0)</f>
        <v>276</v>
      </c>
    </row>
    <row r="6" spans="1:40" hidden="1" outlineLevel="1" x14ac:dyDescent="0.25">
      <c r="B6" s="96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hidden="1" outlineLevel="1" x14ac:dyDescent="0.25">
      <c r="B7" s="218" t="s">
        <v>449</v>
      </c>
      <c r="C7" s="3"/>
      <c r="D7" s="3"/>
      <c r="E7" s="69">
        <f>SUM('MDA1:NCA9'!E7)</f>
        <v>236.17000000000002</v>
      </c>
      <c r="F7" s="69">
        <f>SUM('MDA1:NCA9'!F7)</f>
        <v>251.25</v>
      </c>
      <c r="G7" s="69">
        <f>SUM('MDA1:NCA9'!G7)</f>
        <v>271.92</v>
      </c>
      <c r="H7" s="69">
        <f>SUM('MDA1:NCA9'!H7)</f>
        <v>294.15999999999997</v>
      </c>
      <c r="I7" s="69">
        <f>SUM('MDA1:NCA9'!I7)</f>
        <v>312.20999999999998</v>
      </c>
      <c r="J7" s="69">
        <f>SUM('MDA1:NCA9'!J7)</f>
        <v>334.4</v>
      </c>
      <c r="K7" s="69">
        <f>SUM('MDA1:NCA9'!K7)</f>
        <v>366.58999999999992</v>
      </c>
      <c r="L7" s="69">
        <f>SUM('MDA1:NCA9'!L7)</f>
        <v>390.7299999999999</v>
      </c>
      <c r="M7" s="69">
        <f>SUM('MDA1:NCA9'!M7)</f>
        <v>418.57000000000005</v>
      </c>
      <c r="N7" s="69">
        <f>SUM('MDA1:NCA9'!N7)</f>
        <v>449.69999999999987</v>
      </c>
      <c r="O7" s="69">
        <f>SUM('MDA1:NCA9'!O7)</f>
        <v>486.1099999999999</v>
      </c>
      <c r="P7" s="69">
        <f>SUM('MDA1:NCA9'!P7)</f>
        <v>523.77</v>
      </c>
      <c r="Q7" s="69">
        <f>SUM('MDA1:NCA9'!Q7)</f>
        <v>560.52</v>
      </c>
      <c r="R7" s="69">
        <f>SUM('MDA1:NCA9'!R7)</f>
        <v>591.16999999999985</v>
      </c>
      <c r="S7" s="69">
        <f>SUM('MDA1:NCA9'!S7)</f>
        <v>625.12999999999988</v>
      </c>
      <c r="T7" s="69">
        <f>SUM('MDA1:NCA9'!T7)</f>
        <v>659.51999999999987</v>
      </c>
      <c r="U7" s="69">
        <f>SUM('MDA1:NCA9'!U7)</f>
        <v>686.8900000000001</v>
      </c>
      <c r="V7" s="69">
        <f>SUM('MDA1:NCA9'!V7)</f>
        <v>712.37999999999988</v>
      </c>
      <c r="W7" s="69">
        <f>SUM('MDA1:NCA9'!W7)</f>
        <v>743.14</v>
      </c>
      <c r="X7" s="69">
        <f>SUM('MDA1:NCA9'!X7)</f>
        <v>775.27999999999975</v>
      </c>
      <c r="Y7" s="69">
        <f>SUM('MDA1:NCA9'!Y7)</f>
        <v>802.2399999999999</v>
      </c>
      <c r="Z7" s="69">
        <f>SUM('MDA1:NCA9'!Z7)</f>
        <v>831.03999999999974</v>
      </c>
      <c r="AA7" s="69">
        <f>SUM('MDA1:NCA9'!AA7)</f>
        <v>859.81999999999982</v>
      </c>
      <c r="AB7" s="69">
        <f>SUM('MDA1:NCA9'!AB7)</f>
        <v>887.28999999999985</v>
      </c>
      <c r="AC7" s="69">
        <f>SUM('MDA1:NCA9'!AC7)</f>
        <v>910.98999999999978</v>
      </c>
      <c r="AD7" s="69">
        <f>SUM('MDA1:NCA9'!AD7)</f>
        <v>935.59999999999991</v>
      </c>
      <c r="AE7" s="69">
        <f>SUM('MDA1:NCA9'!AE7)</f>
        <v>958.81999999999994</v>
      </c>
      <c r="AF7" s="69">
        <f>SUM('MDA1:NCA9'!AF7)</f>
        <v>981.65999999999985</v>
      </c>
      <c r="AG7" s="69">
        <f>SUM('MDA1:NCA9'!AG7)</f>
        <v>1002.0799999999998</v>
      </c>
      <c r="AH7" s="69">
        <f>SUM('MDA1:NCA9'!AH7)</f>
        <v>1027.6899999999996</v>
      </c>
      <c r="AI7" s="69">
        <f>SUM('MDA1:NCA9'!AI7)</f>
        <v>1057.93</v>
      </c>
      <c r="AJ7" s="69">
        <f>SUM('MDA1:NCA9'!AJ7)</f>
        <v>1089.25</v>
      </c>
      <c r="AK7" s="69">
        <f>SUM('MDA1:NCA9'!AK7)</f>
        <v>1118.6099999999997</v>
      </c>
      <c r="AL7" s="69">
        <f>SUM('MDA1:NCA9'!AL7)</f>
        <v>1145.5899999999997</v>
      </c>
      <c r="AM7" s="69">
        <f>SUM('MDA1:NCA9'!AM7)</f>
        <v>1175.8399999999999</v>
      </c>
      <c r="AN7" s="69">
        <f>SUM('MDA1:NCA9'!AN7)</f>
        <v>1204.79</v>
      </c>
    </row>
    <row r="8" spans="1:40" hidden="1" outlineLevel="1" x14ac:dyDescent="0.25">
      <c r="B8" s="218" t="s">
        <v>450</v>
      </c>
      <c r="C8" s="3"/>
      <c r="D8" s="3"/>
      <c r="E8" s="69">
        <f>SUM('MDA1:NCA9'!E8)</f>
        <v>43.33</v>
      </c>
      <c r="F8" s="69">
        <f>SUM('MDA1:NCA9'!F8)</f>
        <v>45.97</v>
      </c>
      <c r="G8" s="69">
        <f>SUM('MDA1:NCA9'!G8)</f>
        <v>49.51</v>
      </c>
      <c r="H8" s="69">
        <f>SUM('MDA1:NCA9'!H8)</f>
        <v>53.26</v>
      </c>
      <c r="I8" s="69">
        <f>SUM('MDA1:NCA9'!I8)</f>
        <v>56.339999999999989</v>
      </c>
      <c r="J8" s="69">
        <f>SUM('MDA1:NCA9'!J8)</f>
        <v>60.139999999999993</v>
      </c>
      <c r="K8" s="69">
        <f>SUM('MDA1:NCA9'!K8)</f>
        <v>65.36999999999999</v>
      </c>
      <c r="L8" s="69">
        <f>SUM('MDA1:NCA9'!L8)</f>
        <v>69.39</v>
      </c>
      <c r="M8" s="69">
        <f>SUM('MDA1:NCA9'!M8)</f>
        <v>74.040000000000006</v>
      </c>
      <c r="N8" s="69">
        <f>SUM('MDA1:NCA9'!N8)</f>
        <v>79.179999999999993</v>
      </c>
      <c r="O8" s="69">
        <f>SUM('MDA1:NCA9'!O8)</f>
        <v>85.11</v>
      </c>
      <c r="P8" s="69">
        <f>SUM('MDA1:NCA9'!P8)</f>
        <v>91.329999999999984</v>
      </c>
      <c r="Q8" s="69">
        <f>SUM('MDA1:NCA9'!Q8)</f>
        <v>97.219999999999985</v>
      </c>
      <c r="R8" s="69">
        <f>SUM('MDA1:NCA9'!R8)</f>
        <v>102.22000000000001</v>
      </c>
      <c r="S8" s="69">
        <f>SUM('MDA1:NCA9'!S8)</f>
        <v>107.68000000000002</v>
      </c>
      <c r="T8" s="69">
        <f>SUM('MDA1:NCA9'!T8)</f>
        <v>113.21999999999998</v>
      </c>
      <c r="U8" s="69">
        <f>SUM('MDA1:NCA9'!U8)</f>
        <v>117.69000000000001</v>
      </c>
      <c r="V8" s="69">
        <f>SUM('MDA1:NCA9'!V8)</f>
        <v>121.89999999999999</v>
      </c>
      <c r="W8" s="69">
        <f>SUM('MDA1:NCA9'!W8)</f>
        <v>126.84</v>
      </c>
      <c r="X8" s="69">
        <f>SUM('MDA1:NCA9'!X8)</f>
        <v>131.99</v>
      </c>
      <c r="Y8" s="69">
        <f>SUM('MDA1:NCA9'!Y8)</f>
        <v>136.32</v>
      </c>
      <c r="Z8" s="69">
        <f>SUM('MDA1:NCA9'!Z8)</f>
        <v>141.03</v>
      </c>
      <c r="AA8" s="69">
        <f>SUM('MDA1:NCA9'!AA8)</f>
        <v>145.73999999999998</v>
      </c>
      <c r="AB8" s="69">
        <f>SUM('MDA1:NCA9'!AB8)</f>
        <v>150.16999999999999</v>
      </c>
      <c r="AC8" s="69">
        <f>SUM('MDA1:NCA9'!AC8)</f>
        <v>153.97</v>
      </c>
      <c r="AD8" s="69">
        <f>SUM('MDA1:NCA9'!AD8)</f>
        <v>157.98000000000002</v>
      </c>
      <c r="AE8" s="69">
        <f>SUM('MDA1:NCA9'!AE8)</f>
        <v>161.77000000000001</v>
      </c>
      <c r="AF8" s="69">
        <f>SUM('MDA1:NCA9'!AF8)</f>
        <v>165.41</v>
      </c>
      <c r="AG8" s="69">
        <f>SUM('MDA1:NCA9'!AG8)</f>
        <v>168.69</v>
      </c>
      <c r="AH8" s="69">
        <f>SUM('MDA1:NCA9'!AH8)</f>
        <v>172.81</v>
      </c>
      <c r="AI8" s="69">
        <f>SUM('MDA1:NCA9'!AI8)</f>
        <v>177.68</v>
      </c>
      <c r="AJ8" s="69">
        <f>SUM('MDA1:NCA9'!AJ8)</f>
        <v>182.59</v>
      </c>
      <c r="AK8" s="69">
        <f>SUM('MDA1:NCA9'!AK8)</f>
        <v>187.28</v>
      </c>
      <c r="AL8" s="69">
        <f>SUM('MDA1:NCA9'!AL8)</f>
        <v>191.61999999999998</v>
      </c>
      <c r="AM8" s="69">
        <f>SUM('MDA1:NCA9'!AM8)</f>
        <v>196.49000000000004</v>
      </c>
      <c r="AN8" s="69">
        <f>SUM('MDA1:NCA9'!AN8)</f>
        <v>201.08000000000004</v>
      </c>
    </row>
    <row r="9" spans="1:40" collapsed="1" x14ac:dyDescent="0.25">
      <c r="B9" s="96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 hidden="1" outlineLevel="1" x14ac:dyDescent="0.25">
      <c r="B10" s="55" t="s">
        <v>461</v>
      </c>
      <c r="C10" s="3"/>
      <c r="D10" s="96"/>
      <c r="E10" s="69">
        <f>SUM('MDA1:NCA9'!E2)</f>
        <v>38.353858784893276</v>
      </c>
      <c r="F10" s="69">
        <f>SUM('MDA1:NCA9'!F2)</f>
        <v>43.806239737274211</v>
      </c>
      <c r="G10" s="69">
        <f>SUM('MDA1:NCA9'!G2)</f>
        <v>42.711001642036116</v>
      </c>
      <c r="H10" s="69">
        <f>SUM('MDA1:NCA9'!H2)</f>
        <v>44.877668308702795</v>
      </c>
      <c r="I10" s="69">
        <f>SUM('MDA1:NCA9'!I2)</f>
        <v>51.591954022988503</v>
      </c>
      <c r="J10" s="69">
        <f>SUM('MDA1:NCA9'!J2)</f>
        <v>55.306239737274218</v>
      </c>
      <c r="K10" s="69">
        <f>SUM('MDA1:NCA9'!K2)</f>
        <v>63.472906403940883</v>
      </c>
      <c r="L10" s="69">
        <f>SUM('MDA1:NCA9'!L2)</f>
        <v>71.83004926108373</v>
      </c>
      <c r="M10" s="69">
        <f>SUM('MDA1:NCA9'!M2)</f>
        <v>74.163382594417072</v>
      </c>
      <c r="N10" s="69">
        <f>SUM('MDA1:NCA9'!N2)</f>
        <v>79.663382594417087</v>
      </c>
      <c r="O10" s="69">
        <f>SUM('MDA1:NCA9'!O2)</f>
        <v>87.06814449917897</v>
      </c>
      <c r="P10" s="69">
        <f>SUM('MDA1:NCA9'!P2)</f>
        <v>92.615763546798021</v>
      </c>
      <c r="Q10" s="69">
        <f>SUM('MDA1:NCA9'!Q2)</f>
        <v>89.782430213464721</v>
      </c>
      <c r="R10" s="69">
        <f>SUM('MDA1:NCA9'!R2)</f>
        <v>92.711001642036123</v>
      </c>
      <c r="S10" s="69">
        <f>SUM('MDA1:NCA9'!S2)</f>
        <v>97.425287356321846</v>
      </c>
      <c r="T10" s="69">
        <f>SUM('MDA1:NCA9'!T2)</f>
        <v>97.591954022988531</v>
      </c>
      <c r="U10" s="69">
        <f>SUM('MDA1:NCA9'!U2)</f>
        <v>95.877668308702781</v>
      </c>
      <c r="V10" s="69">
        <f>SUM('MDA1:NCA9'!V2)</f>
        <v>96.830049261083744</v>
      </c>
      <c r="W10" s="69">
        <f>SUM('MDA1:NCA9'!W2)</f>
        <v>98.377668308702809</v>
      </c>
      <c r="X10" s="69">
        <f>SUM('MDA1:NCA9'!X2)</f>
        <v>101.6871921182266</v>
      </c>
      <c r="Y10" s="69">
        <f>SUM('MDA1:NCA9'!Y2)</f>
        <v>111.04433497536944</v>
      </c>
      <c r="Z10" s="69">
        <f>SUM('MDA1:NCA9'!Z2)</f>
        <v>111.54433497536947</v>
      </c>
      <c r="AA10" s="69">
        <f>SUM('MDA1:NCA9'!AA2)</f>
        <v>112.18719211822662</v>
      </c>
      <c r="AB10" s="69">
        <f>SUM('MDA1:NCA9'!AB2)</f>
        <v>113.97290640394087</v>
      </c>
      <c r="AC10" s="69">
        <f>SUM('MDA1:NCA9'!AC2)</f>
        <v>120.30623973727421</v>
      </c>
      <c r="AD10" s="69">
        <f>SUM('MDA1:NCA9'!AD2)</f>
        <v>121.59195402298852</v>
      </c>
      <c r="AE10" s="69">
        <f>SUM('MDA1:NCA9'!AE2)</f>
        <v>122.71100164203611</v>
      </c>
      <c r="AF10" s="69">
        <f>SUM('MDA1:NCA9'!AF2)</f>
        <v>124.0919540229885</v>
      </c>
      <c r="AG10" s="69">
        <f>SUM('MDA1:NCA9'!AG2)</f>
        <v>126.59195402298853</v>
      </c>
      <c r="AH10" s="69">
        <f>SUM('MDA1:NCA9'!AH2)</f>
        <v>129.09195402298849</v>
      </c>
      <c r="AI10" s="69">
        <f>SUM('MDA1:NCA9'!AI2)</f>
        <v>137.61576354679801</v>
      </c>
      <c r="AJ10" s="69">
        <f>SUM('MDA1:NCA9'!AJ2)</f>
        <v>137.28243021346472</v>
      </c>
      <c r="AK10" s="69">
        <f>SUM('MDA1:NCA9'!AK2)</f>
        <v>137.25862068965517</v>
      </c>
      <c r="AL10" s="69">
        <f>SUM('MDA1:NCA9'!AL2)</f>
        <v>144.97290640394087</v>
      </c>
      <c r="AM10" s="69">
        <f>SUM('MDA1:NCA9'!AM2)</f>
        <v>149.09195402298852</v>
      </c>
      <c r="AN10" s="69">
        <f>SUM('MDA1:NCA9'!AN2)</f>
        <v>151.92528735632183</v>
      </c>
    </row>
    <row r="11" spans="1:40" hidden="1" outlineLevel="1" x14ac:dyDescent="0.25">
      <c r="B11" s="55" t="s">
        <v>462</v>
      </c>
      <c r="C11" s="3"/>
      <c r="D11" s="96"/>
      <c r="E11" s="69">
        <f>SUM('MDA1:NCA9'!E3)</f>
        <v>21.666666666666668</v>
      </c>
      <c r="F11" s="69">
        <f>SUM('MDA1:NCA9'!F3)</f>
        <v>23</v>
      </c>
      <c r="G11" s="69">
        <f>SUM('MDA1:NCA9'!G3)</f>
        <v>24.333333333333332</v>
      </c>
      <c r="H11" s="69">
        <f>SUM('MDA1:NCA9'!H3)</f>
        <v>26.000000000000004</v>
      </c>
      <c r="I11" s="69">
        <f>SUM('MDA1:NCA9'!I3)</f>
        <v>28</v>
      </c>
      <c r="J11" s="69">
        <f>SUM('MDA1:NCA9'!J3)</f>
        <v>29.999999999999996</v>
      </c>
      <c r="K11" s="69">
        <f>SUM('MDA1:NCA9'!K3)</f>
        <v>35.166666666666664</v>
      </c>
      <c r="L11" s="69">
        <f>SUM('MDA1:NCA9'!L3)</f>
        <v>37.666666666666664</v>
      </c>
      <c r="M11" s="69">
        <f>SUM('MDA1:NCA9'!M3)</f>
        <v>40.000000000000007</v>
      </c>
      <c r="N11" s="69">
        <f>SUM('MDA1:NCA9'!N3)</f>
        <v>42.5</v>
      </c>
      <c r="O11" s="69">
        <f>SUM('MDA1:NCA9'!O3)</f>
        <v>45.333333333333321</v>
      </c>
      <c r="P11" s="69">
        <f>SUM('MDA1:NCA9'!P3)</f>
        <v>48.500000000000007</v>
      </c>
      <c r="Q11" s="69">
        <f>SUM('MDA1:NCA9'!Q3)</f>
        <v>51.666666666666671</v>
      </c>
      <c r="R11" s="69">
        <f>SUM('MDA1:NCA9'!R3)</f>
        <v>54.666666666666657</v>
      </c>
      <c r="S11" s="69">
        <f>SUM('MDA1:NCA9'!S3)</f>
        <v>57.666666666666671</v>
      </c>
      <c r="T11" s="69">
        <f>SUM('MDA1:NCA9'!T3)</f>
        <v>60.833333333333336</v>
      </c>
      <c r="U11" s="69">
        <f>SUM('MDA1:NCA9'!U3)</f>
        <v>63.833333333333329</v>
      </c>
      <c r="V11" s="69">
        <f>SUM('MDA1:NCA9'!V3)</f>
        <v>66.5</v>
      </c>
      <c r="W11" s="69">
        <f>SUM('MDA1:NCA9'!W3)</f>
        <v>69.333333333333329</v>
      </c>
      <c r="X11" s="69">
        <f>SUM('MDA1:NCA9'!X3)</f>
        <v>72.500000000000014</v>
      </c>
      <c r="Y11" s="69">
        <f>SUM('MDA1:NCA9'!Y3)</f>
        <v>75.999999999999986</v>
      </c>
      <c r="Z11" s="69">
        <f>SUM('MDA1:NCA9'!Z3)</f>
        <v>79.5</v>
      </c>
      <c r="AA11" s="69">
        <f>SUM('MDA1:NCA9'!AA3)</f>
        <v>83.000000000000028</v>
      </c>
      <c r="AB11" s="69">
        <f>SUM('MDA1:NCA9'!AB3)</f>
        <v>86.499999999999986</v>
      </c>
      <c r="AC11" s="69">
        <f>SUM('MDA1:NCA9'!AC3)</f>
        <v>89.833333333333329</v>
      </c>
      <c r="AD11" s="69">
        <f>SUM('MDA1:NCA9'!AD3)</f>
        <v>92.833333333333343</v>
      </c>
      <c r="AE11" s="69">
        <f>SUM('MDA1:NCA9'!AE3)</f>
        <v>95.666666666666657</v>
      </c>
      <c r="AF11" s="69">
        <f>SUM('MDA1:NCA9'!AF3)</f>
        <v>98.333333333333343</v>
      </c>
      <c r="AG11" s="69">
        <f>SUM('MDA1:NCA9'!AG3)</f>
        <v>100.83333333333333</v>
      </c>
      <c r="AH11" s="69">
        <f>SUM('MDA1:NCA9'!AH3)</f>
        <v>103.33333333333333</v>
      </c>
      <c r="AI11" s="69">
        <f>SUM('MDA1:NCA9'!AI3)</f>
        <v>106.00000000000001</v>
      </c>
      <c r="AJ11" s="69">
        <f>SUM('MDA1:NCA9'!AJ3)</f>
        <v>108.66666666666667</v>
      </c>
      <c r="AK11" s="69">
        <f>SUM('MDA1:NCA9'!AK3)</f>
        <v>111.49999999999999</v>
      </c>
      <c r="AL11" s="69">
        <f>SUM('MDA1:NCA9'!AL3)</f>
        <v>114.50000000000003</v>
      </c>
      <c r="AM11" s="69">
        <f>SUM('MDA1:NCA9'!AM3)</f>
        <v>117.33333333333331</v>
      </c>
      <c r="AN11" s="69">
        <f>SUM('MDA1:NCA9'!AN3)</f>
        <v>120.16666666666667</v>
      </c>
    </row>
    <row r="12" spans="1:40" hidden="1" outlineLevel="1" x14ac:dyDescent="0.25">
      <c r="B12" s="55" t="s">
        <v>463</v>
      </c>
      <c r="C12" s="3"/>
      <c r="D12" s="96"/>
      <c r="E12" s="69">
        <f>SUM('MDA1:NCA9'!E4)</f>
        <v>427.3538587848933</v>
      </c>
      <c r="F12" s="69">
        <f>SUM('MDA1:NCA9'!F4)</f>
        <v>453.80623973727421</v>
      </c>
      <c r="G12" s="69">
        <f>SUM('MDA1:NCA9'!G4)</f>
        <v>479.71100164203614</v>
      </c>
      <c r="H12" s="69">
        <f>SUM('MDA1:NCA9'!H4)</f>
        <v>510.87766830870282</v>
      </c>
      <c r="I12" s="69">
        <f>SUM('MDA1:NCA9'!I4)</f>
        <v>541.59195402298849</v>
      </c>
      <c r="J12" s="69">
        <f>SUM('MDA1:NCA9'!J4)</f>
        <v>575.30623973727415</v>
      </c>
      <c r="K12" s="69">
        <f>SUM('MDA1:NCA9'!K4)</f>
        <v>622.4729064039409</v>
      </c>
      <c r="L12" s="69">
        <f>SUM('MDA1:NCA9'!L4)</f>
        <v>661.83004926108367</v>
      </c>
      <c r="M12" s="69">
        <f>SUM('MDA1:NCA9'!M4)</f>
        <v>700.16338259441704</v>
      </c>
      <c r="N12" s="69">
        <f>SUM('MDA1:NCA9'!N4)</f>
        <v>744.66338259441716</v>
      </c>
      <c r="O12" s="69">
        <f>SUM('MDA1:NCA9'!O4)</f>
        <v>797.06814449917897</v>
      </c>
      <c r="P12" s="69">
        <f>SUM('MDA1:NCA9'!P4)</f>
        <v>850.61576354679801</v>
      </c>
      <c r="Q12" s="69">
        <f>SUM('MDA1:NCA9'!Q4)</f>
        <v>893.78243021346464</v>
      </c>
      <c r="R12" s="69">
        <f>SUM('MDA1:NCA9'!R4)</f>
        <v>936.71100164203608</v>
      </c>
      <c r="S12" s="69">
        <f>SUM('MDA1:NCA9'!S4)</f>
        <v>984.42528735632186</v>
      </c>
      <c r="T12" s="69">
        <f>SUM('MDA1:NCA9'!T4)</f>
        <v>1028.5919540229884</v>
      </c>
      <c r="U12" s="69">
        <f>SUM('MDA1:NCA9'!U4)</f>
        <v>1062.8776683087026</v>
      </c>
      <c r="V12" s="69">
        <f>SUM('MDA1:NCA9'!V4)</f>
        <v>1097.8300492610838</v>
      </c>
      <c r="W12" s="69">
        <f>SUM('MDA1:NCA9'!W4)</f>
        <v>1138.3776683087028</v>
      </c>
      <c r="X12" s="69">
        <f>SUM('MDA1:NCA9'!X4)</f>
        <v>1181.6871921182264</v>
      </c>
      <c r="Y12" s="69">
        <f>SUM('MDA1:NCA9'!Y4)</f>
        <v>1225.0443349753693</v>
      </c>
      <c r="Z12" s="69">
        <f>SUM('MDA1:NCA9'!Z4)</f>
        <v>1263.5443349753696</v>
      </c>
      <c r="AA12" s="69">
        <f>SUM('MDA1:NCA9'!AA4)</f>
        <v>1302.1871921182264</v>
      </c>
      <c r="AB12" s="69">
        <f>SUM('MDA1:NCA9'!AB4)</f>
        <v>1338.9729064039409</v>
      </c>
      <c r="AC12" s="69">
        <f>SUM('MDA1:NCA9'!AC4)</f>
        <v>1375.3062397372742</v>
      </c>
      <c r="AD12" s="69">
        <f>SUM('MDA1:NCA9'!AD4)</f>
        <v>1408.5919540229884</v>
      </c>
      <c r="AE12" s="69">
        <f>SUM('MDA1:NCA9'!AE4)</f>
        <v>1439.7110016420361</v>
      </c>
      <c r="AF12" s="69">
        <f>SUM('MDA1:NCA9'!AF4)</f>
        <v>1469.0919540229884</v>
      </c>
      <c r="AG12" s="69">
        <f>SUM('MDA1:NCA9'!AG4)</f>
        <v>1497.5919540229884</v>
      </c>
      <c r="AH12" s="69">
        <f>SUM('MDA1:NCA9'!AH4)</f>
        <v>1532.0919540229886</v>
      </c>
      <c r="AI12" s="69">
        <f>SUM('MDA1:NCA9'!AI4)</f>
        <v>1578.615763546798</v>
      </c>
      <c r="AJ12" s="69">
        <f>SUM('MDA1:NCA9'!AJ4)</f>
        <v>1615.2824302134647</v>
      </c>
      <c r="AK12" s="69">
        <f>SUM('MDA1:NCA9'!AK4)</f>
        <v>1651.2586206896553</v>
      </c>
      <c r="AL12" s="69">
        <f>SUM('MDA1:NCA9'!AL4)</f>
        <v>1692.9729064039407</v>
      </c>
      <c r="AM12" s="69">
        <f>SUM('MDA1:NCA9'!AM4)</f>
        <v>1735.0919540229884</v>
      </c>
      <c r="AN12" s="69">
        <f>SUM('MDA1:NCA9'!AN4)</f>
        <v>1772.9252873563221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</row>
    <row r="22" spans="2:40" collapsed="1" x14ac:dyDescent="0.25">
      <c r="B22" s="2" t="s">
        <v>464</v>
      </c>
      <c r="D22" s="55"/>
      <c r="E22" s="60" cm="1">
        <f t="array" ref="E22:AN22">_xlfn.BYCOL($E$26:$AN$30,_xlfn.LAMBDA(_xlpm.a,SUM(_xlpm.a)))/$E$23:$AN$23</f>
        <v>113.48136350378822</v>
      </c>
      <c r="F22" s="109">
        <v>115.59713245523659</v>
      </c>
      <c r="G22" s="109">
        <v>118.38373977118054</v>
      </c>
      <c r="H22" s="109">
        <v>121.72909213816456</v>
      </c>
      <c r="I22" s="109">
        <v>124.07380278590553</v>
      </c>
      <c r="J22" s="109">
        <v>125.96619705957097</v>
      </c>
      <c r="K22" s="109">
        <v>127.38961323928771</v>
      </c>
      <c r="L22" s="109">
        <v>129.14425910252587</v>
      </c>
      <c r="M22" s="109">
        <v>131.01860225101291</v>
      </c>
      <c r="N22" s="109">
        <v>132.50537175110924</v>
      </c>
      <c r="O22" s="109">
        <v>133.96890051241368</v>
      </c>
      <c r="P22" s="109">
        <v>135.20949323243374</v>
      </c>
      <c r="Q22" s="109">
        <v>140.4339867527741</v>
      </c>
      <c r="R22" s="109">
        <v>141.12918736752229</v>
      </c>
      <c r="S22" s="109">
        <v>142.02001190702291</v>
      </c>
      <c r="T22" s="109">
        <v>142.84307555042486</v>
      </c>
      <c r="U22" s="109">
        <v>143.26159068571101</v>
      </c>
      <c r="V22" s="109">
        <v>143.45135078769502</v>
      </c>
      <c r="W22" s="109">
        <v>143.64136872657684</v>
      </c>
      <c r="X22" s="109">
        <v>143.97150141809814</v>
      </c>
      <c r="Y22" s="109">
        <v>144.17517150077506</v>
      </c>
      <c r="Z22" s="109">
        <v>144.45673720301488</v>
      </c>
      <c r="AA22" s="109">
        <v>144.76137591002845</v>
      </c>
      <c r="AB22" s="109">
        <v>145.2382639425245</v>
      </c>
      <c r="AC22" s="109">
        <v>145.49357535821625</v>
      </c>
      <c r="AD22" s="109">
        <v>145.77531822530014</v>
      </c>
      <c r="AE22" s="109">
        <v>146.14010386296906</v>
      </c>
      <c r="AF22" s="109">
        <v>146.43399250477833</v>
      </c>
      <c r="AG22" s="109">
        <v>146.59580692171392</v>
      </c>
      <c r="AH22" s="109">
        <v>146.5680179199083</v>
      </c>
      <c r="AI22" s="109">
        <v>146.62859291035471</v>
      </c>
      <c r="AJ22" s="109">
        <v>146.74617069942354</v>
      </c>
      <c r="AK22" s="109">
        <v>146.96465062273484</v>
      </c>
      <c r="AL22" s="109">
        <v>147.29494020709552</v>
      </c>
      <c r="AM22" s="109">
        <v>147.70486780714526</v>
      </c>
      <c r="AN22" s="109">
        <v>148.0857594682214</v>
      </c>
    </row>
    <row r="23" spans="2:40" x14ac:dyDescent="0.25">
      <c r="B23" s="2" t="s">
        <v>55</v>
      </c>
      <c r="C23" s="3"/>
      <c r="D23" s="3"/>
      <c r="E23" s="53">
        <f>SUM('MDA1:NCA9'!E23)</f>
        <v>28678.026666666672</v>
      </c>
      <c r="F23" s="53">
        <f>SUM('MDA1:NCA9'!F23)</f>
        <v>30402.826666666664</v>
      </c>
      <c r="G23" s="53">
        <f>SUM('MDA1:NCA9'!G23)</f>
        <v>32757.706666666669</v>
      </c>
      <c r="H23" s="53">
        <f>SUM('MDA1:NCA9'!H23)</f>
        <v>35267.32</v>
      </c>
      <c r="I23" s="53">
        <f>SUM('MDA1:NCA9'!I23)</f>
        <v>37303.346666666665</v>
      </c>
      <c r="J23" s="53">
        <f>SUM('MDA1:NCA9'!J23)</f>
        <v>39809.293333333335</v>
      </c>
      <c r="K23" s="53">
        <f>SUM('MDA1:NCA9'!K23)</f>
        <v>43422.426666666666</v>
      </c>
      <c r="L23" s="53">
        <f>SUM('MDA1:NCA9'!L23)</f>
        <v>46140.160000000003</v>
      </c>
      <c r="M23" s="53">
        <f>SUM('MDA1:NCA9'!M23)</f>
        <v>49276.186666666668</v>
      </c>
      <c r="N23" s="53">
        <f>SUM('MDA1:NCA9'!N23)</f>
        <v>52780.639999999992</v>
      </c>
      <c r="O23" s="53">
        <f>SUM('MDA1:NCA9'!O23)</f>
        <v>56863.693333333322</v>
      </c>
      <c r="P23" s="53">
        <f>SUM('MDA1:NCA9'!P23)</f>
        <v>61099.72</v>
      </c>
      <c r="Q23" s="53">
        <f>SUM('MDA1:NCA9'!Q23)</f>
        <v>65232.493333333332</v>
      </c>
      <c r="R23" s="53">
        <f>SUM('MDA1:NCA9'!R23)</f>
        <v>68683.706666666665</v>
      </c>
      <c r="S23" s="53">
        <f>SUM('MDA1:NCA9'!S23)</f>
        <v>72501.439999999988</v>
      </c>
      <c r="T23" s="53">
        <f>SUM('MDA1:NCA9'!T23)</f>
        <v>76370.799999999974</v>
      </c>
      <c r="U23" s="53">
        <f>SUM('MDA1:NCA9'!U23)</f>
        <v>79453.439999999973</v>
      </c>
      <c r="V23" s="53">
        <f>SUM('MDA1:NCA9'!V23)</f>
        <v>82329.866666666654</v>
      </c>
      <c r="W23" s="53">
        <f>SUM('MDA1:NCA9'!W23)</f>
        <v>85784.746666666644</v>
      </c>
      <c r="X23" s="53">
        <f>SUM('MDA1:NCA9'!X23)</f>
        <v>89398.026666666672</v>
      </c>
      <c r="Y23" s="53">
        <f>SUM('MDA1:NCA9'!Y23)</f>
        <v>92434.613333333313</v>
      </c>
      <c r="Z23" s="53">
        <f>SUM('MDA1:NCA9'!Z23)</f>
        <v>95677.706666666651</v>
      </c>
      <c r="AA23" s="53">
        <f>SUM('MDA1:NCA9'!AA23)</f>
        <v>98920.799999999959</v>
      </c>
      <c r="AB23" s="53">
        <f>SUM('MDA1:NCA9'!AB23)</f>
        <v>102009.01333333332</v>
      </c>
      <c r="AC23" s="53">
        <f>SUM('MDA1:NCA9'!AC23)</f>
        <v>104678.93333333332</v>
      </c>
      <c r="AD23" s="53">
        <f>SUM('MDA1:NCA9'!AD23)</f>
        <v>107452.1066666666</v>
      </c>
      <c r="AE23" s="53">
        <f>SUM('MDA1:NCA9'!AE23)</f>
        <v>110068.63999999997</v>
      </c>
      <c r="AF23" s="53">
        <f>SUM('MDA1:NCA9'!AF23)</f>
        <v>112635.30666666664</v>
      </c>
      <c r="AG23" s="53">
        <f>SUM('MDA1:NCA9'!AG23)</f>
        <v>114938.55999999997</v>
      </c>
      <c r="AH23" s="53">
        <f>SUM('MDA1:NCA9'!AH23)</f>
        <v>117818.5066666666</v>
      </c>
      <c r="AI23" s="53">
        <f>SUM('MDA1:NCA9'!AI23)</f>
        <v>121221.75999999998</v>
      </c>
      <c r="AJ23" s="53">
        <f>SUM('MDA1:NCA9'!AJ23)</f>
        <v>124733.5466666666</v>
      </c>
      <c r="AK23" s="53">
        <f>SUM('MDA1:NCA9'!AK23)</f>
        <v>128033.5466666666</v>
      </c>
      <c r="AL23" s="53">
        <f>SUM('MDA1:NCA9'!AL23)</f>
        <v>131070.13333333326</v>
      </c>
      <c r="AM23" s="53">
        <f>SUM('MDA1:NCA9'!AM23)</f>
        <v>134473.38666666657</v>
      </c>
      <c r="AN23" s="53">
        <f>SUM('MDA1:NCA9'!AN23)</f>
        <v>137721.75999999992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449</v>
      </c>
      <c r="E26" s="12">
        <f>SUM('MDA1:NCA9'!E26)</f>
        <v>2498404.7975605326</v>
      </c>
      <c r="F26" s="12">
        <f>SUM('MDA1:NCA9'!F26)</f>
        <v>2707639.7378593329</v>
      </c>
      <c r="G26" s="12">
        <f>SUM('MDA1:NCA9'!G26)</f>
        <v>2999995.4943712</v>
      </c>
      <c r="H26" s="12">
        <f>SUM('MDA1:NCA9'!H26)</f>
        <v>3338737.8102294668</v>
      </c>
      <c r="I26" s="12">
        <f>SUM('MDA1:NCA9'!I26)</f>
        <v>3612364.6035377327</v>
      </c>
      <c r="J26" s="12">
        <f>SUM('MDA1:NCA9'!J26)</f>
        <v>3923619.9806041326</v>
      </c>
      <c r="K26" s="12">
        <f>SUM('MDA1:NCA9'!K26)</f>
        <v>4333350.4912966667</v>
      </c>
      <c r="L26" s="12">
        <f>SUM('MDA1:NCA9'!L26)</f>
        <v>4678154.203815734</v>
      </c>
      <c r="M26" s="12">
        <f>SUM('MDA1:NCA9'!M26)</f>
        <v>5080277.500882132</v>
      </c>
      <c r="N26" s="12">
        <f>SUM('MDA1:NCA9'!N26)</f>
        <v>5511708.4650090663</v>
      </c>
      <c r="O26" s="12">
        <f>SUM('MDA1:NCA9'!O26)</f>
        <v>6012048.3332103994</v>
      </c>
      <c r="P26" s="12">
        <f>SUM('MDA1:NCA9'!P26)</f>
        <v>6527684.5965135973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450</v>
      </c>
      <c r="E27" s="12">
        <f>SUM('MDA1:NCA9'!E27)</f>
        <v>122734.33660799998</v>
      </c>
      <c r="F27" s="12">
        <f>SUM('MDA1:NCA9'!F27)</f>
        <v>134368.754208</v>
      </c>
      <c r="G27" s="12">
        <f>SUM('MDA1:NCA9'!G27)</f>
        <v>151820.38060799998</v>
      </c>
      <c r="H27" s="12">
        <f>SUM('MDA1:NCA9'!H27)</f>
        <v>168692.12727466665</v>
      </c>
      <c r="I27" s="12">
        <f>SUM('MDA1:NCA9'!I27)</f>
        <v>182011.92727466667</v>
      </c>
      <c r="J27" s="12">
        <f>SUM('MDA1:NCA9'!J27)</f>
        <v>199463.55367466665</v>
      </c>
      <c r="K27" s="12">
        <f>SUM('MDA1:NCA9'!K27)</f>
        <v>224090.25572266662</v>
      </c>
      <c r="L27" s="12">
        <f>SUM('MDA1:NCA9'!L27)</f>
        <v>244205.84212266668</v>
      </c>
      <c r="M27" s="12">
        <f>SUM('MDA1:NCA9'!M27)</f>
        <v>266985.38852266665</v>
      </c>
      <c r="N27" s="12">
        <f>SUM('MDA1:NCA9'!N27)</f>
        <v>293521.95600000001</v>
      </c>
      <c r="O27" s="12">
        <f>SUM('MDA1:NCA9'!O27)</f>
        <v>324600.9940159999</v>
      </c>
      <c r="P27" s="12">
        <f>SUM('MDA1:NCA9'!P27)</f>
        <v>355680.03203200002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451</v>
      </c>
      <c r="E28" s="12">
        <f>SUM('MDA1:NCA9'!E28)</f>
        <v>521047.9731547999</v>
      </c>
      <c r="F28" s="12">
        <f>SUM('MDA1:NCA9'!F28)</f>
        <v>553334.6775995997</v>
      </c>
      <c r="G28" s="12">
        <f>SUM('MDA1:NCA9'!G28)</f>
        <v>597967.09065079992</v>
      </c>
      <c r="H28" s="12">
        <f>SUM('MDA1:NCA9'!H28)</f>
        <v>647269.25450199982</v>
      </c>
      <c r="I28" s="12">
        <f>SUM('MDA1:NCA9'!I28)</f>
        <v>687283.19798319985</v>
      </c>
      <c r="J28" s="12">
        <f>SUM('MDA1:NCA9'!J28)</f>
        <v>734784.32593279972</v>
      </c>
      <c r="K28" s="12">
        <f>SUM('MDA1:NCA9'!K28)</f>
        <v>804405.21902000008</v>
      </c>
      <c r="L28" s="12">
        <f>SUM('MDA1:NCA9'!L28)</f>
        <v>856146.91426159977</v>
      </c>
      <c r="M28" s="12">
        <f>SUM('MDA1:NCA9'!M28)</f>
        <v>916310.4062111997</v>
      </c>
      <c r="N28" s="12">
        <f>SUM('MDA1:NCA9'!N28)</f>
        <v>982821.98750839976</v>
      </c>
      <c r="O28" s="12">
        <f>SUM('MDA1:NCA9'!O28)</f>
        <v>1060395.7484899999</v>
      </c>
      <c r="P28" s="12">
        <f>SUM('MDA1:NCA9'!P28)</f>
        <v>1140818.4450779995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453</v>
      </c>
      <c r="E29" s="12">
        <f>SUM('MDA1:NCA9'!E29)</f>
        <v>39867.209311999992</v>
      </c>
      <c r="F29" s="12">
        <f>SUM('MDA1:NCA9'!F29)</f>
        <v>42678.599287999998</v>
      </c>
      <c r="G29" s="12">
        <f>SUM('MDA1:NCA9'!G29)</f>
        <v>46388.556132000005</v>
      </c>
      <c r="H29" s="12">
        <f>SUM('MDA1:NCA9'!H29)</f>
        <v>50651.696395999999</v>
      </c>
      <c r="I29" s="12">
        <f>SUM('MDA1:NCA9'!I29)</f>
        <v>54135.231680000004</v>
      </c>
      <c r="J29" s="12">
        <f>SUM('MDA1:NCA9'!J29)</f>
        <v>58255.679379999994</v>
      </c>
      <c r="K29" s="12">
        <f>SUM('MDA1:NCA9'!K29)</f>
        <v>63310.003167999996</v>
      </c>
      <c r="L29" s="12">
        <f>SUM('MDA1:NCA9'!L29)</f>
        <v>67668.25</v>
      </c>
      <c r="M29" s="12">
        <f>SUM('MDA1:NCA9'!M29)</f>
        <v>72762.725699999995</v>
      </c>
      <c r="N29" s="12">
        <f>SUM('MDA1:NCA9'!N29)</f>
        <v>78147.792999999976</v>
      </c>
      <c r="O29" s="12">
        <f>SUM('MDA1:NCA9'!O29)</f>
        <v>84399.342147999996</v>
      </c>
      <c r="P29" s="12">
        <f>SUM('MDA1:NCA9'!P29)</f>
        <v>90985.921019999994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452</v>
      </c>
      <c r="E30" s="12">
        <f>SUM('MDA1:NCA9'!E30)</f>
        <v>72367.252095999982</v>
      </c>
      <c r="F30" s="12">
        <f>SUM('MDA1:NCA9'!F30)</f>
        <v>76457.81224533332</v>
      </c>
      <c r="G30" s="12">
        <f>SUM('MDA1:NCA9'!G30)</f>
        <v>81808.29976533333</v>
      </c>
      <c r="H30" s="12">
        <f>SUM('MDA1:NCA9'!H30)</f>
        <v>87707.957344000009</v>
      </c>
      <c r="I30" s="12">
        <f>SUM('MDA1:NCA9'!I30)</f>
        <v>92573.117098666684</v>
      </c>
      <c r="J30" s="12">
        <f>SUM('MDA1:NCA9'!J30)</f>
        <v>98501.749237333337</v>
      </c>
      <c r="K30" s="12">
        <f>SUM('MDA1:NCA9'!K30)</f>
        <v>106410.16977066667</v>
      </c>
      <c r="L30" s="12">
        <f>SUM('MDA1:NCA9'!L30)</f>
        <v>112561.567872</v>
      </c>
      <c r="M30" s="12">
        <f>SUM('MDA1:NCA9'!M30)</f>
        <v>119761.08001066666</v>
      </c>
      <c r="N30" s="12">
        <f>SUM('MDA1:NCA9'!N30)</f>
        <v>127518.122944</v>
      </c>
      <c r="O30" s="12">
        <f>SUM('MDA1:NCA9'!O30)</f>
        <v>136522.05707733333</v>
      </c>
      <c r="P30" s="12">
        <f>SUM('MDA1:NCA9'!P30)</f>
        <v>146093.1832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473</v>
      </c>
      <c r="E31" s="12">
        <f>SUM('MDA1:NCA9'!E31)</f>
        <v>0</v>
      </c>
      <c r="F31" s="12">
        <f>SUM('MDA1:NCA9'!F31)</f>
        <v>0</v>
      </c>
      <c r="G31" s="12">
        <f>SUM('MDA1:NCA9'!G31)</f>
        <v>0</v>
      </c>
      <c r="H31" s="12">
        <f>SUM('MDA1:NCA9'!H31)</f>
        <v>0</v>
      </c>
      <c r="I31" s="12">
        <f>SUM('MDA1:NCA9'!I31)</f>
        <v>0</v>
      </c>
      <c r="J31" s="12">
        <f>SUM('MDA1:NCA9'!J31)</f>
        <v>0</v>
      </c>
      <c r="K31" s="12">
        <f>SUM('MDA1:NCA9'!K31)</f>
        <v>0</v>
      </c>
      <c r="L31" s="12">
        <f>SUM('MDA1:NCA9'!L31)</f>
        <v>0</v>
      </c>
      <c r="M31" s="12">
        <f>SUM('MDA1:NCA9'!M31)</f>
        <v>0</v>
      </c>
      <c r="N31" s="12">
        <f>SUM('MDA1:NCA9'!N31)</f>
        <v>0</v>
      </c>
      <c r="O31" s="12">
        <f>SUM('MDA1:NCA9'!O31)</f>
        <v>0</v>
      </c>
      <c r="P31" s="12">
        <f>SUM('MDA1:NCA9'!P31)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474</v>
      </c>
      <c r="E32" s="12">
        <f>SUM('MDA1:NCA9'!E32)</f>
        <v>0</v>
      </c>
      <c r="F32" s="12">
        <f>SUM('MDA1:NCA9'!F32)</f>
        <v>0</v>
      </c>
      <c r="G32" s="12">
        <f>SUM('MDA1:NCA9'!G32)</f>
        <v>0</v>
      </c>
      <c r="H32" s="12">
        <f>SUM('MDA1:NCA9'!H32)</f>
        <v>0</v>
      </c>
      <c r="I32" s="12">
        <f>SUM('MDA1:NCA9'!I32)</f>
        <v>0</v>
      </c>
      <c r="J32" s="12">
        <f>SUM('MDA1:NCA9'!J32)</f>
        <v>0</v>
      </c>
      <c r="K32" s="12">
        <f>SUM('MDA1:NCA9'!K32)</f>
        <v>0</v>
      </c>
      <c r="L32" s="12">
        <f>SUM('MDA1:NCA9'!L32)</f>
        <v>0</v>
      </c>
      <c r="M32" s="12">
        <f>SUM('MDA1:NCA9'!M32)</f>
        <v>0</v>
      </c>
      <c r="N32" s="12">
        <f>SUM('MDA1:NCA9'!N32)</f>
        <v>0</v>
      </c>
      <c r="O32" s="12">
        <f>SUM('MDA1:NCA9'!O32)</f>
        <v>0</v>
      </c>
      <c r="P32" s="12">
        <f>SUM('MDA1:NCA9'!P32)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475</v>
      </c>
      <c r="E33" s="12">
        <f>SUM('MDA1:NCA9'!E33)</f>
        <v>151666.41186666666</v>
      </c>
      <c r="F33" s="12">
        <f>SUM('MDA1:NCA9'!F33)</f>
        <v>151666.41186666666</v>
      </c>
      <c r="G33" s="12">
        <f>SUM('MDA1:NCA9'!G33)</f>
        <v>203489.3952</v>
      </c>
      <c r="H33" s="12">
        <f>SUM('MDA1:NCA9'!H33)</f>
        <v>229400.88686666667</v>
      </c>
      <c r="I33" s="12">
        <f>SUM('MDA1:NCA9'!I33)</f>
        <v>229400.88686666667</v>
      </c>
      <c r="J33" s="12">
        <f>SUM('MDA1:NCA9'!J33)</f>
        <v>253162.47320000001</v>
      </c>
      <c r="K33" s="12">
        <f>SUM('MDA1:NCA9'!K33)</f>
        <v>303707.06123333331</v>
      </c>
      <c r="L33" s="12">
        <f>SUM('MDA1:NCA9'!L33)</f>
        <v>303707.06123333331</v>
      </c>
      <c r="M33" s="12">
        <f>SUM('MDA1:NCA9'!M33)</f>
        <v>329618.55290000001</v>
      </c>
      <c r="N33" s="12">
        <f>SUM('MDA1:NCA9'!N33)</f>
        <v>329618.55290000001</v>
      </c>
      <c r="O33" s="12">
        <f>SUM('MDA1:NCA9'!O33)</f>
        <v>355530.04456666665</v>
      </c>
      <c r="P33" s="12">
        <f>SUM('MDA1:NCA9'!P33)</f>
        <v>355530.04456666665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476</v>
      </c>
      <c r="E34" s="12">
        <f>SUM('MDA1:NCA9'!E34)</f>
        <v>0</v>
      </c>
      <c r="F34" s="12">
        <f>SUM('MDA1:NCA9'!F34)</f>
        <v>0</v>
      </c>
      <c r="G34" s="12">
        <f>SUM('MDA1:NCA9'!G34)</f>
        <v>0</v>
      </c>
      <c r="H34" s="12">
        <f>SUM('MDA1:NCA9'!H34)</f>
        <v>0</v>
      </c>
      <c r="I34" s="12">
        <f>SUM('MDA1:NCA9'!I34)</f>
        <v>0</v>
      </c>
      <c r="J34" s="12">
        <f>SUM('MDA1:NCA9'!J34)</f>
        <v>0</v>
      </c>
      <c r="K34" s="12">
        <f>SUM('MDA1:NCA9'!K34)</f>
        <v>0</v>
      </c>
      <c r="L34" s="12">
        <f>SUM('MDA1:NCA9'!L34)</f>
        <v>0</v>
      </c>
      <c r="M34" s="12">
        <f>SUM('MDA1:NCA9'!M34)</f>
        <v>0</v>
      </c>
      <c r="N34" s="12">
        <f>SUM('MDA1:NCA9'!N34)</f>
        <v>0</v>
      </c>
      <c r="O34" s="12">
        <f>SUM('MDA1:NCA9'!O34)</f>
        <v>0</v>
      </c>
      <c r="P34" s="12">
        <f>SUM('MDA1:NCA9'!P34)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107</v>
      </c>
      <c r="E35" s="12">
        <f>SUM('MDA1:NCA9'!E35)</f>
        <v>-408730.55767175998</v>
      </c>
      <c r="F35" s="12">
        <f>SUM('MDA1:NCA9'!F35)</f>
        <v>-439937.51916803193</v>
      </c>
      <c r="G35" s="12">
        <f>SUM('MDA1:NCA9'!G35)</f>
        <v>-489776.30600727996</v>
      </c>
      <c r="H35" s="12">
        <f>SUM('MDA1:NCA9'!H35)</f>
        <v>-542695.16791353608</v>
      </c>
      <c r="I35" s="12">
        <f>SUM('MDA1:NCA9'!I35)</f>
        <v>-582932.27573291177</v>
      </c>
      <c r="J35" s="12">
        <f>SUM('MDA1:NCA9'!J35)</f>
        <v>-632134.53144347179</v>
      </c>
      <c r="K35" s="12">
        <f>SUM('MDA1:NCA9'!K35)</f>
        <v>-700232.78402535978</v>
      </c>
      <c r="L35" s="12">
        <f>SUM('MDA1:NCA9'!L35)</f>
        <v>-751493.26071663981</v>
      </c>
      <c r="M35" s="12">
        <f>SUM('MDA1:NCA9'!M35)</f>
        <v>-814285.87850719981</v>
      </c>
      <c r="N35" s="12">
        <f>SUM('MDA1:NCA9'!N35)</f>
        <v>-878800.42528337578</v>
      </c>
      <c r="O35" s="12">
        <f>SUM('MDA1:NCA9'!O35)</f>
        <v>-956819.58234100766</v>
      </c>
      <c r="P35" s="12">
        <f>SUM('MDA1:NCA9'!P35)</f>
        <v>-1034015.0666892318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320</v>
      </c>
      <c r="C36" s="4"/>
      <c r="E36" s="12">
        <f>SUM('MDA1:NCA9'!E36)</f>
        <v>0</v>
      </c>
      <c r="F36" s="12">
        <f>SUM('MDA1:NCA9'!F36)</f>
        <v>0</v>
      </c>
      <c r="G36" s="12">
        <f>SUM('MDA1:NCA9'!G36)</f>
        <v>0</v>
      </c>
      <c r="H36" s="12">
        <f>SUM('MDA1:NCA9'!H36)</f>
        <v>0</v>
      </c>
      <c r="I36" s="12">
        <f>SUM('MDA1:NCA9'!I36)</f>
        <v>0</v>
      </c>
      <c r="J36" s="12">
        <f>SUM('MDA1:NCA9'!J36)</f>
        <v>0</v>
      </c>
      <c r="K36" s="12">
        <f>SUM('MDA1:NCA9'!K36)</f>
        <v>0</v>
      </c>
      <c r="L36" s="12">
        <f>SUM('MDA1:NCA9'!L36)</f>
        <v>0</v>
      </c>
      <c r="M36" s="12">
        <f>SUM('MDA1:NCA9'!M36)</f>
        <v>0</v>
      </c>
      <c r="N36" s="12">
        <f>SUM('MDA1:NCA9'!N36)</f>
        <v>0</v>
      </c>
      <c r="O36" s="12">
        <f>SUM('MDA1:NCA9'!O36)</f>
        <v>0</v>
      </c>
      <c r="P36" s="12">
        <f>SUM('MDA1:NCA9'!P36)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331</v>
      </c>
      <c r="C37" s="15"/>
      <c r="E37" s="13">
        <f t="shared" ref="E37:AJ37" si="0">SUM(E26:E36)</f>
        <v>2997357.4229262397</v>
      </c>
      <c r="F37" s="13">
        <f t="shared" si="0"/>
        <v>3226208.4738989002</v>
      </c>
      <c r="G37" s="13">
        <f t="shared" si="0"/>
        <v>3591692.9107200531</v>
      </c>
      <c r="H37" s="13">
        <f t="shared" si="0"/>
        <v>3979764.5646992638</v>
      </c>
      <c r="I37" s="13">
        <f t="shared" si="0"/>
        <v>4274836.6887080204</v>
      </c>
      <c r="J37" s="13">
        <f t="shared" si="0"/>
        <v>4635653.2305854596</v>
      </c>
      <c r="K37" s="13">
        <f t="shared" si="0"/>
        <v>5135040.4161859732</v>
      </c>
      <c r="L37" s="13">
        <f t="shared" si="0"/>
        <v>5510950.5785886943</v>
      </c>
      <c r="M37" s="13">
        <f t="shared" si="0"/>
        <v>5971429.7757194666</v>
      </c>
      <c r="N37" s="13">
        <f t="shared" si="0"/>
        <v>6444536.4520780891</v>
      </c>
      <c r="O37" s="13">
        <f t="shared" si="0"/>
        <v>7016676.9371673921</v>
      </c>
      <c r="P37" s="13">
        <f t="shared" si="0"/>
        <v>7582777.1557210321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ref="AK37:AN37" si="1">SUM(AK26:AK36)</f>
        <v>17157128.049590562</v>
      </c>
      <c r="AL37" s="13">
        <f t="shared" si="1"/>
        <v>17611428.784240745</v>
      </c>
      <c r="AM37" s="13">
        <f t="shared" si="1"/>
        <v>18124552.547327995</v>
      </c>
      <c r="AN37" s="13">
        <f t="shared" si="1"/>
        <v>18592939.256202463</v>
      </c>
    </row>
    <row r="39" spans="2:40" x14ac:dyDescent="0.25">
      <c r="B39" s="1" t="s">
        <v>132</v>
      </c>
    </row>
    <row r="40" spans="2:40" outlineLevel="1" x14ac:dyDescent="0.25">
      <c r="B40" s="39" t="s">
        <v>23</v>
      </c>
      <c r="E40" s="12">
        <f>SUM('MDA1:NCA9'!E40)</f>
        <v>1663938.4356637122</v>
      </c>
      <c r="F40" s="12">
        <f>SUM('MDA1:NCA9'!F40)</f>
        <v>1772337.1253409968</v>
      </c>
      <c r="G40" s="12">
        <f>SUM('MDA1:NCA9'!G40)</f>
        <v>1947233.0514551769</v>
      </c>
      <c r="H40" s="12">
        <f>SUM('MDA1:NCA9'!H40)</f>
        <v>2137818.2187150912</v>
      </c>
      <c r="I40" s="12">
        <f>SUM('MDA1:NCA9'!I40)</f>
        <v>2284992.46430249</v>
      </c>
      <c r="J40" s="12">
        <f>SUM('MDA1:NCA9'!J40)</f>
        <v>2455211.3546020938</v>
      </c>
      <c r="K40" s="12">
        <f>SUM('MDA1:NCA9'!K40)</f>
        <v>2721166.0881361747</v>
      </c>
      <c r="L40" s="12">
        <f>SUM('MDA1:NCA9'!L40)</f>
        <v>2891850.1002443149</v>
      </c>
      <c r="M40" s="12">
        <f>SUM('MDA1:NCA9'!M40)</f>
        <v>3093188.8554119244</v>
      </c>
      <c r="N40" s="12">
        <f>SUM('MDA1:NCA9'!N40)</f>
        <v>3321511.8736682497</v>
      </c>
      <c r="O40" s="12">
        <f>SUM('MDA1:NCA9'!O40)</f>
        <v>3604306.9578717588</v>
      </c>
      <c r="P40" s="12">
        <f>SUM('MDA1:NCA9'!P40)</f>
        <v>3856737.0739468029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>
        <f>SUM('MDA1:NCA9'!E41)</f>
        <v>0</v>
      </c>
      <c r="F41" s="12">
        <f>SUM('MDA1:NCA9'!F41)</f>
        <v>0</v>
      </c>
      <c r="G41" s="12">
        <f>SUM('MDA1:NCA9'!G41)</f>
        <v>0</v>
      </c>
      <c r="H41" s="12">
        <f>SUM('MDA1:NCA9'!H41)</f>
        <v>0</v>
      </c>
      <c r="I41" s="12">
        <f>SUM('MDA1:NCA9'!I41)</f>
        <v>0</v>
      </c>
      <c r="J41" s="12">
        <f>SUM('MDA1:NCA9'!J41)</f>
        <v>0</v>
      </c>
      <c r="K41" s="12">
        <f>SUM('MDA1:NCA9'!K41)</f>
        <v>0</v>
      </c>
      <c r="L41" s="12">
        <f>SUM('MDA1:NCA9'!L41)</f>
        <v>0</v>
      </c>
      <c r="M41" s="12">
        <f>SUM('MDA1:NCA9'!M41)</f>
        <v>0</v>
      </c>
      <c r="N41" s="12">
        <f>SUM('MDA1:NCA9'!N41)</f>
        <v>0</v>
      </c>
      <c r="O41" s="12">
        <f>SUM('MDA1:NCA9'!O41)</f>
        <v>0</v>
      </c>
      <c r="P41" s="12">
        <f>SUM('MDA1:NCA9'!P41)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>
        <f>SUM('MDA1:NCA9'!E42)</f>
        <v>77057.290000000008</v>
      </c>
      <c r="F42" s="12">
        <f>SUM('MDA1:NCA9'!F42)</f>
        <v>77057.290000000008</v>
      </c>
      <c r="G42" s="12">
        <f>SUM('MDA1:NCA9'!G42)</f>
        <v>107057.29000000001</v>
      </c>
      <c r="H42" s="12">
        <f>SUM('MDA1:NCA9'!H42)</f>
        <v>122057.29000000001</v>
      </c>
      <c r="I42" s="12">
        <f>SUM('MDA1:NCA9'!I42)</f>
        <v>122057.29000000001</v>
      </c>
      <c r="J42" s="12">
        <f>SUM('MDA1:NCA9'!J42)</f>
        <v>128770.29000000001</v>
      </c>
      <c r="K42" s="12">
        <f>SUM('MDA1:NCA9'!K42)</f>
        <v>158062.66</v>
      </c>
      <c r="L42" s="12">
        <f>SUM('MDA1:NCA9'!L42)</f>
        <v>158062.66</v>
      </c>
      <c r="M42" s="12">
        <f>SUM('MDA1:NCA9'!M42)</f>
        <v>173062.66</v>
      </c>
      <c r="N42" s="12">
        <f>SUM('MDA1:NCA9'!N42)</f>
        <v>179775.66</v>
      </c>
      <c r="O42" s="12">
        <f>SUM('MDA1:NCA9'!O42)</f>
        <v>194775.66</v>
      </c>
      <c r="P42" s="12">
        <f>SUM('MDA1:NCA9'!P42)</f>
        <v>194775.66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>
        <f>SUM('MDA1:NCA9'!E43)</f>
        <v>37222.93</v>
      </c>
      <c r="F43" s="12">
        <f>SUM('MDA1:NCA9'!F43)</f>
        <v>37222.93</v>
      </c>
      <c r="G43" s="12">
        <f>SUM('MDA1:NCA9'!G43)</f>
        <v>54622.93</v>
      </c>
      <c r="H43" s="12">
        <f>SUM('MDA1:NCA9'!H43)</f>
        <v>63322.93</v>
      </c>
      <c r="I43" s="12">
        <f>SUM('MDA1:NCA9'!I43)</f>
        <v>63322.93</v>
      </c>
      <c r="J43" s="12">
        <f>SUM('MDA1:NCA9'!J43)</f>
        <v>68922.929999999993</v>
      </c>
      <c r="K43" s="12">
        <f>SUM('MDA1:NCA9'!K43)</f>
        <v>83322.929999999993</v>
      </c>
      <c r="L43" s="12">
        <f>SUM('MDA1:NCA9'!L43)</f>
        <v>83322.929999999993</v>
      </c>
      <c r="M43" s="12">
        <f>SUM('MDA1:NCA9'!M43)</f>
        <v>92022.93</v>
      </c>
      <c r="N43" s="12">
        <f>SUM('MDA1:NCA9'!N43)</f>
        <v>96622.93</v>
      </c>
      <c r="O43" s="12">
        <f>SUM('MDA1:NCA9'!O43)</f>
        <v>105322.93</v>
      </c>
      <c r="P43" s="12">
        <f>SUM('MDA1:NCA9'!P43)</f>
        <v>105322.93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>
        <f>SUM('MDA1:NCA9'!E44)</f>
        <v>13679.764000000001</v>
      </c>
      <c r="F44" s="12">
        <f>SUM('MDA1:NCA9'!F44)</f>
        <v>14899.486800000001</v>
      </c>
      <c r="G44" s="12">
        <f>SUM('MDA1:NCA9'!G44)</f>
        <v>15667.710000000001</v>
      </c>
      <c r="H44" s="12">
        <f>SUM('MDA1:NCA9'!H44)</f>
        <v>17386.103999999999</v>
      </c>
      <c r="I44" s="12">
        <f>SUM('MDA1:NCA9'!I44)</f>
        <v>19097.7592</v>
      </c>
      <c r="J44" s="12">
        <f>SUM('MDA1:NCA9'!J44)</f>
        <v>20229.877600000003</v>
      </c>
      <c r="K44" s="12">
        <f>SUM('MDA1:NCA9'!K44)</f>
        <v>22460.420399999999</v>
      </c>
      <c r="L44" s="12">
        <f>SUM('MDA1:NCA9'!L44)</f>
        <v>23670.035000000003</v>
      </c>
      <c r="M44" s="12">
        <f>SUM('MDA1:NCA9'!M44)</f>
        <v>24394.456000000002</v>
      </c>
      <c r="N44" s="12">
        <f>SUM('MDA1:NCA9'!N44)</f>
        <v>26085.894800000005</v>
      </c>
      <c r="O44" s="12">
        <f>SUM('MDA1:NCA9'!O44)</f>
        <v>28316.437600000001</v>
      </c>
      <c r="P44" s="12">
        <f>SUM('MDA1:NCA9'!P44)</f>
        <v>29718.108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37</v>
      </c>
      <c r="E45" s="12">
        <f>SUM('MDA1:NCA9'!E45)</f>
        <v>46000</v>
      </c>
      <c r="F45" s="12">
        <f>SUM('MDA1:NCA9'!F45)</f>
        <v>46000</v>
      </c>
      <c r="G45" s="12">
        <f>SUM('MDA1:NCA9'!G45)</f>
        <v>61000</v>
      </c>
      <c r="H45" s="12">
        <f>SUM('MDA1:NCA9'!H45)</f>
        <v>68500</v>
      </c>
      <c r="I45" s="12">
        <f>SUM('MDA1:NCA9'!I45)</f>
        <v>68500</v>
      </c>
      <c r="J45" s="12">
        <f>SUM('MDA1:NCA9'!J45)</f>
        <v>74500</v>
      </c>
      <c r="K45" s="12">
        <f>SUM('MDA1:NCA9'!K45)</f>
        <v>86250</v>
      </c>
      <c r="L45" s="12">
        <f>SUM('MDA1:NCA9'!L45)</f>
        <v>86250</v>
      </c>
      <c r="M45" s="12">
        <f>SUM('MDA1:NCA9'!M45)</f>
        <v>93750</v>
      </c>
      <c r="N45" s="12">
        <f>SUM('MDA1:NCA9'!N45)</f>
        <v>98250</v>
      </c>
      <c r="O45" s="12">
        <f>SUM('MDA1:NCA9'!O45)</f>
        <v>105750</v>
      </c>
      <c r="P45" s="12">
        <f>SUM('MDA1:NCA9'!P45)</f>
        <v>105750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40</v>
      </c>
      <c r="E46" s="12">
        <f>SUM('MDA1:NCA9'!E46)</f>
        <v>141826.5</v>
      </c>
      <c r="F46" s="12">
        <f>SUM('MDA1:NCA9'!F46)</f>
        <v>150224.5</v>
      </c>
      <c r="G46" s="12">
        <f>SUM('MDA1:NCA9'!G46)</f>
        <v>164262.5</v>
      </c>
      <c r="H46" s="12">
        <f>SUM('MDA1:NCA9'!H46)</f>
        <v>179705</v>
      </c>
      <c r="I46" s="12">
        <f>SUM('MDA1:NCA9'!I46)</f>
        <v>191582.5</v>
      </c>
      <c r="J46" s="12">
        <f>SUM('MDA1:NCA9'!J46)</f>
        <v>205167</v>
      </c>
      <c r="K46" s="12">
        <f>SUM('MDA1:NCA9'!K46)</f>
        <v>224461</v>
      </c>
      <c r="L46" s="12">
        <f>SUM('MDA1:NCA9'!L46)</f>
        <v>236784.5</v>
      </c>
      <c r="M46" s="12">
        <f>SUM('MDA1:NCA9'!M46)</f>
        <v>252212.5</v>
      </c>
      <c r="N46" s="12">
        <f>SUM('MDA1:NCA9'!N46)</f>
        <v>271094.5</v>
      </c>
      <c r="O46" s="12">
        <f>SUM('MDA1:NCA9'!O46)</f>
        <v>293386</v>
      </c>
      <c r="P46" s="12">
        <f>SUM('MDA1:NCA9'!P46)</f>
        <v>312076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42</v>
      </c>
      <c r="E47" s="12">
        <f>SUM('MDA1:NCA9'!E47)</f>
        <v>35550</v>
      </c>
      <c r="F47" s="12">
        <f>SUM('MDA1:NCA9'!F47)</f>
        <v>35550</v>
      </c>
      <c r="G47" s="12">
        <f>SUM('MDA1:NCA9'!G47)</f>
        <v>47550</v>
      </c>
      <c r="H47" s="12">
        <f>SUM('MDA1:NCA9'!H47)</f>
        <v>53550</v>
      </c>
      <c r="I47" s="12">
        <f>SUM('MDA1:NCA9'!I47)</f>
        <v>53550</v>
      </c>
      <c r="J47" s="12">
        <f>SUM('MDA1:NCA9'!J47)</f>
        <v>58300</v>
      </c>
      <c r="K47" s="12">
        <f>SUM('MDA1:NCA9'!K47)</f>
        <v>70050</v>
      </c>
      <c r="L47" s="12">
        <f>SUM('MDA1:NCA9'!L47)</f>
        <v>70050</v>
      </c>
      <c r="M47" s="12">
        <f>SUM('MDA1:NCA9'!M47)</f>
        <v>76050</v>
      </c>
      <c r="N47" s="12">
        <f>SUM('MDA1:NCA9'!N47)</f>
        <v>80000</v>
      </c>
      <c r="O47" s="12">
        <f>SUM('MDA1:NCA9'!O47)</f>
        <v>86000</v>
      </c>
      <c r="P47" s="12">
        <f>SUM('MDA1:NCA9'!P47)</f>
        <v>86000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43</v>
      </c>
      <c r="E48" s="12">
        <f>SUM('MDA1:NCA9'!E48)</f>
        <v>280234.46999999997</v>
      </c>
      <c r="F48" s="12">
        <f>SUM('MDA1:NCA9'!F48)</f>
        <v>151234.47</v>
      </c>
      <c r="G48" s="12">
        <f>SUM('MDA1:NCA9'!G48)</f>
        <v>0</v>
      </c>
      <c r="H48" s="12">
        <f>SUM('MDA1:NCA9'!H48)</f>
        <v>104139</v>
      </c>
      <c r="I48" s="12">
        <f>SUM('MDA1:NCA9'!I48)</f>
        <v>278111.58</v>
      </c>
      <c r="J48" s="12">
        <f>SUM('MDA1:NCA9'!J48)</f>
        <v>0</v>
      </c>
      <c r="K48" s="12">
        <f>SUM('MDA1:NCA9'!K48)</f>
        <v>151234.47</v>
      </c>
      <c r="L48" s="12">
        <f>SUM('MDA1:NCA9'!L48)</f>
        <v>103139</v>
      </c>
      <c r="M48" s="12">
        <f>SUM('MDA1:NCA9'!M48)</f>
        <v>151234.47</v>
      </c>
      <c r="N48" s="12">
        <f>SUM('MDA1:NCA9'!N48)</f>
        <v>0</v>
      </c>
      <c r="O48" s="12">
        <f>SUM('MDA1:NCA9'!O48)</f>
        <v>0</v>
      </c>
      <c r="P48" s="12">
        <f>SUM('MDA1:NCA9'!P48)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44</v>
      </c>
      <c r="E49" s="12">
        <f>SUM('MDA1:NCA9'!E49)</f>
        <v>667165.34483365377</v>
      </c>
      <c r="F49" s="12">
        <f>SUM('MDA1:NCA9'!F49)</f>
        <v>674623.48015886394</v>
      </c>
      <c r="G49" s="12">
        <f>SUM('MDA1:NCA9'!G49)</f>
        <v>684212.51129127678</v>
      </c>
      <c r="H49" s="12">
        <f>SUM('MDA1:NCA9'!H49)</f>
        <v>694511.84102609078</v>
      </c>
      <c r="I49" s="12">
        <f>SUM('MDA1:NCA9'!I49)</f>
        <v>703035.42425490229</v>
      </c>
      <c r="J49" s="12">
        <f>SUM('MDA1:NCA9'!J49)</f>
        <v>713689.9032909167</v>
      </c>
      <c r="K49" s="12">
        <f>SUM('MDA1:NCA9'!K49)</f>
        <v>727540.72603773547</v>
      </c>
      <c r="L49" s="12">
        <f>SUM('MDA1:NCA9'!L49)</f>
        <v>738550.35437495064</v>
      </c>
      <c r="M49" s="12">
        <f>SUM('MDA1:NCA9'!M49)</f>
        <v>751335.72921816772</v>
      </c>
      <c r="N49" s="12">
        <f>SUM('MDA1:NCA9'!N49)</f>
        <v>765186.55196498672</v>
      </c>
      <c r="O49" s="12">
        <f>SUM('MDA1:NCA9'!O49)</f>
        <v>781168.27051900828</v>
      </c>
      <c r="P49" s="12">
        <f>SUM('MDA1:NCA9'!P49)</f>
        <v>798215.43697663082</v>
      </c>
      <c r="Q49" s="12">
        <f>SUM('MDA1:NCA9'!Q49)</f>
        <v>895041.79931503895</v>
      </c>
      <c r="R49" s="12">
        <f>SUM('MDA1:NCA9'!R49)</f>
        <v>910668.36856786034</v>
      </c>
      <c r="S49" s="12">
        <f>SUM('MDA1:NCA9'!S49)</f>
        <v>927466.93051464309</v>
      </c>
      <c r="T49" s="12">
        <f>SUM('MDA1:NCA9'!T49)</f>
        <v>944656.15669274668</v>
      </c>
      <c r="U49" s="12">
        <f>SUM('MDA1:NCA9'!U49)</f>
        <v>958720.06902028539</v>
      </c>
      <c r="V49" s="12">
        <f>SUM('MDA1:NCA9'!V49)</f>
        <v>972002.65288518334</v>
      </c>
      <c r="W49" s="12">
        <f>SUM('MDA1:NCA9'!W49)</f>
        <v>987238.557906684</v>
      </c>
      <c r="X49" s="12">
        <f>SUM('MDA1:NCA9'!X49)</f>
        <v>1002865.1271595053</v>
      </c>
      <c r="Y49" s="12">
        <f>SUM('MDA1:NCA9'!Y49)</f>
        <v>1016147.7110244035</v>
      </c>
      <c r="Z49" s="12">
        <f>SUM('MDA1:NCA9'!Z49)</f>
        <v>1030992.9518145833</v>
      </c>
      <c r="AA49" s="12">
        <f>SUM('MDA1:NCA9'!AA49)</f>
        <v>1045838.192604763</v>
      </c>
      <c r="AB49" s="12">
        <f>SUM('MDA1:NCA9'!AB49)</f>
        <v>1059511.440700982</v>
      </c>
      <c r="AC49" s="12">
        <f>SUM('MDA1:NCA9'!AC49)</f>
        <v>1177350.138964657</v>
      </c>
      <c r="AD49" s="12">
        <f>SUM('MDA1:NCA9'!AD49)</f>
        <v>1191101.5199071399</v>
      </c>
      <c r="AE49" s="12">
        <f>SUM('MDA1:NCA9'!AE49)</f>
        <v>1203993.4395407173</v>
      </c>
      <c r="AF49" s="12">
        <f>SUM('MDA1:NCA9'!AF49)</f>
        <v>1216025.8978653899</v>
      </c>
      <c r="AG49" s="12">
        <f>SUM('MDA1:NCA9'!AG49)</f>
        <v>1227198.8948811567</v>
      </c>
      <c r="AH49" s="12">
        <f>SUM('MDA1:NCA9'!AH49)</f>
        <v>1240950.2758236397</v>
      </c>
      <c r="AI49" s="12">
        <f>SUM('MDA1:NCA9'!AI49)</f>
        <v>1257280.040692837</v>
      </c>
      <c r="AJ49" s="12">
        <f>SUM('MDA1:NCA9'!AJ49)</f>
        <v>1273180.074907583</v>
      </c>
      <c r="AK49" s="12">
        <f>SUM('MDA1:NCA9'!AK49)</f>
        <v>1288650.3784678755</v>
      </c>
      <c r="AL49" s="12">
        <f>SUM('MDA1:NCA9'!AL49)</f>
        <v>1303261.2207192646</v>
      </c>
      <c r="AM49" s="12">
        <f>SUM('MDA1:NCA9'!AM49)</f>
        <v>1319590.9855884628</v>
      </c>
      <c r="AN49" s="12">
        <f>SUM('MDA1:NCA9'!AN49)</f>
        <v>1334631.5584943036</v>
      </c>
    </row>
    <row r="50" spans="2:40" x14ac:dyDescent="0.25">
      <c r="B50" s="1" t="s">
        <v>332</v>
      </c>
      <c r="E50" s="13">
        <f>SUM(E40:E49)</f>
        <v>2962674.734497366</v>
      </c>
      <c r="F50" s="13">
        <f t="shared" ref="F50:AN50" si="2">SUM(F40:F49)</f>
        <v>2959149.2822998613</v>
      </c>
      <c r="G50" s="13">
        <f t="shared" si="2"/>
        <v>3081605.9927464537</v>
      </c>
      <c r="H50" s="13">
        <f t="shared" si="2"/>
        <v>3440990.3837411823</v>
      </c>
      <c r="I50" s="13">
        <f t="shared" si="2"/>
        <v>3784249.9477573927</v>
      </c>
      <c r="J50" s="13">
        <f t="shared" si="2"/>
        <v>3724791.3554930105</v>
      </c>
      <c r="K50" s="13">
        <f t="shared" si="2"/>
        <v>4244548.2945739105</v>
      </c>
      <c r="L50" s="13">
        <f t="shared" si="2"/>
        <v>4391679.5796192661</v>
      </c>
      <c r="M50" s="13">
        <f t="shared" si="2"/>
        <v>4707251.6006300924</v>
      </c>
      <c r="N50" s="13">
        <f t="shared" si="2"/>
        <v>4838527.4104332365</v>
      </c>
      <c r="O50" s="13">
        <f t="shared" si="2"/>
        <v>5199026.2559907669</v>
      </c>
      <c r="P50" s="13">
        <f t="shared" si="2"/>
        <v>5488595.2089234339</v>
      </c>
      <c r="Q50" s="13">
        <f t="shared" si="2"/>
        <v>6436089.3346132785</v>
      </c>
      <c r="R50" s="13">
        <f t="shared" si="2"/>
        <v>6543784.7759068646</v>
      </c>
      <c r="S50" s="13">
        <f t="shared" si="2"/>
        <v>6890365.1172797224</v>
      </c>
      <c r="T50" s="13">
        <f t="shared" si="2"/>
        <v>7162545.9855360175</v>
      </c>
      <c r="U50" s="13">
        <f t="shared" si="2"/>
        <v>7623173.567249909</v>
      </c>
      <c r="V50" s="13">
        <f t="shared" si="2"/>
        <v>7852013.7961966172</v>
      </c>
      <c r="W50" s="13">
        <f t="shared" si="2"/>
        <v>7936028.59647917</v>
      </c>
      <c r="X50" s="13">
        <f t="shared" si="2"/>
        <v>8328969.0530224163</v>
      </c>
      <c r="Y50" s="13">
        <f t="shared" si="2"/>
        <v>8717883.2538473364</v>
      </c>
      <c r="Z50" s="13">
        <f t="shared" si="2"/>
        <v>8948962.2929345146</v>
      </c>
      <c r="AA50" s="13">
        <f t="shared" si="2"/>
        <v>9091779.836981304</v>
      </c>
      <c r="AB50" s="13">
        <f t="shared" si="2"/>
        <v>9383505.0563612171</v>
      </c>
      <c r="AC50" s="13">
        <f t="shared" si="2"/>
        <v>10461260.447185919</v>
      </c>
      <c r="AD50" s="13">
        <f t="shared" si="2"/>
        <v>10671666.356466081</v>
      </c>
      <c r="AE50" s="13">
        <f t="shared" si="2"/>
        <v>10886088.274475928</v>
      </c>
      <c r="AF50" s="13">
        <f t="shared" si="2"/>
        <v>11324708.818627298</v>
      </c>
      <c r="AG50" s="13">
        <f t="shared" si="2"/>
        <v>11422342.586298667</v>
      </c>
      <c r="AH50" s="13">
        <f t="shared" si="2"/>
        <v>11773116.14138105</v>
      </c>
      <c r="AI50" s="13">
        <f t="shared" si="2"/>
        <v>12132357.33111294</v>
      </c>
      <c r="AJ50" s="13">
        <f t="shared" si="2"/>
        <v>12473466.190093759</v>
      </c>
      <c r="AK50" s="13">
        <f t="shared" si="2"/>
        <v>12814580.902472038</v>
      </c>
      <c r="AL50" s="13">
        <f t="shared" si="2"/>
        <v>12996589.002041362</v>
      </c>
      <c r="AM50" s="13">
        <f t="shared" si="2"/>
        <v>13341425.765963992</v>
      </c>
      <c r="AN50" s="13">
        <f t="shared" si="2"/>
        <v>13619273.815064859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50</v>
      </c>
      <c r="E52" s="74">
        <f>E37-E50</f>
        <v>34682.688428873662</v>
      </c>
      <c r="F52" s="74">
        <f t="shared" ref="F52:AN52" si="3">F37-F50</f>
        <v>267059.1915990389</v>
      </c>
      <c r="G52" s="74">
        <f t="shared" si="3"/>
        <v>510086.9179735994</v>
      </c>
      <c r="H52" s="74">
        <f t="shared" si="3"/>
        <v>538774.1809580815</v>
      </c>
      <c r="I52" s="74">
        <f t="shared" si="3"/>
        <v>490586.74095062772</v>
      </c>
      <c r="J52" s="74">
        <f t="shared" si="3"/>
        <v>910861.87509244913</v>
      </c>
      <c r="K52" s="74">
        <f t="shared" si="3"/>
        <v>890492.12161206268</v>
      </c>
      <c r="L52" s="74">
        <f t="shared" si="3"/>
        <v>1119270.9989694282</v>
      </c>
      <c r="M52" s="74">
        <f t="shared" si="3"/>
        <v>1264178.1750893742</v>
      </c>
      <c r="N52" s="74">
        <f t="shared" si="3"/>
        <v>1606009.0416448526</v>
      </c>
      <c r="O52" s="74">
        <f t="shared" si="3"/>
        <v>1817650.6811766252</v>
      </c>
      <c r="P52" s="74">
        <f t="shared" si="3"/>
        <v>2094181.9467975982</v>
      </c>
      <c r="Q52" s="74">
        <f t="shared" si="3"/>
        <v>1947719.1098508546</v>
      </c>
      <c r="R52" s="74">
        <f t="shared" si="3"/>
        <v>2308550.2788735889</v>
      </c>
      <c r="S52" s="74">
        <f t="shared" si="3"/>
        <v>2516430.218589318</v>
      </c>
      <c r="T52" s="74">
        <f t="shared" si="3"/>
        <v>2783147.7826426933</v>
      </c>
      <c r="U52" s="74">
        <f t="shared" si="3"/>
        <v>2739276.0970614776</v>
      </c>
      <c r="V52" s="74">
        <f t="shared" si="3"/>
        <v>2886815.7257289346</v>
      </c>
      <c r="W52" s="74">
        <f t="shared" si="3"/>
        <v>3298303.5056770537</v>
      </c>
      <c r="X52" s="74">
        <f t="shared" si="3"/>
        <v>3434292.5604804065</v>
      </c>
      <c r="Y52" s="74">
        <f t="shared" si="3"/>
        <v>3446665.4937503505</v>
      </c>
      <c r="Z52" s="74">
        <f t="shared" si="3"/>
        <v>3650757.9810727052</v>
      </c>
      <c r="AA52" s="74">
        <f t="shared" si="3"/>
        <v>3970213.7847410794</v>
      </c>
      <c r="AB52" s="74">
        <f t="shared" si="3"/>
        <v>4138191.5236419681</v>
      </c>
      <c r="AC52" s="74">
        <f t="shared" si="3"/>
        <v>3425196.3724657819</v>
      </c>
      <c r="AD52" s="74">
        <f t="shared" si="3"/>
        <v>3596492.898991473</v>
      </c>
      <c r="AE52" s="74">
        <f t="shared" si="3"/>
        <v>3753059.1267239284</v>
      </c>
      <c r="AF52" s="74">
        <f t="shared" si="3"/>
        <v>3673650.3326515649</v>
      </c>
      <c r="AG52" s="74">
        <f t="shared" si="3"/>
        <v>3889185.0667095818</v>
      </c>
      <c r="AH52" s="74">
        <f t="shared" si="3"/>
        <v>3951330.5775227956</v>
      </c>
      <c r="AI52" s="74">
        <f t="shared" si="3"/>
        <v>4060988.5340374783</v>
      </c>
      <c r="AJ52" s="74">
        <f t="shared" si="3"/>
        <v>4209408.7754168417</v>
      </c>
      <c r="AK52" s="74">
        <f t="shared" si="3"/>
        <v>4342547.1471185237</v>
      </c>
      <c r="AL52" s="74">
        <f t="shared" si="3"/>
        <v>4614839.7821993828</v>
      </c>
      <c r="AM52" s="74">
        <f t="shared" si="3"/>
        <v>4783126.7813640032</v>
      </c>
      <c r="AN52" s="74">
        <f t="shared" si="3"/>
        <v>4973665.4411376044</v>
      </c>
    </row>
    <row r="53" spans="2:40" x14ac:dyDescent="0.25">
      <c r="B53" s="1"/>
      <c r="E53" s="111">
        <f>IFERROR(E52/E37,"")</f>
        <v>1.1571088640811439E-2</v>
      </c>
      <c r="F53" s="111">
        <f t="shared" ref="F53:AN53" si="4">IFERROR(F52/F37,"")</f>
        <v>8.277803302534123E-2</v>
      </c>
      <c r="G53" s="111">
        <f t="shared" si="4"/>
        <v>0.1420185218093544</v>
      </c>
      <c r="H53" s="111">
        <f t="shared" si="4"/>
        <v>0.13537840548082639</v>
      </c>
      <c r="I53" s="111">
        <f t="shared" si="4"/>
        <v>0.11476151644494688</v>
      </c>
      <c r="J53" s="111">
        <f t="shared" si="4"/>
        <v>0.19649051164627598</v>
      </c>
      <c r="K53" s="111">
        <f t="shared" si="4"/>
        <v>0.17341482236540437</v>
      </c>
      <c r="L53" s="111">
        <f t="shared" si="4"/>
        <v>0.20309944409918182</v>
      </c>
      <c r="M53" s="111">
        <f t="shared" si="4"/>
        <v>0.2117044363863527</v>
      </c>
      <c r="N53" s="111">
        <f t="shared" si="4"/>
        <v>0.24920474165787099</v>
      </c>
      <c r="O53" s="111">
        <f t="shared" si="4"/>
        <v>0.25904722384302964</v>
      </c>
      <c r="P53" s="111">
        <f t="shared" si="4"/>
        <v>0.27617611645326878</v>
      </c>
      <c r="Q53" s="111">
        <f t="shared" si="4"/>
        <v>0.23231913309480995</v>
      </c>
      <c r="R53" s="111">
        <f t="shared" si="4"/>
        <v>0.26078433143206903</v>
      </c>
      <c r="S53" s="111">
        <f t="shared" si="4"/>
        <v>0.26751195585109849</v>
      </c>
      <c r="T53" s="111">
        <f t="shared" si="4"/>
        <v>0.27983445373588584</v>
      </c>
      <c r="U53" s="111">
        <f t="shared" si="4"/>
        <v>0.26434638389565679</v>
      </c>
      <c r="V53" s="111">
        <f t="shared" si="4"/>
        <v>0.2688203327778787</v>
      </c>
      <c r="W53" s="111">
        <f t="shared" si="4"/>
        <v>0.29359141920363963</v>
      </c>
      <c r="X53" s="111">
        <f t="shared" si="4"/>
        <v>0.29195070834251002</v>
      </c>
      <c r="Y53" s="111">
        <f t="shared" si="4"/>
        <v>0.28333689685209362</v>
      </c>
      <c r="Z53" s="111">
        <f t="shared" si="4"/>
        <v>0.28974912947901632</v>
      </c>
      <c r="AA53" s="111">
        <f t="shared" si="4"/>
        <v>0.3039515941991065</v>
      </c>
      <c r="AB53" s="111">
        <f t="shared" si="4"/>
        <v>0.30604085065492526</v>
      </c>
      <c r="AC53" s="111">
        <f t="shared" si="4"/>
        <v>0.24665733073238277</v>
      </c>
      <c r="AD53" s="111">
        <f t="shared" si="4"/>
        <v>0.25206425262010013</v>
      </c>
      <c r="AE53" s="111">
        <f t="shared" si="4"/>
        <v>0.25637142818961706</v>
      </c>
      <c r="AF53" s="111">
        <f t="shared" si="4"/>
        <v>0.24493681579416801</v>
      </c>
      <c r="AG53" s="111">
        <f t="shared" si="4"/>
        <v>0.25400372548362121</v>
      </c>
      <c r="AH53" s="111">
        <f t="shared" si="4"/>
        <v>0.25128582570555741</v>
      </c>
      <c r="AI53" s="111">
        <f t="shared" si="4"/>
        <v>0.2507813127598974</v>
      </c>
      <c r="AJ53" s="111">
        <f t="shared" si="4"/>
        <v>0.25231914667700728</v>
      </c>
      <c r="AK53" s="111">
        <f t="shared" si="4"/>
        <v>0.25310454841666546</v>
      </c>
      <c r="AL53" s="111">
        <f t="shared" si="4"/>
        <v>0.26203664897017809</v>
      </c>
      <c r="AM53" s="111">
        <f t="shared" si="4"/>
        <v>0.26390316499532862</v>
      </c>
      <c r="AN53" s="111">
        <f t="shared" si="4"/>
        <v>0.26750291455281483</v>
      </c>
    </row>
    <row r="54" spans="2:40" x14ac:dyDescent="0.25">
      <c r="B54" s="39" t="s">
        <v>356</v>
      </c>
      <c r="C54" s="12">
        <v>53455.242566182867</v>
      </c>
      <c r="E54" s="67">
        <f>E67*_xlfn.XLOOKUP(YEAR($E$25),Base!$BJ$4:$BL$4,Base!$BJ$276:$BL$276,0,0)/12</f>
        <v>49091.991704809836</v>
      </c>
      <c r="F54" s="67">
        <f>F67*_xlfn.XLOOKUP(YEAR($E$25),Base!$BJ$4:$BL$4,Base!$BJ$276:$BL$276,0,0)/12</f>
        <v>60036.276369643136</v>
      </c>
      <c r="G54" s="67">
        <f>G67*_xlfn.XLOOKUP(YEAR($E$25),Base!$BJ$4:$BL$4,Base!$BJ$276:$BL$276,0,0)/12</f>
        <v>69971.800568669481</v>
      </c>
      <c r="H54" s="67">
        <f>H67*_xlfn.XLOOKUP(YEAR($E$25),Base!$BJ$4:$BL$4,Base!$BJ$276:$BL$276,0,0)/12</f>
        <v>77259.214907416914</v>
      </c>
      <c r="I54" s="67">
        <f>I67*_xlfn.XLOOKUP(YEAR($E$25),Base!$BJ$4:$BL$4,Base!$BJ$276:$BL$276,0,0)/12</f>
        <v>87848.747459192833</v>
      </c>
      <c r="J54" s="67">
        <f>J67*_xlfn.XLOOKUP(YEAR($E$25),Base!$BJ$4:$BL$4,Base!$BJ$276:$BL$276,0,0)/12</f>
        <v>95459.467796815457</v>
      </c>
      <c r="K54" s="67">
        <f>K67*_xlfn.XLOOKUP(YEAR($E$25),Base!$BJ$4:$BL$4,Base!$BJ$276:$BL$276,0,0)/12</f>
        <v>102155.32455911137</v>
      </c>
      <c r="L54" s="67">
        <f>L67*_xlfn.XLOOKUP(YEAR($E$25),Base!$BJ$4:$BL$4,Base!$BJ$276:$BL$276,0,0)/12</f>
        <v>106806.09794346003</v>
      </c>
      <c r="M54" s="67">
        <f>M67*_xlfn.XLOOKUP(YEAR($E$25),Base!$BJ$4:$BL$4,Base!$BJ$276:$BL$276,0,0)/12</f>
        <v>112095.68181679584</v>
      </c>
      <c r="N54" s="67">
        <f>N67*_xlfn.XLOOKUP(YEAR($E$25),Base!$BJ$4:$BL$4,Base!$BJ$276:$BL$276,0,0)/12</f>
        <v>114708.84389161656</v>
      </c>
      <c r="O54" s="67">
        <f>O67*_xlfn.XLOOKUP(YEAR($E$25),Base!$BJ$4:$BL$4,Base!$BJ$276:$BL$276,0,0)/12</f>
        <v>113348.28617435823</v>
      </c>
      <c r="P54" s="67">
        <f>P67*_xlfn.XLOOKUP(YEAR($E$25),Base!$BJ$4:$BL$4,Base!$BJ$276:$BL$276,0,0)/12</f>
        <v>110056.4933816814</v>
      </c>
      <c r="Q54" s="67">
        <f>Q67*_xlfn.XLOOKUP(YEAR($E$25),Base!$BJ$4:$BL$4,Base!$BJ$276:$BL$276,0,0)/12</f>
        <v>133819.81103537473</v>
      </c>
      <c r="R54" s="67">
        <f>R67*_xlfn.XLOOKUP(YEAR($E$25),Base!$BJ$4:$BL$4,Base!$BJ$276:$BL$276,0,0)/12</f>
        <v>129104.23861551995</v>
      </c>
      <c r="S54" s="67">
        <f>S67*_xlfn.XLOOKUP(YEAR($E$25),Base!$BJ$4:$BL$4,Base!$BJ$276:$BL$276,0,0)/12</f>
        <v>121390.17582347023</v>
      </c>
      <c r="T54" s="67">
        <f>T67*_xlfn.XLOOKUP(YEAR($E$25),Base!$BJ$4:$BL$4,Base!$BJ$276:$BL$276,0,0)/12</f>
        <v>111645.17750692909</v>
      </c>
      <c r="U54" s="67">
        <f>U67*_xlfn.XLOOKUP(YEAR($E$25),Base!$BJ$4:$BL$4,Base!$BJ$276:$BL$276,0,0)/12</f>
        <v>105393.17276883694</v>
      </c>
      <c r="V54" s="67">
        <f>V67*_xlfn.XLOOKUP(YEAR($E$25),Base!$BJ$4:$BL$4,Base!$BJ$276:$BL$276,0,0)/12</f>
        <v>101681.31674604998</v>
      </c>
      <c r="W54" s="67">
        <f>W67*_xlfn.XLOOKUP(YEAR($E$25),Base!$BJ$4:$BL$4,Base!$BJ$276:$BL$276,0,0)/12</f>
        <v>93434.300166664296</v>
      </c>
      <c r="X54" s="67">
        <f>X67*_xlfn.XLOOKUP(YEAR($E$25),Base!$BJ$4:$BL$4,Base!$BJ$276:$BL$276,0,0)/12</f>
        <v>84334.153152562823</v>
      </c>
      <c r="Y54" s="67">
        <f>Y67*_xlfn.XLOOKUP(YEAR($E$25),Base!$BJ$4:$BL$4,Base!$BJ$276:$BL$276,0,0)/12</f>
        <v>77381.4779700933</v>
      </c>
      <c r="Z54" s="67">
        <f>Z67*_xlfn.XLOOKUP(YEAR($E$25),Base!$BJ$4:$BL$4,Base!$BJ$276:$BL$276,0,0)/12</f>
        <v>71661.815589480902</v>
      </c>
      <c r="AA54" s="67">
        <f>AA67*_xlfn.XLOOKUP(YEAR($E$25),Base!$BJ$4:$BL$4,Base!$BJ$276:$BL$276,0,0)/12</f>
        <v>61825.079533711214</v>
      </c>
      <c r="AB54" s="67">
        <f>AB67*_xlfn.XLOOKUP(YEAR($E$25),Base!$BJ$4:$BL$4,Base!$BJ$276:$BL$276,0,0)/12</f>
        <v>48074.079287987035</v>
      </c>
      <c r="AC54" s="67">
        <f>AC67*_xlfn.XLOOKUP(YEAR($E$25),Base!$BJ$4:$BL$4,Base!$BJ$276:$BL$276,0,0)/12</f>
        <v>39996.407614693402</v>
      </c>
      <c r="AD54" s="67">
        <f>AD67*_xlfn.XLOOKUP(YEAR($E$25),Base!$BJ$4:$BL$4,Base!$BJ$276:$BL$276,0,0)/12</f>
        <v>31329.874515085055</v>
      </c>
      <c r="AE54" s="67">
        <f>AE67*_xlfn.XLOOKUP(YEAR($E$25),Base!$BJ$4:$BL$4,Base!$BJ$276:$BL$276,0,0)/12</f>
        <v>20434.477017339708</v>
      </c>
      <c r="AF54" s="67">
        <f>AF67*_xlfn.XLOOKUP(YEAR($E$25),Base!$BJ$4:$BL$4,Base!$BJ$276:$BL$276,0,0)/12</f>
        <v>10265.003901331347</v>
      </c>
      <c r="AG54" s="67">
        <f>AG67*_xlfn.XLOOKUP(YEAR($E$25),Base!$BJ$4:$BL$4,Base!$BJ$276:$BL$276,0,0)/12</f>
        <v>106.13248412465443</v>
      </c>
      <c r="AH54" s="67">
        <f>AH67*_xlfn.XLOOKUP(YEAR($E$25),Base!$BJ$4:$BL$4,Base!$BJ$276:$BL$276,0,0)/12</f>
        <v>0</v>
      </c>
      <c r="AI54" s="67">
        <f>AI67*_xlfn.XLOOKUP(YEAR($E$25),Base!$BJ$4:$BL$4,Base!$BJ$276:$BL$276,0,0)/12</f>
        <v>0</v>
      </c>
      <c r="AJ54" s="67">
        <f>AJ67*_xlfn.XLOOKUP(YEAR($E$25),Base!$BJ$4:$BL$4,Base!$BJ$276:$BL$276,0,0)/12</f>
        <v>0</v>
      </c>
      <c r="AK54" s="67">
        <f>AK67*_xlfn.XLOOKUP(YEAR($E$25),Base!$BJ$4:$BL$4,Base!$BJ$276:$BL$276,0,0)/12</f>
        <v>0</v>
      </c>
      <c r="AL54" s="67">
        <f>AL67*_xlfn.XLOOKUP(YEAR($E$25),Base!$BJ$4:$BL$4,Base!$BJ$276:$BL$276,0,0)/12</f>
        <v>0</v>
      </c>
      <c r="AM54" s="67">
        <f>AM67*_xlfn.XLOOKUP(YEAR($E$25),Base!$BJ$4:$BL$4,Base!$BJ$276:$BL$276,0,0)/12</f>
        <v>0</v>
      </c>
      <c r="AN54" s="67">
        <f>AN67*_xlfn.XLOOKUP(YEAR($E$25),Base!$BJ$4:$BL$4,Base!$BJ$276:$BL$276,0,0)/12</f>
        <v>0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334</v>
      </c>
      <c r="E56" s="74">
        <f t="shared" ref="E56:AN56" si="5">E52-E54</f>
        <v>-14409.303275936174</v>
      </c>
      <c r="F56" s="74">
        <f t="shared" si="5"/>
        <v>207022.91522939576</v>
      </c>
      <c r="G56" s="74">
        <f t="shared" si="5"/>
        <v>440115.11740492994</v>
      </c>
      <c r="H56" s="74">
        <f t="shared" si="5"/>
        <v>461514.9660506646</v>
      </c>
      <c r="I56" s="74">
        <f t="shared" si="5"/>
        <v>402737.9934914349</v>
      </c>
      <c r="J56" s="74">
        <f t="shared" si="5"/>
        <v>815402.40729563369</v>
      </c>
      <c r="K56" s="74">
        <f t="shared" si="5"/>
        <v>788336.7970529513</v>
      </c>
      <c r="L56" s="74">
        <f t="shared" si="5"/>
        <v>1012464.9010259683</v>
      </c>
      <c r="M56" s="74">
        <f t="shared" si="5"/>
        <v>1152082.4932725783</v>
      </c>
      <c r="N56" s="74">
        <f t="shared" si="5"/>
        <v>1491300.1977532362</v>
      </c>
      <c r="O56" s="74">
        <f t="shared" si="5"/>
        <v>1704302.3950022669</v>
      </c>
      <c r="P56" s="74">
        <f t="shared" si="5"/>
        <v>1984125.4534159168</v>
      </c>
      <c r="Q56" s="74">
        <f t="shared" si="5"/>
        <v>1813899.29881548</v>
      </c>
      <c r="R56" s="74">
        <f t="shared" si="5"/>
        <v>2179446.0402580691</v>
      </c>
      <c r="S56" s="74">
        <f t="shared" si="5"/>
        <v>2395040.0427658479</v>
      </c>
      <c r="T56" s="74">
        <f t="shared" si="5"/>
        <v>2671502.605135764</v>
      </c>
      <c r="U56" s="74">
        <f t="shared" si="5"/>
        <v>2633882.9242926408</v>
      </c>
      <c r="V56" s="74">
        <f t="shared" si="5"/>
        <v>2785134.4089828846</v>
      </c>
      <c r="W56" s="74">
        <f t="shared" si="5"/>
        <v>3204869.2055103895</v>
      </c>
      <c r="X56" s="74">
        <f t="shared" si="5"/>
        <v>3349958.4073278438</v>
      </c>
      <c r="Y56" s="74">
        <f t="shared" si="5"/>
        <v>3369284.0157802571</v>
      </c>
      <c r="Z56" s="74">
        <f t="shared" si="5"/>
        <v>3579096.1654832242</v>
      </c>
      <c r="AA56" s="74">
        <f t="shared" si="5"/>
        <v>3908388.7052073684</v>
      </c>
      <c r="AB56" s="74">
        <f t="shared" si="5"/>
        <v>4090117.4443539809</v>
      </c>
      <c r="AC56" s="74">
        <f t="shared" si="5"/>
        <v>3385199.9648510884</v>
      </c>
      <c r="AD56" s="74">
        <f t="shared" si="5"/>
        <v>3565163.024476388</v>
      </c>
      <c r="AE56" s="74">
        <f t="shared" si="5"/>
        <v>3732624.6497065886</v>
      </c>
      <c r="AF56" s="74">
        <f t="shared" si="5"/>
        <v>3663385.3287502336</v>
      </c>
      <c r="AG56" s="74">
        <f t="shared" si="5"/>
        <v>3889078.9342254573</v>
      </c>
      <c r="AH56" s="74">
        <f t="shared" si="5"/>
        <v>3951330.5775227956</v>
      </c>
      <c r="AI56" s="74">
        <f t="shared" si="5"/>
        <v>4060988.5340374783</v>
      </c>
      <c r="AJ56" s="74">
        <f t="shared" si="5"/>
        <v>4209408.7754168417</v>
      </c>
      <c r="AK56" s="74">
        <f t="shared" si="5"/>
        <v>4342547.1471185237</v>
      </c>
      <c r="AL56" s="74">
        <f t="shared" si="5"/>
        <v>4614839.7821993828</v>
      </c>
      <c r="AM56" s="74">
        <f t="shared" si="5"/>
        <v>4783126.7813640032</v>
      </c>
      <c r="AN56" s="74">
        <f t="shared" si="5"/>
        <v>4973665.4411376044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60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345</v>
      </c>
      <c r="E59" s="12">
        <f>SUM('MDA1:NCA9'!E56)</f>
        <v>-564877.58317066939</v>
      </c>
      <c r="F59" s="12">
        <f>SUM('MDA1:NCA9'!F56)</f>
        <v>-496371.82187200256</v>
      </c>
      <c r="G59" s="12">
        <f>SUM('MDA1:NCA9'!G56)</f>
        <v>-593953.86814080284</v>
      </c>
      <c r="H59" s="12">
        <f>SUM('MDA1:NCA9'!H56)</f>
        <v>-602150.95888906927</v>
      </c>
      <c r="I59" s="12">
        <f>SUM('MDA1:NCA9'!I56)</f>
        <v>-620651.86628000252</v>
      </c>
      <c r="J59" s="12">
        <f>SUM('MDA1:NCA9'!J56)</f>
        <v>-633162.50598293601</v>
      </c>
      <c r="K59" s="12">
        <f>SUM('MDA1:NCA9'!K56)</f>
        <v>-720033.55545470188</v>
      </c>
      <c r="L59" s="12">
        <f>SUM('MDA1:NCA9'!L56)</f>
        <v>-753398.79232347431</v>
      </c>
      <c r="M59" s="12">
        <f>SUM('MDA1:NCA9'!M56)</f>
        <v>-743663.26025735331</v>
      </c>
      <c r="N59" s="12">
        <f>SUM('MDA1:NCA9'!N56)</f>
        <v>-854488.30313748703</v>
      </c>
      <c r="O59" s="12">
        <f>SUM('MDA1:NCA9'!O56)</f>
        <v>-899994.14165056485</v>
      </c>
      <c r="P59" s="12">
        <f>SUM('MDA1:NCA9'!P56)</f>
        <v>-920387.95493299747</v>
      </c>
      <c r="Q59" s="12">
        <f>SUM('MDA1:NCA9'!Q56)</f>
        <v>-984564.97029494762</v>
      </c>
      <c r="R59" s="12">
        <f>SUM('MDA1:NCA9'!R56)</f>
        <v>-1075654.1451909104</v>
      </c>
      <c r="S59" s="12">
        <f>SUM('MDA1:NCA9'!S56)</f>
        <v>-1123617.6077004992</v>
      </c>
      <c r="T59" s="12">
        <f>SUM('MDA1:NCA9'!T56)</f>
        <v>-1127257.8312804054</v>
      </c>
      <c r="U59" s="12">
        <f>SUM('MDA1:NCA9'!U56)</f>
        <v>-1192556.9544755947</v>
      </c>
      <c r="V59" s="12">
        <f>SUM('MDA1:NCA9'!V56)</f>
        <v>-1318728.4165885032</v>
      </c>
      <c r="W59" s="12">
        <f>SUM('MDA1:NCA9'!W56)</f>
        <v>-1364406.6450129109</v>
      </c>
      <c r="X59" s="12">
        <f>SUM('MDA1:NCA9'!X56)</f>
        <v>-1394891.9917668798</v>
      </c>
      <c r="Y59" s="12">
        <f>SUM('MDA1:NCA9'!Y56)</f>
        <v>-1467527.9829351855</v>
      </c>
      <c r="Z59" s="12">
        <f>SUM('MDA1:NCA9'!Z56)</f>
        <v>-1607808.1856876253</v>
      </c>
      <c r="AA59" s="12">
        <f>SUM('MDA1:NCA9'!AA56)</f>
        <v>-1750347.1617156405</v>
      </c>
      <c r="AB59" s="12">
        <f>SUM('MDA1:NCA9'!AB56)</f>
        <v>-1772566.4113450344</v>
      </c>
      <c r="AC59" s="12">
        <f>SUM('MDA1:NCA9'!AC56)</f>
        <v>-1829766.0700719759</v>
      </c>
      <c r="AD59" s="12">
        <f>SUM('MDA1:NCA9'!AD56)</f>
        <v>-1930625.4114289999</v>
      </c>
      <c r="AE59" s="12">
        <f>SUM('MDA1:NCA9'!AE56)</f>
        <v>-2033842.9191761299</v>
      </c>
      <c r="AF59" s="12">
        <f>SUM('MDA1:NCA9'!AF56)</f>
        <v>-2035006.1068331103</v>
      </c>
      <c r="AG59" s="12">
        <f>SUM('MDA1:NCA9'!AG56)</f>
        <v>-2026957.2071806914</v>
      </c>
      <c r="AH59" s="12">
        <f>SUM('MDA1:NCA9'!AH56)</f>
        <v>-2071125.3561439526</v>
      </c>
      <c r="AI59" s="12">
        <f>SUM('MDA1:NCA9'!AI56)</f>
        <v>-2117834.8345308146</v>
      </c>
      <c r="AJ59" s="12">
        <f>SUM('MDA1:NCA9'!AJ56)</f>
        <v>-2126330.9825481977</v>
      </c>
      <c r="AK59" s="12">
        <f>SUM('MDA1:NCA9'!AK56)</f>
        <v>-2197432.2927680849</v>
      </c>
      <c r="AL59" s="12">
        <f>SUM('MDA1:NCA9'!AL56)</f>
        <v>-2301649.4365046974</v>
      </c>
      <c r="AM59" s="12">
        <f>SUM('MDA1:NCA9'!AM56)</f>
        <v>-2409938.7531462</v>
      </c>
      <c r="AN59" s="12">
        <f>SUM('MDA1:NCA9'!AN56)</f>
        <v>-2524338.5691861683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336</v>
      </c>
      <c r="E61" s="13">
        <f>E37-E50-E58+E59</f>
        <v>-1475861.5614084625</v>
      </c>
      <c r="F61" s="13">
        <f t="shared" ref="F61:AN61" si="6">F37-F50-F58+F59</f>
        <v>-1410145.963606297</v>
      </c>
      <c r="G61" s="13">
        <f t="shared" si="6"/>
        <v>-1264700.2835005368</v>
      </c>
      <c r="H61" s="13">
        <f t="shared" si="6"/>
        <v>-901683.44459765439</v>
      </c>
      <c r="I61" s="13">
        <f t="shared" si="6"/>
        <v>-1334678.4586627081</v>
      </c>
      <c r="J61" s="13">
        <f t="shared" si="6"/>
        <v>-926913.96422382013</v>
      </c>
      <c r="K61" s="13">
        <f t="shared" si="6"/>
        <v>-797321.43384263921</v>
      </c>
      <c r="L61" s="13">
        <f t="shared" si="6"/>
        <v>-517947.79335404595</v>
      </c>
      <c r="M61" s="13">
        <f t="shared" si="6"/>
        <v>-598471.75183464587</v>
      </c>
      <c r="N61" s="13">
        <f t="shared" si="6"/>
        <v>-236325.92815930105</v>
      </c>
      <c r="O61" s="13">
        <f t="shared" si="6"/>
        <v>296116.53952606034</v>
      </c>
      <c r="P61" s="13">
        <f t="shared" si="6"/>
        <v>552253.99186460068</v>
      </c>
      <c r="Q61" s="13">
        <f t="shared" si="6"/>
        <v>341614.13955590699</v>
      </c>
      <c r="R61" s="13">
        <f t="shared" si="6"/>
        <v>762562.8003493452</v>
      </c>
      <c r="S61" s="13">
        <f t="shared" si="6"/>
        <v>1157645.9442221522</v>
      </c>
      <c r="T61" s="13">
        <f t="shared" si="6"/>
        <v>1420723.2846956213</v>
      </c>
      <c r="U61" s="13">
        <f t="shared" si="6"/>
        <v>945245.80925254989</v>
      </c>
      <c r="V61" s="13">
        <f t="shared" si="6"/>
        <v>600307.30914043146</v>
      </c>
      <c r="W61" s="13">
        <f t="shared" si="6"/>
        <v>1201283.5273308097</v>
      </c>
      <c r="X61" s="13">
        <f t="shared" si="6"/>
        <v>1306787.2353801937</v>
      </c>
      <c r="Y61" s="13">
        <f t="shared" si="6"/>
        <v>1011357.510815165</v>
      </c>
      <c r="Z61" s="13">
        <f t="shared" si="6"/>
        <v>840003.12871841341</v>
      </c>
      <c r="AA61" s="13">
        <f t="shared" si="6"/>
        <v>1383226.623025439</v>
      </c>
      <c r="AB61" s="13">
        <f t="shared" si="6"/>
        <v>1895291.7789636003</v>
      </c>
      <c r="AC61" s="13">
        <f t="shared" si="6"/>
        <v>1125096.9690604724</v>
      </c>
      <c r="AD61" s="13">
        <f t="shared" si="6"/>
        <v>1195534.1542291397</v>
      </c>
      <c r="AE61" s="13">
        <f t="shared" si="6"/>
        <v>1484049.540881132</v>
      </c>
      <c r="AF61" s="13">
        <f t="shared" si="6"/>
        <v>1376364.2258184545</v>
      </c>
      <c r="AG61" s="13">
        <f t="shared" si="6"/>
        <v>1364781.1928622238</v>
      </c>
      <c r="AH61" s="13">
        <f t="shared" si="6"/>
        <v>1147591.88804551</v>
      </c>
      <c r="AI61" s="13">
        <f t="shared" si="6"/>
        <v>975373.69950666372</v>
      </c>
      <c r="AJ61" s="13">
        <f t="shared" si="6"/>
        <v>880131.12620197749</v>
      </c>
      <c r="AK61" s="13">
        <f t="shared" si="6"/>
        <v>707001.52101710578</v>
      </c>
      <c r="AL61" s="13">
        <f t="shared" si="6"/>
        <v>1137357.0123613523</v>
      </c>
      <c r="AM61" s="13">
        <f t="shared" si="6"/>
        <v>1432521.3615511367</v>
      </c>
      <c r="AN61" s="13">
        <f t="shared" si="6"/>
        <v>1743826.8719514362</v>
      </c>
    </row>
    <row r="62" spans="2:40" x14ac:dyDescent="0.25">
      <c r="B62" t="s">
        <v>337</v>
      </c>
      <c r="E62" s="12" cm="1">
        <f t="array" ref="E62:AN62">_xlfn.SCAN(-D58,E61:AN61,_xlfn.LAMBDA(_xlpm.capex,_xlpm.fcf,_xlpm.capex+_xlpm.fcf))</f>
        <v>-5920601.561408462</v>
      </c>
      <c r="F62" s="12">
        <v>-7330747.525014759</v>
      </c>
      <c r="G62" s="12">
        <v>-8595447.8085152954</v>
      </c>
      <c r="H62" s="12">
        <v>-9497131.2531129494</v>
      </c>
      <c r="I62" s="12">
        <v>-10831809.711775657</v>
      </c>
      <c r="J62" s="12">
        <v>-11758723.675999478</v>
      </c>
      <c r="K62" s="12">
        <v>-12556045.109842116</v>
      </c>
      <c r="L62" s="12">
        <v>-13073992.903196162</v>
      </c>
      <c r="M62" s="12">
        <v>-13672464.655030807</v>
      </c>
      <c r="N62" s="12">
        <v>-13908790.583190108</v>
      </c>
      <c r="O62" s="12">
        <v>-13612674.043664047</v>
      </c>
      <c r="P62" s="12">
        <v>-13060420.051799446</v>
      </c>
      <c r="Q62" s="12">
        <v>-12718805.912243539</v>
      </c>
      <c r="R62" s="12">
        <v>-11956243.111894194</v>
      </c>
      <c r="S62" s="12">
        <v>-10798597.167672042</v>
      </c>
      <c r="T62" s="12">
        <v>-9377873.8829764202</v>
      </c>
      <c r="U62" s="12">
        <v>-8432628.0737238713</v>
      </c>
      <c r="V62" s="12">
        <v>-7832320.7645834396</v>
      </c>
      <c r="W62" s="12">
        <v>-6631037.2372526303</v>
      </c>
      <c r="X62" s="12">
        <v>-5324250.0018724371</v>
      </c>
      <c r="Y62" s="12">
        <v>-4312892.4910572721</v>
      </c>
      <c r="Z62" s="12">
        <v>-3472889.3623388587</v>
      </c>
      <c r="AA62" s="12">
        <v>-2089662.7393134197</v>
      </c>
      <c r="AB62" s="12">
        <v>-194370.96034981939</v>
      </c>
      <c r="AC62" s="12">
        <v>930726.00871065306</v>
      </c>
      <c r="AD62" s="12">
        <v>2126260.1629397925</v>
      </c>
      <c r="AE62" s="12">
        <v>3610309.7038209243</v>
      </c>
      <c r="AF62" s="12">
        <v>4986673.9296393786</v>
      </c>
      <c r="AG62" s="12">
        <v>6351455.1225016024</v>
      </c>
      <c r="AH62" s="12">
        <v>7499047.0105471127</v>
      </c>
      <c r="AI62" s="12">
        <v>8474420.7100537755</v>
      </c>
      <c r="AJ62" s="12">
        <v>9354551.8362557534</v>
      </c>
      <c r="AK62" s="12">
        <v>10061553.35727286</v>
      </c>
      <c r="AL62" s="12">
        <v>11198910.369634211</v>
      </c>
      <c r="AM62" s="12">
        <v>12631431.731185347</v>
      </c>
      <c r="AN62" s="12">
        <v>14375258.603136783</v>
      </c>
    </row>
    <row r="64" spans="2:40" x14ac:dyDescent="0.25">
      <c r="B64" s="1" t="s">
        <v>272</v>
      </c>
      <c r="C64" s="1" t="s">
        <v>347</v>
      </c>
    </row>
    <row r="65" spans="2:40" x14ac:dyDescent="0.25">
      <c r="B65" s="39" t="s">
        <v>348</v>
      </c>
      <c r="E65" s="67">
        <f>C67+C54</f>
        <v>4869737.3325661831</v>
      </c>
      <c r="F65" s="67">
        <f t="shared" ref="F65:AN65" si="7">E67+E54</f>
        <v>6594690.8856794545</v>
      </c>
      <c r="G65" s="67">
        <f t="shared" si="7"/>
        <v>8064873.125655395</v>
      </c>
      <c r="H65" s="67">
        <f t="shared" si="7"/>
        <v>9399545.2097246014</v>
      </c>
      <c r="I65" s="67">
        <f t="shared" si="7"/>
        <v>10378487.869229672</v>
      </c>
      <c r="J65" s="67">
        <f t="shared" si="7"/>
        <v>11801015.075351574</v>
      </c>
      <c r="K65" s="67">
        <f t="shared" si="7"/>
        <v>12823388.50737221</v>
      </c>
      <c r="L65" s="67">
        <f t="shared" si="7"/>
        <v>13722865.265773959</v>
      </c>
      <c r="M65" s="67">
        <f t="shared" si="7"/>
        <v>14347619.157071466</v>
      </c>
      <c r="N65" s="67">
        <f t="shared" si="7"/>
        <v>15058186.590722907</v>
      </c>
      <c r="O65" s="67">
        <f t="shared" si="7"/>
        <v>15409221.362773824</v>
      </c>
      <c r="P65" s="67">
        <f t="shared" si="7"/>
        <v>15226453.109422123</v>
      </c>
      <c r="Q65" s="67">
        <f t="shared" si="7"/>
        <v>14784255.610939203</v>
      </c>
      <c r="R65" s="67">
        <f t="shared" si="7"/>
        <v>17976461.282418672</v>
      </c>
      <c r="S65" s="67">
        <f t="shared" si="7"/>
        <v>17343002.720684849</v>
      </c>
      <c r="T65" s="67">
        <f t="shared" si="7"/>
        <v>16306746.952286167</v>
      </c>
      <c r="U65" s="67">
        <f t="shared" si="7"/>
        <v>14997668.845097475</v>
      </c>
      <c r="V65" s="67">
        <f t="shared" si="7"/>
        <v>14157816.208613763</v>
      </c>
      <c r="W65" s="67">
        <f t="shared" si="7"/>
        <v>13659190.216219382</v>
      </c>
      <c r="X65" s="67">
        <f t="shared" si="7"/>
        <v>12551340.989055237</v>
      </c>
      <c r="Y65" s="67">
        <f t="shared" si="7"/>
        <v>11328887.906827606</v>
      </c>
      <c r="Z65" s="67">
        <f t="shared" si="7"/>
        <v>10394911.873982534</v>
      </c>
      <c r="AA65" s="67">
        <f t="shared" si="7"/>
        <v>9626570.5608536005</v>
      </c>
      <c r="AB65" s="67">
        <f t="shared" si="7"/>
        <v>8305169.0173618728</v>
      </c>
      <c r="AC65" s="67">
        <f t="shared" si="7"/>
        <v>6457951.3176862597</v>
      </c>
      <c r="AD65" s="67">
        <f t="shared" si="7"/>
        <v>5372850.7562404806</v>
      </c>
      <c r="AE65" s="67">
        <f t="shared" si="7"/>
        <v>4208646.4765264262</v>
      </c>
      <c r="AF65" s="67">
        <f t="shared" si="7"/>
        <v>2745031.4126626342</v>
      </c>
      <c r="AG65" s="67">
        <f t="shared" si="7"/>
        <v>1378932.1907455111</v>
      </c>
      <c r="AH65" s="67">
        <f t="shared" si="7"/>
        <v>14257.130367411914</v>
      </c>
      <c r="AI65" s="67">
        <f t="shared" si="7"/>
        <v>0</v>
      </c>
      <c r="AJ65" s="67">
        <f t="shared" si="7"/>
        <v>0</v>
      </c>
      <c r="AK65" s="67">
        <f t="shared" si="7"/>
        <v>0</v>
      </c>
      <c r="AL65" s="67">
        <f t="shared" si="7"/>
        <v>0</v>
      </c>
      <c r="AM65" s="67">
        <f t="shared" si="7"/>
        <v>0</v>
      </c>
      <c r="AN65" s="67">
        <f t="shared" si="7"/>
        <v>0</v>
      </c>
    </row>
    <row r="66" spans="2:40" x14ac:dyDescent="0.25">
      <c r="B66" s="39" t="s">
        <v>349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1675861.5614084625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1410145.963606297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1264700.2835005368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901683.44459765451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1334678.4586627081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926913.96422382025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797321.43384263944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517947.79335404607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598471.75183464587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236325.92815930117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-296116.53952606034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-552253.99186460068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3058385.8604440931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-762562.8003493452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-1157645.9442221522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-1420723.2846956213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-945245.80925254989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-600307.30914043146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-1201283.5273308097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-1306787.2353801937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-1011357.510815165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-840003.12871841341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-1383226.623025439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-1895291.7789636003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-1125096.9690604724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-1195534.1542291397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-1484049.540881132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-1376364.2258184545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-1364781.1928622238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-14257.130367411914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0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0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0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0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0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0</v>
      </c>
    </row>
    <row r="67" spans="2:40" x14ac:dyDescent="0.25">
      <c r="B67" s="39" t="s">
        <v>350</v>
      </c>
      <c r="C67" s="12">
        <f>Base!$BJ$281</f>
        <v>4816282.09</v>
      </c>
      <c r="E67" s="74">
        <f>SUM(E65:E66)</f>
        <v>6545598.8939746451</v>
      </c>
      <c r="F67" s="74">
        <f t="shared" ref="F67:AN67" si="8">SUM(F65:F66)</f>
        <v>8004836.8492857516</v>
      </c>
      <c r="G67" s="74">
        <f t="shared" si="8"/>
        <v>9329573.4091559313</v>
      </c>
      <c r="H67" s="74">
        <f t="shared" si="8"/>
        <v>10301228.654322255</v>
      </c>
      <c r="I67" s="74">
        <f t="shared" si="8"/>
        <v>11713166.32789238</v>
      </c>
      <c r="J67" s="74">
        <f t="shared" si="8"/>
        <v>12727929.039575394</v>
      </c>
      <c r="K67" s="74">
        <f t="shared" si="8"/>
        <v>13620709.941214848</v>
      </c>
      <c r="L67" s="74">
        <f t="shared" si="8"/>
        <v>14240813.059128005</v>
      </c>
      <c r="M67" s="74">
        <f t="shared" si="8"/>
        <v>14946090.908906111</v>
      </c>
      <c r="N67" s="74">
        <f t="shared" si="8"/>
        <v>15294512.518882208</v>
      </c>
      <c r="O67" s="74">
        <f t="shared" si="8"/>
        <v>15113104.823247764</v>
      </c>
      <c r="P67" s="74">
        <f t="shared" si="8"/>
        <v>14674199.117557522</v>
      </c>
      <c r="Q67" s="74">
        <f t="shared" si="8"/>
        <v>17842641.471383296</v>
      </c>
      <c r="R67" s="74">
        <f t="shared" si="8"/>
        <v>17213898.482069328</v>
      </c>
      <c r="S67" s="74">
        <f t="shared" si="8"/>
        <v>16185356.776462696</v>
      </c>
      <c r="T67" s="74">
        <f t="shared" si="8"/>
        <v>14886023.667590545</v>
      </c>
      <c r="U67" s="74">
        <f t="shared" si="8"/>
        <v>14052423.035844926</v>
      </c>
      <c r="V67" s="74">
        <f t="shared" si="8"/>
        <v>13557508.899473332</v>
      </c>
      <c r="W67" s="74">
        <f t="shared" si="8"/>
        <v>12457906.688888572</v>
      </c>
      <c r="X67" s="74">
        <f t="shared" si="8"/>
        <v>11244553.753675044</v>
      </c>
      <c r="Y67" s="74">
        <f t="shared" si="8"/>
        <v>10317530.39601244</v>
      </c>
      <c r="Z67" s="74">
        <f t="shared" si="8"/>
        <v>9554908.7452641204</v>
      </c>
      <c r="AA67" s="74">
        <f t="shared" si="8"/>
        <v>8243343.9378281618</v>
      </c>
      <c r="AB67" s="74">
        <f t="shared" si="8"/>
        <v>6409877.2383982725</v>
      </c>
      <c r="AC67" s="74">
        <f t="shared" si="8"/>
        <v>5332854.3486257875</v>
      </c>
      <c r="AD67" s="74">
        <f t="shared" si="8"/>
        <v>4177316.6020113407</v>
      </c>
      <c r="AE67" s="74">
        <f t="shared" si="8"/>
        <v>2724596.9356452944</v>
      </c>
      <c r="AF67" s="74">
        <f t="shared" si="8"/>
        <v>1368667.1868441796</v>
      </c>
      <c r="AG67" s="74">
        <f t="shared" si="8"/>
        <v>14150.997883287258</v>
      </c>
      <c r="AH67" s="74">
        <f t="shared" si="8"/>
        <v>0</v>
      </c>
      <c r="AI67" s="74">
        <f t="shared" si="8"/>
        <v>0</v>
      </c>
      <c r="AJ67" s="74">
        <f t="shared" si="8"/>
        <v>0</v>
      </c>
      <c r="AK67" s="74">
        <f t="shared" si="8"/>
        <v>0</v>
      </c>
      <c r="AL67" s="74">
        <f t="shared" si="8"/>
        <v>0</v>
      </c>
      <c r="AM67" s="74">
        <f t="shared" si="8"/>
        <v>0</v>
      </c>
      <c r="AN67" s="74">
        <f t="shared" si="8"/>
        <v>0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351</v>
      </c>
      <c r="C69" s="12">
        <f>Base!$BJ$283</f>
        <v>3200000</v>
      </c>
      <c r="D69" s="12"/>
      <c r="E69" s="149">
        <f>C69+E61+E66</f>
        <v>3400000</v>
      </c>
      <c r="F69" s="149">
        <f t="shared" ref="F69:AN69" si="9">E69+F61+F66</f>
        <v>3400000</v>
      </c>
      <c r="G69" s="149">
        <f t="shared" si="9"/>
        <v>3400000</v>
      </c>
      <c r="H69" s="149">
        <f t="shared" si="9"/>
        <v>3400000</v>
      </c>
      <c r="I69" s="149">
        <f t="shared" si="9"/>
        <v>3400000</v>
      </c>
      <c r="J69" s="149">
        <f t="shared" si="9"/>
        <v>3400000</v>
      </c>
      <c r="K69" s="149">
        <f t="shared" si="9"/>
        <v>3400000</v>
      </c>
      <c r="L69" s="149">
        <f t="shared" si="9"/>
        <v>3400000</v>
      </c>
      <c r="M69" s="149">
        <f t="shared" si="9"/>
        <v>3400000</v>
      </c>
      <c r="N69" s="149">
        <f t="shared" si="9"/>
        <v>3400000</v>
      </c>
      <c r="O69" s="149">
        <f t="shared" si="9"/>
        <v>3400000</v>
      </c>
      <c r="P69" s="149">
        <f t="shared" si="9"/>
        <v>3400000</v>
      </c>
      <c r="Q69" s="149">
        <f t="shared" si="9"/>
        <v>6800000</v>
      </c>
      <c r="R69" s="149">
        <f t="shared" si="9"/>
        <v>6800000</v>
      </c>
      <c r="S69" s="149">
        <f t="shared" si="9"/>
        <v>6800000</v>
      </c>
      <c r="T69" s="149">
        <f t="shared" si="9"/>
        <v>6800000</v>
      </c>
      <c r="U69" s="149">
        <f t="shared" si="9"/>
        <v>6800000</v>
      </c>
      <c r="V69" s="149">
        <f t="shared" si="9"/>
        <v>6800000</v>
      </c>
      <c r="W69" s="149">
        <f t="shared" si="9"/>
        <v>6800000</v>
      </c>
      <c r="X69" s="149">
        <f t="shared" si="9"/>
        <v>6800000</v>
      </c>
      <c r="Y69" s="149">
        <f t="shared" si="9"/>
        <v>6800000</v>
      </c>
      <c r="Z69" s="149">
        <f t="shared" si="9"/>
        <v>6800000</v>
      </c>
      <c r="AA69" s="149">
        <f t="shared" si="9"/>
        <v>6800000</v>
      </c>
      <c r="AB69" s="149">
        <f t="shared" si="9"/>
        <v>6799999.9999999991</v>
      </c>
      <c r="AC69" s="149">
        <f t="shared" si="9"/>
        <v>6799999.9999999991</v>
      </c>
      <c r="AD69" s="149">
        <f t="shared" si="9"/>
        <v>6799999.9999999991</v>
      </c>
      <c r="AE69" s="149">
        <f t="shared" si="9"/>
        <v>6799999.9999999991</v>
      </c>
      <c r="AF69" s="149">
        <f t="shared" si="9"/>
        <v>6799999.9999999991</v>
      </c>
      <c r="AG69" s="149">
        <f t="shared" si="9"/>
        <v>6799999.9999999991</v>
      </c>
      <c r="AH69" s="149">
        <f t="shared" si="9"/>
        <v>7933334.7576780971</v>
      </c>
      <c r="AI69" s="149">
        <f t="shared" si="9"/>
        <v>8908708.4571847618</v>
      </c>
      <c r="AJ69" s="149">
        <f t="shared" si="9"/>
        <v>9788839.5833867397</v>
      </c>
      <c r="AK69" s="149">
        <f t="shared" si="9"/>
        <v>10495841.104403846</v>
      </c>
      <c r="AL69" s="149">
        <f t="shared" si="9"/>
        <v>11633198.116765197</v>
      </c>
      <c r="AM69" s="149">
        <f t="shared" si="9"/>
        <v>13065719.478316333</v>
      </c>
      <c r="AN69" s="149">
        <f t="shared" si="9"/>
        <v>14809546.35026777</v>
      </c>
    </row>
    <row r="70" spans="2:40" x14ac:dyDescent="0.25">
      <c r="B70" s="39" t="s">
        <v>352</v>
      </c>
      <c r="E70" s="74">
        <f t="shared" ref="E70:AN70" si="10">E61+E66</f>
        <v>200000</v>
      </c>
      <c r="F70" s="74">
        <f t="shared" si="10"/>
        <v>0</v>
      </c>
      <c r="G70" s="74">
        <f t="shared" si="10"/>
        <v>0</v>
      </c>
      <c r="H70" s="74">
        <f t="shared" si="10"/>
        <v>0</v>
      </c>
      <c r="I70" s="74">
        <f t="shared" si="10"/>
        <v>0</v>
      </c>
      <c r="J70" s="74">
        <f t="shared" si="10"/>
        <v>0</v>
      </c>
      <c r="K70" s="74">
        <f t="shared" si="10"/>
        <v>0</v>
      </c>
      <c r="L70" s="74">
        <f t="shared" si="10"/>
        <v>0</v>
      </c>
      <c r="M70" s="74">
        <f t="shared" si="10"/>
        <v>0</v>
      </c>
      <c r="N70" s="74">
        <f t="shared" si="10"/>
        <v>0</v>
      </c>
      <c r="O70" s="74">
        <f t="shared" si="10"/>
        <v>0</v>
      </c>
      <c r="P70" s="74">
        <f t="shared" si="10"/>
        <v>0</v>
      </c>
      <c r="Q70" s="74">
        <f t="shared" si="10"/>
        <v>3400000</v>
      </c>
      <c r="R70" s="74">
        <f t="shared" si="10"/>
        <v>0</v>
      </c>
      <c r="S70" s="74">
        <f t="shared" si="10"/>
        <v>0</v>
      </c>
      <c r="T70" s="74">
        <f t="shared" si="10"/>
        <v>0</v>
      </c>
      <c r="U70" s="74">
        <f t="shared" si="10"/>
        <v>0</v>
      </c>
      <c r="V70" s="74">
        <f t="shared" si="10"/>
        <v>0</v>
      </c>
      <c r="W70" s="74">
        <f t="shared" si="10"/>
        <v>0</v>
      </c>
      <c r="X70" s="74">
        <f t="shared" si="10"/>
        <v>0</v>
      </c>
      <c r="Y70" s="74">
        <f t="shared" si="10"/>
        <v>0</v>
      </c>
      <c r="Z70" s="74">
        <f t="shared" si="10"/>
        <v>0</v>
      </c>
      <c r="AA70" s="74">
        <f t="shared" si="10"/>
        <v>0</v>
      </c>
      <c r="AB70" s="74">
        <f t="shared" si="10"/>
        <v>0</v>
      </c>
      <c r="AC70" s="74">
        <f t="shared" si="10"/>
        <v>0</v>
      </c>
      <c r="AD70" s="74">
        <f t="shared" si="10"/>
        <v>0</v>
      </c>
      <c r="AE70" s="74">
        <f t="shared" si="10"/>
        <v>0</v>
      </c>
      <c r="AF70" s="74">
        <f t="shared" si="10"/>
        <v>0</v>
      </c>
      <c r="AG70" s="74">
        <f t="shared" si="10"/>
        <v>0</v>
      </c>
      <c r="AH70" s="74">
        <f t="shared" si="10"/>
        <v>1133334.757678098</v>
      </c>
      <c r="AI70" s="74">
        <f t="shared" si="10"/>
        <v>975373.69950666372</v>
      </c>
      <c r="AJ70" s="74">
        <f t="shared" si="10"/>
        <v>880131.12620197749</v>
      </c>
      <c r="AK70" s="74">
        <f t="shared" si="10"/>
        <v>707001.52101710578</v>
      </c>
      <c r="AL70" s="74">
        <f t="shared" si="10"/>
        <v>1137357.0123613523</v>
      </c>
      <c r="AM70" s="74">
        <f t="shared" si="10"/>
        <v>1432521.3615511367</v>
      </c>
      <c r="AN70" s="74">
        <f t="shared" si="10"/>
        <v>1743826.8719514362</v>
      </c>
    </row>
    <row r="71" spans="2:40" x14ac:dyDescent="0.25">
      <c r="Z71" s="67"/>
      <c r="AN71" s="67"/>
    </row>
    <row r="72" spans="2:40" x14ac:dyDescent="0.25">
      <c r="E72" s="97" t="s">
        <v>353</v>
      </c>
      <c r="AN72" s="6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1D13-E49D-4BEC-B54C-3B2B3F986BE5}">
  <sheetPr>
    <tabColor theme="9" tint="0.59999389629810485"/>
  </sheetPr>
  <dimension ref="B1:AW67"/>
  <sheetViews>
    <sheetView workbookViewId="0">
      <pane xSplit="4" ySplit="25" topLeftCell="E36" activePane="bottomRight" state="frozen"/>
      <selection pane="topRight" activeCell="E1" sqref="E1"/>
      <selection pane="bottomLeft" activeCell="A26" sqref="A26"/>
      <selection pane="bottomRight" activeCell="C38" sqref="C38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2.7109375" bestFit="1" customWidth="1"/>
    <col min="6" max="14" width="12.28515625" bestFit="1" customWidth="1"/>
    <col min="15" max="15" width="13.42578125" bestFit="1" customWidth="1"/>
    <col min="16" max="16" width="13.85546875" bestFit="1" customWidth="1"/>
    <col min="17" max="40" width="13.42578125" bestFit="1" customWidth="1"/>
  </cols>
  <sheetData>
    <row r="1" spans="2:40" x14ac:dyDescent="0.25">
      <c r="B1" s="10" t="s">
        <v>69</v>
      </c>
      <c r="C1" s="16" t="s">
        <v>13</v>
      </c>
      <c r="D1" s="55" t="s">
        <v>460</v>
      </c>
      <c r="E1" s="5">
        <f>SUM('MDA1:NCA9'!E1)</f>
        <v>389</v>
      </c>
      <c r="F1" s="5">
        <f>SUM('MDA1:NCA9'!F1)</f>
        <v>410</v>
      </c>
      <c r="G1" s="5">
        <f>SUM('MDA1:NCA9'!G1)</f>
        <v>437</v>
      </c>
      <c r="H1" s="5">
        <f>SUM('MDA1:NCA9'!H1)</f>
        <v>466</v>
      </c>
      <c r="I1" s="5">
        <f>SUM('MDA1:NCA9'!I1)</f>
        <v>490</v>
      </c>
      <c r="J1" s="5">
        <f>SUM('MDA1:NCA9'!J1)</f>
        <v>520</v>
      </c>
      <c r="K1" s="5">
        <f>SUM('MDA1:NCA9'!K1)</f>
        <v>559</v>
      </c>
      <c r="L1" s="5">
        <f>SUM('MDA1:NCA9'!L1)</f>
        <v>590</v>
      </c>
      <c r="M1" s="5">
        <f>SUM('MDA1:NCA9'!M1)</f>
        <v>626</v>
      </c>
      <c r="N1" s="5">
        <f>SUM('MDA1:NCA9'!N1)</f>
        <v>665</v>
      </c>
      <c r="O1" s="5">
        <f>SUM('MDA1:NCA9'!O1)</f>
        <v>710</v>
      </c>
      <c r="P1" s="5">
        <f>SUM('MDA1:NCA9'!P1)</f>
        <v>758</v>
      </c>
      <c r="Q1" s="5">
        <f>SUM('MDA1:NCA9'!Q1)</f>
        <v>804</v>
      </c>
      <c r="R1" s="5">
        <f>SUM('MDA1:NCA9'!R1)</f>
        <v>844</v>
      </c>
      <c r="S1" s="5">
        <f>SUM('MDA1:NCA9'!S1)</f>
        <v>887</v>
      </c>
      <c r="T1" s="5">
        <f>SUM('MDA1:NCA9'!T1)</f>
        <v>931</v>
      </c>
      <c r="U1" s="5">
        <f>SUM('MDA1:NCA9'!U1)</f>
        <v>967</v>
      </c>
      <c r="V1" s="5">
        <f>SUM('MDA1:NCA9'!V1)</f>
        <v>1001</v>
      </c>
      <c r="W1" s="5">
        <f>SUM('MDA1:NCA9'!W1)</f>
        <v>1040</v>
      </c>
      <c r="X1" s="5">
        <f>SUM('MDA1:NCA9'!X1)</f>
        <v>1080</v>
      </c>
      <c r="Y1" s="5">
        <f>SUM('MDA1:NCA9'!Y1)</f>
        <v>1114</v>
      </c>
      <c r="Z1" s="5">
        <f>SUM('MDA1:NCA9'!Z1)</f>
        <v>1152</v>
      </c>
      <c r="AA1" s="5">
        <f>SUM('MDA1:NCA9'!AA1)</f>
        <v>1190</v>
      </c>
      <c r="AB1" s="5">
        <f>SUM('MDA1:NCA9'!AB1)</f>
        <v>1225</v>
      </c>
      <c r="AC1" s="5">
        <f>SUM('MDA1:NCA9'!AC1)</f>
        <v>1255</v>
      </c>
      <c r="AD1" s="5">
        <f>SUM('MDA1:NCA9'!AD1)</f>
        <v>1287</v>
      </c>
      <c r="AE1" s="5">
        <f>SUM('MDA1:NCA9'!AE1)</f>
        <v>1317</v>
      </c>
      <c r="AF1" s="5">
        <f>SUM('MDA1:NCA9'!AF1)</f>
        <v>1345</v>
      </c>
      <c r="AG1" s="5">
        <f>SUM('MDA1:NCA9'!AG1)</f>
        <v>1371</v>
      </c>
      <c r="AH1" s="5">
        <f>SUM('MDA1:NCA9'!AH1)</f>
        <v>1403</v>
      </c>
      <c r="AI1" s="5">
        <f>SUM('MDA1:NCA9'!AI1)</f>
        <v>1441</v>
      </c>
      <c r="AJ1" s="5">
        <f>SUM('MDA1:NCA9'!AJ1)</f>
        <v>1478</v>
      </c>
      <c r="AK1" s="5">
        <f>SUM('MDA1:NCA9'!AK1)</f>
        <v>1514</v>
      </c>
      <c r="AL1" s="5">
        <f>SUM('MDA1:NCA9'!AL1)</f>
        <v>1548</v>
      </c>
      <c r="AM1" s="5">
        <f>SUM('MDA1:NCA9'!AM1)</f>
        <v>1586</v>
      </c>
      <c r="AN1" s="5">
        <f>SUM('MDA1:NCA9'!AN1)</f>
        <v>1621</v>
      </c>
    </row>
    <row r="2" spans="2:40" x14ac:dyDescent="0.25">
      <c r="B2" s="1" t="s">
        <v>121</v>
      </c>
      <c r="C2" s="3"/>
      <c r="D2" s="3"/>
      <c r="E2" s="92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x14ac:dyDescent="0.25">
      <c r="B3" s="39" t="s">
        <v>314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>
        <v>133.66474325714387</v>
      </c>
      <c r="AD3" s="69">
        <v>135.74703153142963</v>
      </c>
      <c r="AE3" s="69">
        <v>137.69917678857246</v>
      </c>
      <c r="AF3" s="69">
        <v>139.5211790285725</v>
      </c>
      <c r="AG3" s="69">
        <v>141.21303825142968</v>
      </c>
      <c r="AH3" s="69">
        <v>143.29532652571541</v>
      </c>
      <c r="AI3" s="69">
        <v>145.76804385142975</v>
      </c>
      <c r="AJ3" s="69">
        <v>148.1756896685726</v>
      </c>
      <c r="AK3" s="69">
        <v>150.5182639771441</v>
      </c>
      <c r="AL3" s="69">
        <v>152.73069526857267</v>
      </c>
      <c r="AM3" s="69">
        <v>155.20341259428699</v>
      </c>
      <c r="AN3" s="69">
        <v>157.48091539428702</v>
      </c>
    </row>
    <row r="4" spans="2:40" x14ac:dyDescent="0.25">
      <c r="B4" s="39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x14ac:dyDescent="0.25">
      <c r="B5" s="39" t="s">
        <v>373</v>
      </c>
      <c r="C5" s="3"/>
      <c r="D5" s="3"/>
      <c r="E5" s="69">
        <f>SUM('MDA1:NCA9'!E7)</f>
        <v>236.17000000000002</v>
      </c>
      <c r="F5" s="69">
        <f>SUM('MDA1:NCA9'!F7)</f>
        <v>251.25</v>
      </c>
      <c r="G5" s="69">
        <f>SUM('MDA1:NCA9'!G7)</f>
        <v>271.92</v>
      </c>
      <c r="H5" s="69">
        <f>SUM('MDA1:NCA9'!H7)</f>
        <v>294.15999999999997</v>
      </c>
      <c r="I5" s="69">
        <f>SUM('MDA1:NCA9'!I7)</f>
        <v>312.20999999999998</v>
      </c>
      <c r="J5" s="69">
        <f>SUM('MDA1:NCA9'!J7)</f>
        <v>334.4</v>
      </c>
      <c r="K5" s="69">
        <f>SUM('MDA1:NCA9'!K7)</f>
        <v>366.58999999999992</v>
      </c>
      <c r="L5" s="69">
        <f>SUM('MDA1:NCA9'!L7)</f>
        <v>390.7299999999999</v>
      </c>
      <c r="M5" s="69">
        <f>SUM('MDA1:NCA9'!M7)</f>
        <v>418.57000000000005</v>
      </c>
      <c r="N5" s="69">
        <f>SUM('MDA1:NCA9'!N7)</f>
        <v>449.69999999999987</v>
      </c>
      <c r="O5" s="69">
        <f>SUM('MDA1:NCA9'!O7)</f>
        <v>486.1099999999999</v>
      </c>
      <c r="P5" s="69">
        <f>SUM('MDA1:NCA9'!P7)</f>
        <v>523.77</v>
      </c>
      <c r="Q5" s="69">
        <f>SUM('MDA1:NCA9'!Q7)</f>
        <v>560.52</v>
      </c>
      <c r="R5" s="69">
        <f>SUM('MDA1:NCA9'!R7)</f>
        <v>591.16999999999985</v>
      </c>
      <c r="S5" s="69">
        <f>SUM('MDA1:NCA9'!S7)</f>
        <v>625.12999999999988</v>
      </c>
      <c r="T5" s="69">
        <f>SUM('MDA1:NCA9'!T7)</f>
        <v>659.51999999999987</v>
      </c>
      <c r="U5" s="69">
        <f>SUM('MDA1:NCA9'!U7)</f>
        <v>686.8900000000001</v>
      </c>
      <c r="V5" s="69">
        <f>SUM('MDA1:NCA9'!V7)</f>
        <v>712.37999999999988</v>
      </c>
      <c r="W5" s="69">
        <f>SUM('MDA1:NCA9'!W7)</f>
        <v>743.14</v>
      </c>
      <c r="X5" s="69">
        <f>SUM('MDA1:NCA9'!X7)</f>
        <v>775.27999999999975</v>
      </c>
      <c r="Y5" s="69">
        <f>SUM('MDA1:NCA9'!Y7)</f>
        <v>802.2399999999999</v>
      </c>
      <c r="Z5" s="69">
        <f>SUM('MDA1:NCA9'!Z7)</f>
        <v>831.03999999999974</v>
      </c>
      <c r="AA5" s="69">
        <f>SUM('MDA1:NCA9'!AA7)</f>
        <v>859.81999999999982</v>
      </c>
      <c r="AB5" s="69">
        <f>SUM('MDA1:NCA9'!AB7)</f>
        <v>887.28999999999985</v>
      </c>
      <c r="AC5" s="69">
        <f>SUM('MDA1:NCA9'!AC7)</f>
        <v>910.98999999999978</v>
      </c>
      <c r="AD5" s="69">
        <f>SUM('MDA1:NCA9'!AD7)</f>
        <v>935.59999999999991</v>
      </c>
      <c r="AE5" s="69">
        <f>SUM('MDA1:NCA9'!AE7)</f>
        <v>958.81999999999994</v>
      </c>
      <c r="AF5" s="69">
        <f>SUM('MDA1:NCA9'!AF7)</f>
        <v>981.65999999999985</v>
      </c>
      <c r="AG5" s="69">
        <f>SUM('MDA1:NCA9'!AG7)</f>
        <v>1002.0799999999998</v>
      </c>
      <c r="AH5" s="69">
        <f>SUM('MDA1:NCA9'!AH7)</f>
        <v>1027.6899999999996</v>
      </c>
      <c r="AI5" s="69">
        <f>SUM('MDA1:NCA9'!AI7)</f>
        <v>1057.93</v>
      </c>
      <c r="AJ5" s="69">
        <f>SUM('MDA1:NCA9'!AJ7)</f>
        <v>1089.25</v>
      </c>
      <c r="AK5" s="69">
        <f>SUM('MDA1:NCA9'!AK7)</f>
        <v>1118.6099999999997</v>
      </c>
      <c r="AL5" s="69">
        <f>SUM('MDA1:NCA9'!AL7)</f>
        <v>1145.5899999999997</v>
      </c>
      <c r="AM5" s="69">
        <f>SUM('MDA1:NCA9'!AM7)</f>
        <v>1175.8399999999999</v>
      </c>
      <c r="AN5" s="69">
        <f>SUM('MDA1:NCA9'!AN7)</f>
        <v>1204.79</v>
      </c>
    </row>
    <row r="6" spans="2:40" x14ac:dyDescent="0.25">
      <c r="B6" s="39" t="s">
        <v>374</v>
      </c>
      <c r="C6" s="3"/>
      <c r="D6" s="3"/>
      <c r="E6" s="69">
        <f>SUM('MDA1:NCA9'!E8)</f>
        <v>43.33</v>
      </c>
      <c r="F6" s="69">
        <f>SUM('MDA1:NCA9'!F8)</f>
        <v>45.97</v>
      </c>
      <c r="G6" s="69">
        <f>SUM('MDA1:NCA9'!G8)</f>
        <v>49.51</v>
      </c>
      <c r="H6" s="69">
        <f>SUM('MDA1:NCA9'!H8)</f>
        <v>53.26</v>
      </c>
      <c r="I6" s="69">
        <f>SUM('MDA1:NCA9'!I8)</f>
        <v>56.339999999999989</v>
      </c>
      <c r="J6" s="69">
        <f>SUM('MDA1:NCA9'!J8)</f>
        <v>60.139999999999993</v>
      </c>
      <c r="K6" s="69">
        <f>SUM('MDA1:NCA9'!K8)</f>
        <v>65.36999999999999</v>
      </c>
      <c r="L6" s="69">
        <f>SUM('MDA1:NCA9'!L8)</f>
        <v>69.39</v>
      </c>
      <c r="M6" s="69">
        <f>SUM('MDA1:NCA9'!M8)</f>
        <v>74.040000000000006</v>
      </c>
      <c r="N6" s="69">
        <f>SUM('MDA1:NCA9'!N8)</f>
        <v>79.179999999999993</v>
      </c>
      <c r="O6" s="69">
        <f>SUM('MDA1:NCA9'!O8)</f>
        <v>85.11</v>
      </c>
      <c r="P6" s="69">
        <f>SUM('MDA1:NCA9'!P8)</f>
        <v>91.329999999999984</v>
      </c>
      <c r="Q6" s="69">
        <f>SUM('MDA1:NCA9'!Q8)</f>
        <v>97.219999999999985</v>
      </c>
      <c r="R6" s="69">
        <f>SUM('MDA1:NCA9'!R8)</f>
        <v>102.22000000000001</v>
      </c>
      <c r="S6" s="69">
        <f>SUM('MDA1:NCA9'!S8)</f>
        <v>107.68000000000002</v>
      </c>
      <c r="T6" s="69">
        <f>SUM('MDA1:NCA9'!T8)</f>
        <v>113.21999999999998</v>
      </c>
      <c r="U6" s="69">
        <f>SUM('MDA1:NCA9'!U8)</f>
        <v>117.69000000000001</v>
      </c>
      <c r="V6" s="69">
        <f>SUM('MDA1:NCA9'!V8)</f>
        <v>121.89999999999999</v>
      </c>
      <c r="W6" s="69">
        <f>SUM('MDA1:NCA9'!W8)</f>
        <v>126.84</v>
      </c>
      <c r="X6" s="69">
        <f>SUM('MDA1:NCA9'!X8)</f>
        <v>131.99</v>
      </c>
      <c r="Y6" s="69">
        <f>SUM('MDA1:NCA9'!Y8)</f>
        <v>136.32</v>
      </c>
      <c r="Z6" s="69">
        <f>SUM('MDA1:NCA9'!Z8)</f>
        <v>141.03</v>
      </c>
      <c r="AA6" s="69">
        <f>SUM('MDA1:NCA9'!AA8)</f>
        <v>145.73999999999998</v>
      </c>
      <c r="AB6" s="69">
        <f>SUM('MDA1:NCA9'!AB8)</f>
        <v>150.16999999999999</v>
      </c>
      <c r="AC6" s="69">
        <f>SUM('MDA1:NCA9'!AC8)</f>
        <v>153.97</v>
      </c>
      <c r="AD6" s="69">
        <f>SUM('MDA1:NCA9'!AD8)</f>
        <v>157.98000000000002</v>
      </c>
      <c r="AE6" s="69">
        <f>SUM('MDA1:NCA9'!AE8)</f>
        <v>161.77000000000001</v>
      </c>
      <c r="AF6" s="69">
        <f>SUM('MDA1:NCA9'!AF8)</f>
        <v>165.41</v>
      </c>
      <c r="AG6" s="69">
        <f>SUM('MDA1:NCA9'!AG8)</f>
        <v>168.69</v>
      </c>
      <c r="AH6" s="69">
        <f>SUM('MDA1:NCA9'!AH8)</f>
        <v>172.81</v>
      </c>
      <c r="AI6" s="69">
        <f>SUM('MDA1:NCA9'!AI8)</f>
        <v>177.68</v>
      </c>
      <c r="AJ6" s="69">
        <f>SUM('MDA1:NCA9'!AJ8)</f>
        <v>182.59</v>
      </c>
      <c r="AK6" s="69">
        <f>SUM('MDA1:NCA9'!AK8)</f>
        <v>187.28</v>
      </c>
      <c r="AL6" s="69">
        <f>SUM('MDA1:NCA9'!AL8)</f>
        <v>191.61999999999998</v>
      </c>
      <c r="AM6" s="69">
        <f>SUM('MDA1:NCA9'!AM8)</f>
        <v>196.49000000000004</v>
      </c>
      <c r="AN6" s="69">
        <f>SUM('MDA1:NCA9'!AN8)</f>
        <v>201.08000000000004</v>
      </c>
    </row>
    <row r="7" spans="2:40" x14ac:dyDescent="0.25">
      <c r="B7" s="147"/>
      <c r="C7" s="3"/>
      <c r="D7" s="3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x14ac:dyDescent="0.25">
      <c r="B8" s="55" t="s">
        <v>461</v>
      </c>
      <c r="C8" s="3"/>
      <c r="D8" s="3"/>
      <c r="E8" s="69">
        <f>SUM('MDA1:NCA9'!E2)</f>
        <v>38.353858784893276</v>
      </c>
      <c r="F8" s="69">
        <f>SUM('MDA1:NCA9'!F2)</f>
        <v>43.806239737274211</v>
      </c>
      <c r="G8" s="69">
        <f>SUM('MDA1:NCA9'!G2)</f>
        <v>42.711001642036116</v>
      </c>
      <c r="H8" s="69">
        <f>SUM('MDA1:NCA9'!H2)</f>
        <v>44.877668308702795</v>
      </c>
      <c r="I8" s="69">
        <f>SUM('MDA1:NCA9'!I2)</f>
        <v>51.591954022988503</v>
      </c>
      <c r="J8" s="69">
        <f>SUM('MDA1:NCA9'!J2)</f>
        <v>55.306239737274218</v>
      </c>
      <c r="K8" s="69">
        <f>SUM('MDA1:NCA9'!K2)</f>
        <v>63.472906403940883</v>
      </c>
      <c r="L8" s="69">
        <f>SUM('MDA1:NCA9'!L2)</f>
        <v>71.83004926108373</v>
      </c>
      <c r="M8" s="69">
        <f>SUM('MDA1:NCA9'!M2)</f>
        <v>74.163382594417072</v>
      </c>
      <c r="N8" s="69">
        <f>SUM('MDA1:NCA9'!N2)</f>
        <v>79.663382594417087</v>
      </c>
      <c r="O8" s="69">
        <f>SUM('MDA1:NCA9'!O2)</f>
        <v>87.06814449917897</v>
      </c>
      <c r="P8" s="69">
        <f>SUM('MDA1:NCA9'!P2)</f>
        <v>92.615763546798021</v>
      </c>
      <c r="Q8" s="69">
        <f>SUM('MDA1:NCA9'!Q2)</f>
        <v>89.782430213464721</v>
      </c>
      <c r="R8" s="69">
        <f>SUM('MDA1:NCA9'!R2)</f>
        <v>92.711001642036123</v>
      </c>
      <c r="S8" s="69">
        <f>SUM('MDA1:NCA9'!S2)</f>
        <v>97.425287356321846</v>
      </c>
      <c r="T8" s="69">
        <f>SUM('MDA1:NCA9'!T2)</f>
        <v>97.591954022988531</v>
      </c>
      <c r="U8" s="69">
        <f>SUM('MDA1:NCA9'!U2)</f>
        <v>95.877668308702781</v>
      </c>
      <c r="V8" s="69">
        <f>SUM('MDA1:NCA9'!V2)</f>
        <v>96.830049261083744</v>
      </c>
      <c r="W8" s="69">
        <f>SUM('MDA1:NCA9'!W2)</f>
        <v>98.377668308702809</v>
      </c>
      <c r="X8" s="69">
        <f>SUM('MDA1:NCA9'!X2)</f>
        <v>101.6871921182266</v>
      </c>
      <c r="Y8" s="69">
        <f>SUM('MDA1:NCA9'!Y2)</f>
        <v>111.04433497536944</v>
      </c>
      <c r="Z8" s="69">
        <f>SUM('MDA1:NCA9'!Z2)</f>
        <v>111.54433497536947</v>
      </c>
      <c r="AA8" s="69">
        <f>SUM('MDA1:NCA9'!AA2)</f>
        <v>112.18719211822662</v>
      </c>
      <c r="AB8" s="69">
        <f>SUM('MDA1:NCA9'!AB2)</f>
        <v>113.97290640394087</v>
      </c>
      <c r="AC8" s="69">
        <f>SUM('MDA1:NCA9'!AC2)</f>
        <v>120.30623973727421</v>
      </c>
      <c r="AD8" s="69">
        <f>SUM('MDA1:NCA9'!AD2)</f>
        <v>121.59195402298852</v>
      </c>
      <c r="AE8" s="69">
        <f>SUM('MDA1:NCA9'!AE2)</f>
        <v>122.71100164203611</v>
      </c>
      <c r="AF8" s="69">
        <f>SUM('MDA1:NCA9'!AF2)</f>
        <v>124.0919540229885</v>
      </c>
      <c r="AG8" s="69">
        <f>SUM('MDA1:NCA9'!AG2)</f>
        <v>126.59195402298853</v>
      </c>
      <c r="AH8" s="69">
        <f>SUM('MDA1:NCA9'!AH2)</f>
        <v>129.09195402298849</v>
      </c>
      <c r="AI8" s="69">
        <f>SUM('MDA1:NCA9'!AI2)</f>
        <v>137.61576354679801</v>
      </c>
      <c r="AJ8" s="69">
        <f>SUM('MDA1:NCA9'!AJ2)</f>
        <v>137.28243021346472</v>
      </c>
      <c r="AK8" s="69">
        <f>SUM('MDA1:NCA9'!AK2)</f>
        <v>137.25862068965517</v>
      </c>
      <c r="AL8" s="69">
        <f>SUM('MDA1:NCA9'!AL2)</f>
        <v>144.97290640394087</v>
      </c>
      <c r="AM8" s="69">
        <f>SUM('MDA1:NCA9'!AM2)</f>
        <v>149.09195402298852</v>
      </c>
      <c r="AN8" s="69">
        <f>SUM('MDA1:NCA9'!AN2)</f>
        <v>151.92528735632183</v>
      </c>
    </row>
    <row r="9" spans="2:40" x14ac:dyDescent="0.25">
      <c r="B9" s="55" t="s">
        <v>462</v>
      </c>
      <c r="C9" s="3"/>
      <c r="D9" s="3"/>
      <c r="E9" s="69">
        <f>SUM('MDA1:NCA9'!E3)</f>
        <v>21.666666666666668</v>
      </c>
      <c r="F9" s="69">
        <f>SUM('MDA1:NCA9'!F3)</f>
        <v>23</v>
      </c>
      <c r="G9" s="69">
        <f>SUM('MDA1:NCA9'!G3)</f>
        <v>24.333333333333332</v>
      </c>
      <c r="H9" s="69">
        <f>SUM('MDA1:NCA9'!H3)</f>
        <v>26.000000000000004</v>
      </c>
      <c r="I9" s="69">
        <f>SUM('MDA1:NCA9'!I3)</f>
        <v>28</v>
      </c>
      <c r="J9" s="69">
        <f>SUM('MDA1:NCA9'!J3)</f>
        <v>29.999999999999996</v>
      </c>
      <c r="K9" s="69">
        <f>SUM('MDA1:NCA9'!K3)</f>
        <v>35.166666666666664</v>
      </c>
      <c r="L9" s="69">
        <f>SUM('MDA1:NCA9'!L3)</f>
        <v>37.666666666666664</v>
      </c>
      <c r="M9" s="69">
        <f>SUM('MDA1:NCA9'!M3)</f>
        <v>40.000000000000007</v>
      </c>
      <c r="N9" s="69">
        <f>SUM('MDA1:NCA9'!N3)</f>
        <v>42.5</v>
      </c>
      <c r="O9" s="69">
        <f>SUM('MDA1:NCA9'!O3)</f>
        <v>45.333333333333321</v>
      </c>
      <c r="P9" s="69">
        <f>SUM('MDA1:NCA9'!P3)</f>
        <v>48.500000000000007</v>
      </c>
      <c r="Q9" s="69">
        <f>SUM('MDA1:NCA9'!Q3)</f>
        <v>51.666666666666671</v>
      </c>
      <c r="R9" s="69">
        <f>SUM('MDA1:NCA9'!R3)</f>
        <v>54.666666666666657</v>
      </c>
      <c r="S9" s="69">
        <f>SUM('MDA1:NCA9'!S3)</f>
        <v>57.666666666666671</v>
      </c>
      <c r="T9" s="69">
        <f>SUM('MDA1:NCA9'!T3)</f>
        <v>60.833333333333336</v>
      </c>
      <c r="U9" s="69">
        <f>SUM('MDA1:NCA9'!U3)</f>
        <v>63.833333333333329</v>
      </c>
      <c r="V9" s="69">
        <f>SUM('MDA1:NCA9'!V3)</f>
        <v>66.5</v>
      </c>
      <c r="W9" s="69">
        <f>SUM('MDA1:NCA9'!W3)</f>
        <v>69.333333333333329</v>
      </c>
      <c r="X9" s="69">
        <f>SUM('MDA1:NCA9'!X3)</f>
        <v>72.500000000000014</v>
      </c>
      <c r="Y9" s="69">
        <f>SUM('MDA1:NCA9'!Y3)</f>
        <v>75.999999999999986</v>
      </c>
      <c r="Z9" s="69">
        <f>SUM('MDA1:NCA9'!Z3)</f>
        <v>79.5</v>
      </c>
      <c r="AA9" s="69">
        <f>SUM('MDA1:NCA9'!AA3)</f>
        <v>83.000000000000028</v>
      </c>
      <c r="AB9" s="69">
        <f>SUM('MDA1:NCA9'!AB3)</f>
        <v>86.499999999999986</v>
      </c>
      <c r="AC9" s="69">
        <f>SUM('MDA1:NCA9'!AC3)</f>
        <v>89.833333333333329</v>
      </c>
      <c r="AD9" s="69">
        <f>SUM('MDA1:NCA9'!AD3)</f>
        <v>92.833333333333343</v>
      </c>
      <c r="AE9" s="69">
        <f>SUM('MDA1:NCA9'!AE3)</f>
        <v>95.666666666666657</v>
      </c>
      <c r="AF9" s="69">
        <f>SUM('MDA1:NCA9'!AF3)</f>
        <v>98.333333333333343</v>
      </c>
      <c r="AG9" s="69">
        <f>SUM('MDA1:NCA9'!AG3)</f>
        <v>100.83333333333333</v>
      </c>
      <c r="AH9" s="69">
        <f>SUM('MDA1:NCA9'!AH3)</f>
        <v>103.33333333333333</v>
      </c>
      <c r="AI9" s="69">
        <f>SUM('MDA1:NCA9'!AI3)</f>
        <v>106.00000000000001</v>
      </c>
      <c r="AJ9" s="69">
        <f>SUM('MDA1:NCA9'!AJ3)</f>
        <v>108.66666666666667</v>
      </c>
      <c r="AK9" s="69">
        <f>SUM('MDA1:NCA9'!AK3)</f>
        <v>111.49999999999999</v>
      </c>
      <c r="AL9" s="69">
        <f>SUM('MDA1:NCA9'!AL3)</f>
        <v>114.50000000000003</v>
      </c>
      <c r="AM9" s="69">
        <f>SUM('MDA1:NCA9'!AM3)</f>
        <v>117.33333333333331</v>
      </c>
      <c r="AN9" s="69">
        <f>SUM('MDA1:NCA9'!AN3)</f>
        <v>120.16666666666667</v>
      </c>
    </row>
    <row r="10" spans="2:40" x14ac:dyDescent="0.25">
      <c r="B10" s="55" t="s">
        <v>463</v>
      </c>
      <c r="C10" s="3"/>
      <c r="D10" s="3"/>
      <c r="E10" s="69">
        <f>SUM('MDA1:NCA9'!E4)</f>
        <v>427.3538587848933</v>
      </c>
      <c r="F10" s="69">
        <f>SUM('MDA1:NCA9'!F4)</f>
        <v>453.80623973727421</v>
      </c>
      <c r="G10" s="69">
        <f>SUM('MDA1:NCA9'!G4)</f>
        <v>479.71100164203614</v>
      </c>
      <c r="H10" s="69">
        <f>SUM('MDA1:NCA9'!H4)</f>
        <v>510.87766830870282</v>
      </c>
      <c r="I10" s="69">
        <f>SUM('MDA1:NCA9'!I4)</f>
        <v>541.59195402298849</v>
      </c>
      <c r="J10" s="69">
        <f>SUM('MDA1:NCA9'!J4)</f>
        <v>575.30623973727415</v>
      </c>
      <c r="K10" s="69">
        <f>SUM('MDA1:NCA9'!K4)</f>
        <v>622.4729064039409</v>
      </c>
      <c r="L10" s="69">
        <f>SUM('MDA1:NCA9'!L4)</f>
        <v>661.83004926108367</v>
      </c>
      <c r="M10" s="69">
        <f>SUM('MDA1:NCA9'!M4)</f>
        <v>700.16338259441704</v>
      </c>
      <c r="N10" s="69">
        <f>SUM('MDA1:NCA9'!N4)</f>
        <v>744.66338259441716</v>
      </c>
      <c r="O10" s="69">
        <f>SUM('MDA1:NCA9'!O4)</f>
        <v>797.06814449917897</v>
      </c>
      <c r="P10" s="69">
        <f>SUM('MDA1:NCA9'!P4)</f>
        <v>850.61576354679801</v>
      </c>
      <c r="Q10" s="69">
        <f>SUM('MDA1:NCA9'!Q4)</f>
        <v>893.78243021346464</v>
      </c>
      <c r="R10" s="69">
        <f>SUM('MDA1:NCA9'!R4)</f>
        <v>936.71100164203608</v>
      </c>
      <c r="S10" s="69">
        <f>SUM('MDA1:NCA9'!S4)</f>
        <v>984.42528735632186</v>
      </c>
      <c r="T10" s="69">
        <f>SUM('MDA1:NCA9'!T4)</f>
        <v>1028.5919540229884</v>
      </c>
      <c r="U10" s="69">
        <f>SUM('MDA1:NCA9'!U4)</f>
        <v>1062.8776683087026</v>
      </c>
      <c r="V10" s="69">
        <f>SUM('MDA1:NCA9'!V4)</f>
        <v>1097.8300492610838</v>
      </c>
      <c r="W10" s="69">
        <f>SUM('MDA1:NCA9'!W4)</f>
        <v>1138.3776683087028</v>
      </c>
      <c r="X10" s="69">
        <f>SUM('MDA1:NCA9'!X4)</f>
        <v>1181.6871921182264</v>
      </c>
      <c r="Y10" s="69">
        <f>SUM('MDA1:NCA9'!Y4)</f>
        <v>1225.0443349753693</v>
      </c>
      <c r="Z10" s="69">
        <f>SUM('MDA1:NCA9'!Z4)</f>
        <v>1263.5443349753696</v>
      </c>
      <c r="AA10" s="69">
        <f>SUM('MDA1:NCA9'!AA4)</f>
        <v>1302.1871921182264</v>
      </c>
      <c r="AB10" s="69">
        <f>SUM('MDA1:NCA9'!AB4)</f>
        <v>1338.9729064039409</v>
      </c>
      <c r="AC10" s="69">
        <f>SUM('MDA1:NCA9'!AC4)</f>
        <v>1375.3062397372742</v>
      </c>
      <c r="AD10" s="69">
        <f>SUM('MDA1:NCA9'!AD4)</f>
        <v>1408.5919540229884</v>
      </c>
      <c r="AE10" s="69">
        <f>SUM('MDA1:NCA9'!AE4)</f>
        <v>1439.7110016420361</v>
      </c>
      <c r="AF10" s="69">
        <f>SUM('MDA1:NCA9'!AF4)</f>
        <v>1469.0919540229884</v>
      </c>
      <c r="AG10" s="69">
        <f>SUM('MDA1:NCA9'!AG4)</f>
        <v>1497.5919540229884</v>
      </c>
      <c r="AH10" s="69">
        <f>SUM('MDA1:NCA9'!AH4)</f>
        <v>1532.0919540229886</v>
      </c>
      <c r="AI10" s="69">
        <f>SUM('MDA1:NCA9'!AI4)</f>
        <v>1578.615763546798</v>
      </c>
      <c r="AJ10" s="69">
        <f>SUM('MDA1:NCA9'!AJ4)</f>
        <v>1615.2824302134647</v>
      </c>
      <c r="AK10" s="69">
        <f>SUM('MDA1:NCA9'!AK4)</f>
        <v>1651.2586206896553</v>
      </c>
      <c r="AL10" s="69">
        <f>SUM('MDA1:NCA9'!AL4)</f>
        <v>1692.9729064039407</v>
      </c>
      <c r="AM10" s="69">
        <f>SUM('MDA1:NCA9'!AM4)</f>
        <v>1735.0919540229884</v>
      </c>
      <c r="AN10" s="69">
        <f>SUM('MDA1:NCA9'!AN4)</f>
        <v>1772.9252873563221</v>
      </c>
    </row>
    <row r="11" spans="2:40" x14ac:dyDescent="0.25">
      <c r="B11" s="3"/>
      <c r="C11" s="3"/>
      <c r="D11" s="3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2:40" hidden="1" outlineLevel="1" x14ac:dyDescent="0.25"/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49" hidden="1" outlineLevel="1" x14ac:dyDescent="0.25"/>
    <row r="18" spans="2:49" hidden="1" outlineLevel="1" x14ac:dyDescent="0.25"/>
    <row r="19" spans="2:49" hidden="1" outlineLevel="1" x14ac:dyDescent="0.25"/>
    <row r="20" spans="2:49" hidden="1" outlineLevel="1" x14ac:dyDescent="0.25"/>
    <row r="21" spans="2:49" hidden="1" outlineLevel="1" x14ac:dyDescent="0.25"/>
    <row r="22" spans="2:49" hidden="1" outlineLevel="1" x14ac:dyDescent="0.25"/>
    <row r="23" spans="2:49" hidden="1" outlineLevel="1" x14ac:dyDescent="0.25"/>
    <row r="24" spans="2:49" hidden="1" outlineLevel="1" x14ac:dyDescent="0.25"/>
    <row r="25" spans="2:49" collapsed="1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</row>
    <row r="26" spans="2:49" hidden="1" outlineLevel="1" x14ac:dyDescent="0.25"/>
    <row r="27" spans="2:49" hidden="1" outlineLevel="1" x14ac:dyDescent="0.25"/>
    <row r="28" spans="2:49" hidden="1" outlineLevel="1" x14ac:dyDescent="0.25"/>
    <row r="29" spans="2:49" hidden="1" outlineLevel="1" x14ac:dyDescent="0.25"/>
    <row r="30" spans="2:49" hidden="1" outlineLevel="1" x14ac:dyDescent="0.25"/>
    <row r="31" spans="2:49" hidden="1" outlineLevel="1" x14ac:dyDescent="0.25"/>
    <row r="32" spans="2:49" hidden="1" outlineLevel="1" x14ac:dyDescent="0.25"/>
    <row r="33" spans="2:40" hidden="1" outlineLevel="1" x14ac:dyDescent="0.25"/>
    <row r="34" spans="2:40" hidden="1" outlineLevel="1" x14ac:dyDescent="0.25"/>
    <row r="35" spans="2:40" hidden="1" outlineLevel="1" x14ac:dyDescent="0.25"/>
    <row r="36" spans="2:40" collapsed="1" x14ac:dyDescent="0.25">
      <c r="B36" s="39" t="s">
        <v>320</v>
      </c>
      <c r="C36" s="4"/>
      <c r="E36" s="12" cm="1">
        <f t="array" ref="E36:AN36">_xlfn.ANCHORARRAY(E25)*0</f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_xlfn.BYCOL(_xlfn.ANCHORARRAY(E36),_xlfn.LAMBDA(_xlpm.rev,SUM(_xlpm.rev)))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</row>
    <row r="39" spans="2:40" x14ac:dyDescent="0.25">
      <c r="B39" s="1" t="s">
        <v>132</v>
      </c>
      <c r="E39" s="92"/>
    </row>
    <row r="40" spans="2:40" x14ac:dyDescent="0.25">
      <c r="B40" s="39" t="s">
        <v>23</v>
      </c>
      <c r="E40" s="92" cm="1">
        <f t="array" ref="E40:AN40">_xlfn.LET(_xlpm.site,$B$1&amp;"-"&amp;$C$1,_xlpm.locations,Base!$D$4:$BD$4,_xlpm.headcount,Base!$D$186:$D$254,_xlpm.benefits,1+_xlfn.XLOOKUP(_xlpm.site,_xlpm.locations,Base!$D$124:$BD$124,0,0),
_xlpm.core_comp,Base!$C$186:$C$254*Base!$D$186:$D$254*_xlfn.XLOOKUP(YEAR(_xlfn.ANCHORARRAY($E$25)),Base!$BJ$4:$BL$4,Base!$BJ$186:$BL$254,0,0),
_xlpm.scale_comp,($E$1:$AN$1/Base!$D$257:$D$271)*Base!$C$257:$C$271*_xlfn.XLOOKUP(YEAR(_xlfn.ANCHORARRAY($E$25)),Base!$BJ$4:$BL$4,Base!$BJ$257:$BL$271,0,0),
_xlfn.BYCOL(_xlfn.VSTACK(_xlpm.core_comp,_xlpm.scale_comp),_xlfn.LAMBDA(_xlpm.a,SUM(_xlpm.a)*_xlpm.benefits)))</f>
        <v>651069.74483365391</v>
      </c>
      <c r="F40" s="12">
        <v>658527.88015886419</v>
      </c>
      <c r="G40" s="12">
        <v>668116.91129127692</v>
      </c>
      <c r="H40" s="12">
        <v>678416.24102609092</v>
      </c>
      <c r="I40" s="12">
        <v>686939.82425490231</v>
      </c>
      <c r="J40" s="12">
        <v>697594.30329091684</v>
      </c>
      <c r="K40" s="12">
        <v>711445.12603773561</v>
      </c>
      <c r="L40" s="12">
        <v>722454.75437495066</v>
      </c>
      <c r="M40" s="12">
        <v>735240.12921816763</v>
      </c>
      <c r="N40" s="12">
        <v>749090.95196498674</v>
      </c>
      <c r="O40" s="12">
        <v>765072.67051900842</v>
      </c>
      <c r="P40" s="12">
        <v>782119.83697663108</v>
      </c>
      <c r="Q40" s="12">
        <v>878302.37531503895</v>
      </c>
      <c r="R40" s="12">
        <v>893928.9445678601</v>
      </c>
      <c r="S40" s="12">
        <v>910727.50651464285</v>
      </c>
      <c r="T40" s="12">
        <v>927916.73269274633</v>
      </c>
      <c r="U40" s="12">
        <v>941980.64502028516</v>
      </c>
      <c r="V40" s="12">
        <v>955263.22888518299</v>
      </c>
      <c r="W40" s="12">
        <v>970499.13390668377</v>
      </c>
      <c r="X40" s="12">
        <v>986125.70315950492</v>
      </c>
      <c r="Y40" s="12">
        <v>999408.28702440322</v>
      </c>
      <c r="Z40" s="12">
        <v>1014253.5278145832</v>
      </c>
      <c r="AA40" s="12">
        <v>1029098.7686047633</v>
      </c>
      <c r="AB40" s="12">
        <v>1042772.0167009819</v>
      </c>
      <c r="AC40" s="12">
        <v>1159941.1380046569</v>
      </c>
      <c r="AD40" s="12">
        <v>1173692.5189471396</v>
      </c>
      <c r="AE40" s="12">
        <v>1186584.4385807172</v>
      </c>
      <c r="AF40" s="12">
        <v>1198616.8969053896</v>
      </c>
      <c r="AG40" s="12">
        <v>1209789.8939211564</v>
      </c>
      <c r="AH40" s="12">
        <v>1223541.2748636391</v>
      </c>
      <c r="AI40" s="12">
        <v>1239871.0397328369</v>
      </c>
      <c r="AJ40" s="12">
        <v>1255771.0739475831</v>
      </c>
      <c r="AK40" s="12">
        <v>1271241.3775078759</v>
      </c>
      <c r="AL40" s="12">
        <v>1285852.2197592638</v>
      </c>
      <c r="AM40" s="12">
        <v>1302181.984628462</v>
      </c>
      <c r="AN40" s="12">
        <v>1317222.5575343024</v>
      </c>
    </row>
    <row r="41" spans="2:40" x14ac:dyDescent="0.25">
      <c r="B41" s="39" t="s">
        <v>458</v>
      </c>
      <c r="E41" s="12" cm="1">
        <f t="array" ref="E41:AN41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_xlfn.LET(_xlpm.site,$B$1&amp;"-"&amp;$C$1,_xlpm.locations,Base!$D$4:$BD$4,_xlpm.opex,_xlfn.VSTACK(Base!$D$160:$BD$160,Base!$D$166:$BD$166,Base!$D$174:$BD$174),
_xlpm.site_opex,_xlfn.XLOOKUP(_xlpm.site,_xlpm.locations,_xlpm.opex,0,0)*_xlfn.ANCHORARRAY($E$3),_xlpm.YoY_incr,Base!$BJ$129:$BL$133,_xlpm.fixed,SUM(Base!$D$161,Base!$D$167,(Base!$D$168*Base!$D$169),(Base!$D$170*Base!$D$171)),
_xlpm.ann_incr,_xlfn.XLOOKUP(YEAR(_xlfn.ANCHORARRAY($E$25)),Base!$BJ$4:$BL$4,_xlpm.YoY_incr,0,0),
_xlfn.BYCOL(_xlpm.site_opex,_xlfn.LAMBDA(_xlpm.a,SUM(_xlpm.a)+_xlpm.fixed))*_xlpm.ann_incr)</f>
        <v>16095.6</v>
      </c>
      <c r="F44" s="12">
        <v>16095.6</v>
      </c>
      <c r="G44" s="12">
        <v>16095.6</v>
      </c>
      <c r="H44" s="12">
        <v>16095.6</v>
      </c>
      <c r="I44" s="12">
        <v>16095.6</v>
      </c>
      <c r="J44" s="12">
        <v>16095.6</v>
      </c>
      <c r="K44" s="12">
        <v>16095.6</v>
      </c>
      <c r="L44" s="12">
        <v>16095.6</v>
      </c>
      <c r="M44" s="12">
        <v>16095.6</v>
      </c>
      <c r="N44" s="12">
        <v>16095.6</v>
      </c>
      <c r="O44" s="12">
        <v>16095.6</v>
      </c>
      <c r="P44" s="12">
        <v>16095.6</v>
      </c>
      <c r="Q44" s="12">
        <v>16739.424000000003</v>
      </c>
      <c r="R44" s="12">
        <v>16739.424000000003</v>
      </c>
      <c r="S44" s="12">
        <v>16739.424000000003</v>
      </c>
      <c r="T44" s="12">
        <v>16739.424000000003</v>
      </c>
      <c r="U44" s="12">
        <v>16739.424000000003</v>
      </c>
      <c r="V44" s="12">
        <v>16739.424000000003</v>
      </c>
      <c r="W44" s="12">
        <v>16739.424000000003</v>
      </c>
      <c r="X44" s="12">
        <v>16739.424000000003</v>
      </c>
      <c r="Y44" s="12">
        <v>16739.424000000003</v>
      </c>
      <c r="Z44" s="12">
        <v>16739.424000000003</v>
      </c>
      <c r="AA44" s="12">
        <v>16739.424000000003</v>
      </c>
      <c r="AB44" s="12">
        <v>16739.424000000003</v>
      </c>
      <c r="AC44" s="12">
        <v>17409.000960000001</v>
      </c>
      <c r="AD44" s="12">
        <v>17409.000960000001</v>
      </c>
      <c r="AE44" s="12">
        <v>17409.000960000001</v>
      </c>
      <c r="AF44" s="12">
        <v>17409.000960000001</v>
      </c>
      <c r="AG44" s="12">
        <v>17409.000960000001</v>
      </c>
      <c r="AH44" s="12">
        <v>17409.000960000001</v>
      </c>
      <c r="AI44" s="12">
        <v>17409.000960000001</v>
      </c>
      <c r="AJ44" s="12">
        <v>17409.000960000001</v>
      </c>
      <c r="AK44" s="12">
        <v>17409.000960000001</v>
      </c>
      <c r="AL44" s="12">
        <v>17409.000960000001</v>
      </c>
      <c r="AM44" s="12">
        <v>17409.000960000001</v>
      </c>
      <c r="AN44" s="12">
        <v>17409.000960000001</v>
      </c>
    </row>
    <row r="45" spans="2:40" x14ac:dyDescent="0.25">
      <c r="B45" s="39" t="s">
        <v>37</v>
      </c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_xlfn.LET(_xlpm.site,$B$1&amp;"-"&amp;$C$1,_xlpm.locations,Base!$D$4:$BD$4,_xlpm.opex,Base!$D$141:$BD$141,_xlpm.site_opex,_xlfn.XLOOKUP(_xlpm.site,_xlpm.locations,_xlpm.opex,0,0),
_xlpm.YoY_incr,Base!$BJ$167:$BL$167,_xlpm.ann_incr,_xlfn.XLOOKUP(YEAR(_xlfn.ANCHORARRAY($E$25)),Base!$BJ$4:$BL$4,_xlpm.YoY_incr,0,0),_xlpm.fte,_xlfn.ANCHORARRAY(E3),
_xlfn.BYCOL(_xlpm.site_opex,_xlfn.LAMBDA(_xlpm.a,SUM(_xlpm.a)))*_xlpm.ann_incr*_xlpm.fte)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87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332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667165.34483365389</v>
      </c>
      <c r="F50" s="13">
        <v>674623.48015886417</v>
      </c>
      <c r="G50" s="13">
        <v>684212.5112912769</v>
      </c>
      <c r="H50" s="13">
        <v>694511.8410260909</v>
      </c>
      <c r="I50" s="13">
        <v>703035.42425490229</v>
      </c>
      <c r="J50" s="13">
        <v>713689.90329091682</v>
      </c>
      <c r="K50" s="13">
        <v>727540.72603773559</v>
      </c>
      <c r="L50" s="13">
        <v>738550.35437495064</v>
      </c>
      <c r="M50" s="13">
        <v>751335.7292181676</v>
      </c>
      <c r="N50" s="13">
        <v>765186.55196498672</v>
      </c>
      <c r="O50" s="13">
        <v>781168.27051900839</v>
      </c>
      <c r="P50" s="13">
        <v>798215.43697663106</v>
      </c>
      <c r="Q50" s="13">
        <v>895041.79931503895</v>
      </c>
      <c r="R50" s="13">
        <v>910668.3685678601</v>
      </c>
      <c r="S50" s="13">
        <v>927466.93051464285</v>
      </c>
      <c r="T50" s="13">
        <v>944656.15669274633</v>
      </c>
      <c r="U50" s="13">
        <v>958720.06902028515</v>
      </c>
      <c r="V50" s="13">
        <v>972002.65288518299</v>
      </c>
      <c r="W50" s="13">
        <v>987238.55790668377</v>
      </c>
      <c r="X50" s="13">
        <v>1002865.1271595049</v>
      </c>
      <c r="Y50" s="13">
        <v>1016147.7110244032</v>
      </c>
      <c r="Z50" s="13">
        <v>1030992.9518145832</v>
      </c>
      <c r="AA50" s="13">
        <v>1045838.1926047633</v>
      </c>
      <c r="AB50" s="13">
        <v>1059511.440700982</v>
      </c>
      <c r="AC50" s="13">
        <v>1177350.138964657</v>
      </c>
      <c r="AD50" s="13">
        <v>1191101.5199071397</v>
      </c>
      <c r="AE50" s="13">
        <v>1203993.4395407173</v>
      </c>
      <c r="AF50" s="13">
        <v>1216025.8978653897</v>
      </c>
      <c r="AG50" s="13">
        <v>1227198.8948811565</v>
      </c>
      <c r="AH50" s="13">
        <v>1240950.2758236392</v>
      </c>
      <c r="AI50" s="13">
        <v>1257280.040692837</v>
      </c>
      <c r="AJ50" s="13">
        <v>1273180.0749075832</v>
      </c>
      <c r="AK50" s="13">
        <v>1288650.378467876</v>
      </c>
      <c r="AL50" s="13">
        <v>1303261.2207192639</v>
      </c>
      <c r="AM50" s="13">
        <v>1319590.9855884621</v>
      </c>
      <c r="AN50" s="13">
        <v>1334631.5584943024</v>
      </c>
    </row>
    <row r="51" spans="2:40" x14ac:dyDescent="0.25">
      <c r="C51" s="6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50</v>
      </c>
      <c r="E52" s="74">
        <f>E37-E50</f>
        <v>-667165.34483365389</v>
      </c>
      <c r="F52" s="74">
        <f t="shared" ref="F52:AN52" si="0">F37-F50</f>
        <v>-674623.48015886417</v>
      </c>
      <c r="G52" s="74">
        <f t="shared" si="0"/>
        <v>-684212.5112912769</v>
      </c>
      <c r="H52" s="74">
        <f t="shared" si="0"/>
        <v>-694511.8410260909</v>
      </c>
      <c r="I52" s="74">
        <f t="shared" si="0"/>
        <v>-703035.42425490229</v>
      </c>
      <c r="J52" s="74">
        <f t="shared" si="0"/>
        <v>-713689.90329091682</v>
      </c>
      <c r="K52" s="74">
        <f t="shared" si="0"/>
        <v>-727540.72603773559</v>
      </c>
      <c r="L52" s="74">
        <f t="shared" si="0"/>
        <v>-738550.35437495064</v>
      </c>
      <c r="M52" s="74">
        <f t="shared" si="0"/>
        <v>-751335.7292181676</v>
      </c>
      <c r="N52" s="74">
        <f t="shared" si="0"/>
        <v>-765186.55196498672</v>
      </c>
      <c r="O52" s="74">
        <f t="shared" si="0"/>
        <v>-781168.27051900839</v>
      </c>
      <c r="P52" s="74">
        <f t="shared" si="0"/>
        <v>-798215.43697663106</v>
      </c>
      <c r="Q52" s="74">
        <f t="shared" si="0"/>
        <v>-895041.79931503895</v>
      </c>
      <c r="R52" s="74">
        <f t="shared" si="0"/>
        <v>-910668.3685678601</v>
      </c>
      <c r="S52" s="74">
        <f t="shared" si="0"/>
        <v>-927466.93051464285</v>
      </c>
      <c r="T52" s="74">
        <f t="shared" si="0"/>
        <v>-944656.15669274633</v>
      </c>
      <c r="U52" s="74">
        <f t="shared" si="0"/>
        <v>-958720.06902028515</v>
      </c>
      <c r="V52" s="74">
        <f t="shared" si="0"/>
        <v>-972002.65288518299</v>
      </c>
      <c r="W52" s="74">
        <f t="shared" si="0"/>
        <v>-987238.55790668377</v>
      </c>
      <c r="X52" s="74">
        <f t="shared" si="0"/>
        <v>-1002865.1271595049</v>
      </c>
      <c r="Y52" s="74">
        <f t="shared" si="0"/>
        <v>-1016147.7110244032</v>
      </c>
      <c r="Z52" s="74">
        <f t="shared" si="0"/>
        <v>-1030992.9518145832</v>
      </c>
      <c r="AA52" s="74">
        <f t="shared" si="0"/>
        <v>-1045838.1926047633</v>
      </c>
      <c r="AB52" s="74">
        <f t="shared" si="0"/>
        <v>-1059511.440700982</v>
      </c>
      <c r="AC52" s="74">
        <f t="shared" si="0"/>
        <v>-1177350.138964657</v>
      </c>
      <c r="AD52" s="74">
        <f t="shared" si="0"/>
        <v>-1191101.5199071397</v>
      </c>
      <c r="AE52" s="74">
        <f t="shared" si="0"/>
        <v>-1203993.4395407173</v>
      </c>
      <c r="AF52" s="74">
        <f t="shared" si="0"/>
        <v>-1216025.8978653897</v>
      </c>
      <c r="AG52" s="74">
        <f t="shared" si="0"/>
        <v>-1227198.8948811565</v>
      </c>
      <c r="AH52" s="74">
        <f t="shared" si="0"/>
        <v>-1240950.2758236392</v>
      </c>
      <c r="AI52" s="74">
        <f t="shared" si="0"/>
        <v>-1257280.040692837</v>
      </c>
      <c r="AJ52" s="74">
        <f t="shared" si="0"/>
        <v>-1273180.0749075832</v>
      </c>
      <c r="AK52" s="74">
        <f t="shared" si="0"/>
        <v>-1288650.378467876</v>
      </c>
      <c r="AL52" s="74">
        <f t="shared" si="0"/>
        <v>-1303261.2207192639</v>
      </c>
      <c r="AM52" s="74">
        <f t="shared" si="0"/>
        <v>-1319590.9855884621</v>
      </c>
      <c r="AN52" s="74">
        <f t="shared" si="0"/>
        <v>-1334631.5584943024</v>
      </c>
    </row>
    <row r="53" spans="2:40" x14ac:dyDescent="0.25">
      <c r="B53" s="1"/>
      <c r="E53" s="111" t="str">
        <f>IFERROR(E52/E37,"")</f>
        <v/>
      </c>
      <c r="F53" s="111" t="str">
        <f t="shared" ref="F53:AN53" si="1">IFERROR(F52/F37,"")</f>
        <v/>
      </c>
      <c r="G53" s="111" t="str">
        <f t="shared" si="1"/>
        <v/>
      </c>
      <c r="H53" s="111" t="str">
        <f t="shared" si="1"/>
        <v/>
      </c>
      <c r="I53" s="111" t="str">
        <f t="shared" si="1"/>
        <v/>
      </c>
      <c r="J53" s="111" t="str">
        <f t="shared" si="1"/>
        <v/>
      </c>
      <c r="K53" s="111" t="str">
        <f t="shared" si="1"/>
        <v/>
      </c>
      <c r="L53" s="111" t="str">
        <f t="shared" si="1"/>
        <v/>
      </c>
      <c r="M53" s="111" t="str">
        <f t="shared" si="1"/>
        <v/>
      </c>
      <c r="N53" s="111" t="str">
        <f t="shared" si="1"/>
        <v/>
      </c>
      <c r="O53" s="111" t="str">
        <f t="shared" si="1"/>
        <v/>
      </c>
      <c r="P53" s="111" t="str">
        <f t="shared" si="1"/>
        <v/>
      </c>
      <c r="Q53" s="111" t="str">
        <f t="shared" si="1"/>
        <v/>
      </c>
      <c r="R53" s="111" t="str">
        <f t="shared" si="1"/>
        <v/>
      </c>
      <c r="S53" s="111" t="str">
        <f t="shared" si="1"/>
        <v/>
      </c>
      <c r="T53" s="111" t="str">
        <f t="shared" si="1"/>
        <v/>
      </c>
      <c r="U53" s="111" t="str">
        <f t="shared" si="1"/>
        <v/>
      </c>
      <c r="V53" s="111" t="str">
        <f t="shared" si="1"/>
        <v/>
      </c>
      <c r="W53" s="111" t="str">
        <f t="shared" si="1"/>
        <v/>
      </c>
      <c r="X53" s="111" t="str">
        <f t="shared" si="1"/>
        <v/>
      </c>
      <c r="Y53" s="111" t="str">
        <f t="shared" si="1"/>
        <v/>
      </c>
      <c r="Z53" s="111" t="str">
        <f t="shared" si="1"/>
        <v/>
      </c>
      <c r="AA53" s="111" t="str">
        <f t="shared" si="1"/>
        <v/>
      </c>
      <c r="AB53" s="111" t="str">
        <f t="shared" si="1"/>
        <v/>
      </c>
      <c r="AC53" s="111" t="str">
        <f t="shared" si="1"/>
        <v/>
      </c>
      <c r="AD53" s="111" t="str">
        <f t="shared" si="1"/>
        <v/>
      </c>
      <c r="AE53" s="111" t="str">
        <f t="shared" si="1"/>
        <v/>
      </c>
      <c r="AF53" s="111" t="str">
        <f t="shared" si="1"/>
        <v/>
      </c>
      <c r="AG53" s="111" t="str">
        <f t="shared" si="1"/>
        <v/>
      </c>
      <c r="AH53" s="111" t="str">
        <f t="shared" si="1"/>
        <v/>
      </c>
      <c r="AI53" s="111" t="str">
        <f t="shared" si="1"/>
        <v/>
      </c>
      <c r="AJ53" s="111" t="str">
        <f t="shared" si="1"/>
        <v/>
      </c>
      <c r="AK53" s="111" t="str">
        <f t="shared" si="1"/>
        <v/>
      </c>
      <c r="AL53" s="111" t="str">
        <f t="shared" si="1"/>
        <v/>
      </c>
      <c r="AM53" s="111" t="str">
        <f t="shared" si="1"/>
        <v/>
      </c>
      <c r="AN53" s="111" t="str">
        <f t="shared" si="1"/>
        <v/>
      </c>
    </row>
    <row r="54" spans="2:40" x14ac:dyDescent="0.25">
      <c r="B54" s="1" t="s">
        <v>334</v>
      </c>
      <c r="E54" s="74">
        <f t="shared" ref="E54:J54" si="2">E52-E80</f>
        <v>-667165.34483365389</v>
      </c>
      <c r="F54" s="74">
        <f t="shared" si="2"/>
        <v>-674623.48015886417</v>
      </c>
      <c r="G54" s="74">
        <f t="shared" si="2"/>
        <v>-684212.5112912769</v>
      </c>
      <c r="H54" s="74">
        <f t="shared" si="2"/>
        <v>-694511.8410260909</v>
      </c>
      <c r="I54" s="74">
        <f t="shared" si="2"/>
        <v>-703035.42425490229</v>
      </c>
      <c r="J54" s="74">
        <f t="shared" si="2"/>
        <v>-713689.90329091682</v>
      </c>
      <c r="K54" s="74">
        <f t="shared" ref="K54:AN54" si="3">K52-K67</f>
        <v>-727540.72603773559</v>
      </c>
      <c r="L54" s="74">
        <f t="shared" si="3"/>
        <v>-738550.35437495064</v>
      </c>
      <c r="M54" s="74">
        <f t="shared" si="3"/>
        <v>-751335.7292181676</v>
      </c>
      <c r="N54" s="74">
        <f t="shared" si="3"/>
        <v>-765186.55196498672</v>
      </c>
      <c r="O54" s="74">
        <f t="shared" si="3"/>
        <v>-781168.27051900839</v>
      </c>
      <c r="P54" s="74">
        <f t="shared" si="3"/>
        <v>-798215.43697663106</v>
      </c>
      <c r="Q54" s="74">
        <f t="shared" si="3"/>
        <v>-895041.79931503895</v>
      </c>
      <c r="R54" s="74">
        <f t="shared" si="3"/>
        <v>-910668.3685678601</v>
      </c>
      <c r="S54" s="74">
        <f t="shared" si="3"/>
        <v>-927466.93051464285</v>
      </c>
      <c r="T54" s="74">
        <f t="shared" si="3"/>
        <v>-944656.15669274633</v>
      </c>
      <c r="U54" s="74">
        <f t="shared" si="3"/>
        <v>-958720.06902028515</v>
      </c>
      <c r="V54" s="74">
        <f t="shared" si="3"/>
        <v>-972002.65288518299</v>
      </c>
      <c r="W54" s="74">
        <f t="shared" si="3"/>
        <v>-987238.55790668377</v>
      </c>
      <c r="X54" s="74">
        <f t="shared" si="3"/>
        <v>-1002865.1271595049</v>
      </c>
      <c r="Y54" s="74">
        <f t="shared" si="3"/>
        <v>-1016147.7110244032</v>
      </c>
      <c r="Z54" s="74">
        <f t="shared" si="3"/>
        <v>-1030992.9518145832</v>
      </c>
      <c r="AA54" s="74">
        <f t="shared" si="3"/>
        <v>-1045838.1926047633</v>
      </c>
      <c r="AB54" s="74">
        <f t="shared" si="3"/>
        <v>-1059511.440700982</v>
      </c>
      <c r="AC54" s="74">
        <f t="shared" si="3"/>
        <v>-1177350.138964657</v>
      </c>
      <c r="AD54" s="74">
        <f t="shared" si="3"/>
        <v>-1191101.5199071397</v>
      </c>
      <c r="AE54" s="74">
        <f t="shared" si="3"/>
        <v>-1203993.4395407173</v>
      </c>
      <c r="AF54" s="74">
        <f t="shared" si="3"/>
        <v>-1216025.8978653897</v>
      </c>
      <c r="AG54" s="74">
        <f t="shared" si="3"/>
        <v>-1227198.8948811565</v>
      </c>
      <c r="AH54" s="74">
        <f t="shared" si="3"/>
        <v>-1240950.2758236392</v>
      </c>
      <c r="AI54" s="74">
        <f t="shared" si="3"/>
        <v>-1257280.040692837</v>
      </c>
      <c r="AJ54" s="74">
        <f t="shared" si="3"/>
        <v>-1273180.0749075832</v>
      </c>
      <c r="AK54" s="74">
        <f t="shared" si="3"/>
        <v>-1288650.378467876</v>
      </c>
      <c r="AL54" s="74">
        <f t="shared" si="3"/>
        <v>-1303261.2207192639</v>
      </c>
      <c r="AM54" s="74">
        <f t="shared" si="3"/>
        <v>-1319590.9855884621</v>
      </c>
      <c r="AN54" s="74">
        <f t="shared" si="3"/>
        <v>-1334631.5584943024</v>
      </c>
    </row>
    <row r="55" spans="2:40" x14ac:dyDescent="0.25">
      <c r="C55" s="6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</row>
    <row r="56" spans="2:40" x14ac:dyDescent="0.25">
      <c r="B56" t="s">
        <v>60</v>
      </c>
      <c r="C56" s="12" cm="1">
        <f t="array" ref="C56">_xlfn.LET(_xlpm.site,$B$1&amp;"-"&amp;$C$1,_xlpm.locations,_xlfn.DROP(CAPEX!$D$2:$BD$2,0,3),_xlpm.capex,_xlfn.DROP(CAPEX!$D27:$BD$27,0,3),_xlpm.site_dates,_xlfn.DROP(CAPEX!$D$3:$BD$3,0,3),
_xlpm.site_capex,_xlfn.XLOOKUP(_xlpm.site,_xlpm.locations,_xlpm.capex,0,0),_xlpm.site_capex)</f>
        <v>0</v>
      </c>
      <c r="D56" s="12" t="e" vm="1">
        <f>C56-SUM(_xlfn.ANCHORARRAY(E56))</f>
        <v>#VALUE!</v>
      </c>
      <c r="E56" s="12" t="e" cm="1" vm="2">
        <f t="array" ref="E56:AN56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_xlfn.BYCOL(_xlfn.ANCHORARRAY($E$25),_xlfn.LAMBDA(_xlpm.a,IF(SUM(--(_xlpm.a=_xlpm.capex_months)),$C$56/_xlpm.site_months,0))))</f>
        <v>#VALUE!</v>
      </c>
      <c r="F56" s="13" t="e" vm="2">
        <v>#VALUE!</v>
      </c>
      <c r="G56" s="13" t="e" vm="2">
        <v>#VALUE!</v>
      </c>
      <c r="H56" s="13" t="e" vm="2">
        <v>#VALUE!</v>
      </c>
      <c r="I56" s="13" t="e" vm="2">
        <v>#VALUE!</v>
      </c>
      <c r="J56" s="13" t="e" vm="2">
        <v>#VALUE!</v>
      </c>
      <c r="K56" s="13" t="e" vm="2">
        <v>#VALUE!</v>
      </c>
      <c r="L56" s="13" t="e" vm="2">
        <v>#VALUE!</v>
      </c>
      <c r="M56" s="13" t="e" vm="2">
        <v>#VALUE!</v>
      </c>
      <c r="N56" s="13" t="e" vm="2">
        <v>#VALUE!</v>
      </c>
      <c r="O56" s="13" t="e" vm="2">
        <v>#VALUE!</v>
      </c>
      <c r="P56" s="13" t="e" vm="2">
        <v>#VALUE!</v>
      </c>
      <c r="Q56" s="13" t="e" vm="2">
        <v>#VALUE!</v>
      </c>
      <c r="R56" s="13" t="e" vm="2">
        <v>#VALUE!</v>
      </c>
      <c r="S56" s="13" t="e" vm="2">
        <v>#VALUE!</v>
      </c>
      <c r="T56" s="13" t="e" vm="2">
        <v>#VALUE!</v>
      </c>
      <c r="U56" s="13" t="e" vm="2">
        <v>#VALUE!</v>
      </c>
      <c r="V56" s="13" t="e" vm="2">
        <v>#VALUE!</v>
      </c>
      <c r="W56" s="13" t="e" vm="2">
        <v>#VALUE!</v>
      </c>
      <c r="X56" s="13" t="e" vm="2">
        <v>#VALUE!</v>
      </c>
      <c r="Y56" s="13" t="e" vm="2">
        <v>#VALUE!</v>
      </c>
      <c r="Z56" s="13" t="e" vm="2">
        <v>#VALUE!</v>
      </c>
      <c r="AA56" s="13" t="e" vm="2">
        <v>#VALUE!</v>
      </c>
      <c r="AB56" s="13" t="e" vm="2">
        <v>#VALUE!</v>
      </c>
      <c r="AC56" s="13" t="e" vm="2">
        <v>#VALUE!</v>
      </c>
      <c r="AD56" s="13" t="e" vm="2">
        <v>#VALUE!</v>
      </c>
      <c r="AE56" s="13" t="e" vm="2">
        <v>#VALUE!</v>
      </c>
      <c r="AF56" s="13" t="e" vm="2">
        <v>#VALUE!</v>
      </c>
      <c r="AG56" s="13" t="e" vm="2">
        <v>#VALUE!</v>
      </c>
      <c r="AH56" s="13" t="e" vm="2">
        <v>#VALUE!</v>
      </c>
      <c r="AI56" s="13" t="e" vm="2">
        <v>#VALUE!</v>
      </c>
      <c r="AJ56" s="13" t="e" vm="2">
        <v>#VALUE!</v>
      </c>
      <c r="AK56" s="13" t="e" vm="2">
        <v>#VALUE!</v>
      </c>
      <c r="AL56" s="13" t="e" vm="2">
        <v>#VALUE!</v>
      </c>
      <c r="AM56" s="13" t="e" vm="2">
        <v>#VALUE!</v>
      </c>
      <c r="AN56" s="13" t="e" vm="2">
        <v>#VALUE!</v>
      </c>
    </row>
    <row r="57" spans="2:40" x14ac:dyDescent="0.25">
      <c r="B57" t="s">
        <v>345</v>
      </c>
      <c r="E57" s="12" cm="1">
        <f t="array" ref="E57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7" s="12" cm="1">
        <f t="array" ref="F57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7" s="12" cm="1">
        <f t="array" ref="G57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7" s="12" cm="1">
        <f t="array" ref="H57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7" s="12" cm="1">
        <f t="array" ref="I57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7" s="12" cm="1">
        <f t="array" ref="J57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7" s="12" cm="1">
        <f t="array" ref="K57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7" s="12" cm="1">
        <f t="array" ref="L57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7" s="12" cm="1">
        <f t="array" ref="M57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7" s="12" cm="1">
        <f t="array" ref="N57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7" s="12" cm="1">
        <f t="array" ref="O57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7" s="12" cm="1">
        <f t="array" ref="P57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7" s="12" cm="1">
        <f t="array" ref="Q57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7" s="12" cm="1">
        <f t="array" ref="R57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7" s="12" cm="1">
        <f t="array" ref="S57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7" s="12" cm="1">
        <f t="array" ref="T57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7" s="12" cm="1">
        <f t="array" ref="U57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7" s="12" cm="1">
        <f t="array" ref="V57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7" s="12" cm="1">
        <f t="array" ref="W57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7" s="12" cm="1">
        <f t="array" ref="X57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7" s="12" cm="1">
        <f t="array" ref="Y57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7" s="12" cm="1">
        <f t="array" ref="Z57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7" s="12" cm="1">
        <f t="array" ref="AA57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7" s="12" cm="1">
        <f t="array" ref="AB57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7" s="12" cm="1">
        <f t="array" ref="AC57">_xlfn.LET(_xlpm.site,$B$1&amp;"-"&amp;$C$1,_xlpm.locations,Base!$D$4:$BD$4,_xlpm.ar_col,Base!$D$13:$BD$18,_xlpm.site_col,_xlfn.XLOOKUP(_xlpm.site,_xlpm.locations,_xlpm.ar_col,0,0),
_xlpm.rev_1,AC$37,_xlpm.rev_1*_xlfn.CHOOSEROWS(_xlpm.site_col,1))</f>
        <v>0</v>
      </c>
      <c r="AD57" s="12" cm="1">
        <f t="array" ref="AD57">_xlfn.LET(_xlpm.site,$B$1&amp;"-"&amp;$C$1,_xlpm.locations,Base!$D$4:$BD$4,_xlpm.ar_col,Base!$D$13:$BD$18,_xlpm.site_col,_xlfn.XLOOKUP(_xlpm.site,_xlpm.locations,_xlpm.ar_col,0,0),
_xlpm.rev_1,AD$37,_xlpm.rev_1*_xlfn.CHOOSEROWS(_xlpm.site_col,1))</f>
        <v>0</v>
      </c>
      <c r="AE57" s="12" cm="1">
        <f t="array" ref="AE57">_xlfn.LET(_xlpm.site,$B$1&amp;"-"&amp;$C$1,_xlpm.locations,Base!$D$4:$BD$4,_xlpm.ar_col,Base!$D$13:$BD$18,_xlpm.site_col,_xlfn.XLOOKUP(_xlpm.site,_xlpm.locations,_xlpm.ar_col,0,0),
_xlpm.rev_1,AE$37,_xlpm.rev_1*_xlfn.CHOOSEROWS(_xlpm.site_col,1))</f>
        <v>0</v>
      </c>
      <c r="AF57" s="12" cm="1">
        <f t="array" ref="AF57">_xlfn.LET(_xlpm.site,$B$1&amp;"-"&amp;$C$1,_xlpm.locations,Base!$D$4:$BD$4,_xlpm.ar_col,Base!$D$13:$BD$18,_xlpm.site_col,_xlfn.XLOOKUP(_xlpm.site,_xlpm.locations,_xlpm.ar_col,0,0),
_xlpm.rev_1,AF$37,_xlpm.rev_1*_xlfn.CHOOSEROWS(_xlpm.site_col,1))</f>
        <v>0</v>
      </c>
      <c r="AG57" s="12" cm="1">
        <f t="array" ref="AG57">_xlfn.LET(_xlpm.site,$B$1&amp;"-"&amp;$C$1,_xlpm.locations,Base!$D$4:$BD$4,_xlpm.ar_col,Base!$D$13:$BD$18,_xlpm.site_col,_xlfn.XLOOKUP(_xlpm.site,_xlpm.locations,_xlpm.ar_col,0,0),
_xlpm.rev_1,AG$37,_xlpm.rev_1*_xlfn.CHOOSEROWS(_xlpm.site_col,1))</f>
        <v>0</v>
      </c>
      <c r="AH57" s="12" cm="1">
        <f t="array" ref="AH57">_xlfn.LET(_xlpm.site,$B$1&amp;"-"&amp;$C$1,_xlpm.locations,Base!$D$4:$BD$4,_xlpm.ar_col,Base!$D$13:$BD$18,_xlpm.site_col,_xlfn.XLOOKUP(_xlpm.site,_xlpm.locations,_xlpm.ar_col,0,0),
_xlpm.rev_1,AH$37,_xlpm.rev_1*_xlfn.CHOOSEROWS(_xlpm.site_col,1))</f>
        <v>0</v>
      </c>
      <c r="AI57" s="12" cm="1">
        <f t="array" ref="AI57">_xlfn.LET(_xlpm.site,$B$1&amp;"-"&amp;$C$1,_xlpm.locations,Base!$D$4:$BD$4,_xlpm.ar_col,Base!$D$13:$BD$18,_xlpm.site_col,_xlfn.XLOOKUP(_xlpm.site,_xlpm.locations,_xlpm.ar_col,0,0),
_xlpm.rev_1,AI$37,_xlpm.rev_1*_xlfn.CHOOSEROWS(_xlpm.site_col,1))</f>
        <v>0</v>
      </c>
      <c r="AJ57" s="12" cm="1">
        <f t="array" ref="AJ57">_xlfn.LET(_xlpm.site,$B$1&amp;"-"&amp;$C$1,_xlpm.locations,Base!$D$4:$BD$4,_xlpm.ar_col,Base!$D$13:$BD$18,_xlpm.site_col,_xlfn.XLOOKUP(_xlpm.site,_xlpm.locations,_xlpm.ar_col,0,0),
_xlpm.rev_1,AJ$37,_xlpm.rev_1*_xlfn.CHOOSEROWS(_xlpm.site_col,1))</f>
        <v>0</v>
      </c>
      <c r="AK57" s="12" cm="1">
        <f t="array" ref="AK57">_xlfn.LET(_xlpm.site,$B$1&amp;"-"&amp;$C$1,_xlpm.locations,Base!$D$4:$BD$4,_xlpm.ar_col,Base!$D$13:$BD$18,_xlpm.site_col,_xlfn.XLOOKUP(_xlpm.site,_xlpm.locations,_xlpm.ar_col,0,0),
_xlpm.rev_1,AK$37,_xlpm.rev_1*_xlfn.CHOOSEROWS(_xlpm.site_col,1))</f>
        <v>0</v>
      </c>
      <c r="AL57" s="12" cm="1">
        <f t="array" ref="AL57">_xlfn.LET(_xlpm.site,$B$1&amp;"-"&amp;$C$1,_xlpm.locations,Base!$D$4:$BD$4,_xlpm.ar_col,Base!$D$13:$BD$18,_xlpm.site_col,_xlfn.XLOOKUP(_xlpm.site,_xlpm.locations,_xlpm.ar_col,0,0),
_xlpm.rev_1,AL$37,_xlpm.rev_1*_xlfn.CHOOSEROWS(_xlpm.site_col,1))</f>
        <v>0</v>
      </c>
      <c r="AM57" s="12" cm="1">
        <f t="array" ref="AM57">_xlfn.LET(_xlpm.site,$B$1&amp;"-"&amp;$C$1,_xlpm.locations,Base!$D$4:$BD$4,_xlpm.ar_col,Base!$D$13:$BD$18,_xlpm.site_col,_xlfn.XLOOKUP(_xlpm.site,_xlpm.locations,_xlpm.ar_col,0,0),
_xlpm.rev_1,AM$37,_xlpm.rev_1*_xlfn.CHOOSEROWS(_xlpm.site_col,1))</f>
        <v>0</v>
      </c>
      <c r="AN57" s="12" cm="1">
        <f t="array" ref="AN57">_xlfn.LET(_xlpm.site,$B$1&amp;"-"&amp;$C$1,_xlpm.locations,Base!$D$4:$BD$4,_xlpm.ar_col,Base!$D$13:$BD$18,_xlpm.site_col,_xlfn.XLOOKUP(_xlpm.site,_xlpm.locations,_xlpm.ar_col,0,0),
_xlpm.rev_1,AN$37,_xlpm.rev_1*_xlfn.CHOOSEROWS(_xlpm.site_col,1))</f>
        <v>0</v>
      </c>
    </row>
    <row r="58" spans="2:40" x14ac:dyDescent="0.25"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</row>
    <row r="59" spans="2:40" x14ac:dyDescent="0.25">
      <c r="B59" s="1" t="s">
        <v>336</v>
      </c>
      <c r="E59" s="13" t="e" vm="1">
        <f>E37-E50-E56+E57</f>
        <v>#VALUE!</v>
      </c>
      <c r="F59" s="13" t="e" vm="1">
        <f t="shared" ref="F59:AN59" si="4">F37-F50-F56+F57</f>
        <v>#VALUE!</v>
      </c>
      <c r="G59" s="13" t="e" vm="1">
        <f t="shared" si="4"/>
        <v>#VALUE!</v>
      </c>
      <c r="H59" s="13" t="e" vm="1">
        <f t="shared" si="4"/>
        <v>#VALUE!</v>
      </c>
      <c r="I59" s="13" t="e" vm="1">
        <f t="shared" si="4"/>
        <v>#VALUE!</v>
      </c>
      <c r="J59" s="13" t="e" vm="1">
        <f t="shared" si="4"/>
        <v>#VALUE!</v>
      </c>
      <c r="K59" s="13" t="e" vm="1">
        <f t="shared" si="4"/>
        <v>#VALUE!</v>
      </c>
      <c r="L59" s="13" t="e" vm="1">
        <f t="shared" si="4"/>
        <v>#VALUE!</v>
      </c>
      <c r="M59" s="13" t="e" vm="1">
        <f t="shared" si="4"/>
        <v>#VALUE!</v>
      </c>
      <c r="N59" s="13" t="e" vm="1">
        <f t="shared" si="4"/>
        <v>#VALUE!</v>
      </c>
      <c r="O59" s="13" t="e" vm="1">
        <f t="shared" si="4"/>
        <v>#VALUE!</v>
      </c>
      <c r="P59" s="13" t="e" vm="1">
        <f t="shared" si="4"/>
        <v>#VALUE!</v>
      </c>
      <c r="Q59" s="13" t="e" vm="1">
        <f t="shared" si="4"/>
        <v>#VALUE!</v>
      </c>
      <c r="R59" s="13" t="e" vm="1">
        <f t="shared" si="4"/>
        <v>#VALUE!</v>
      </c>
      <c r="S59" s="13" t="e" vm="1">
        <f t="shared" si="4"/>
        <v>#VALUE!</v>
      </c>
      <c r="T59" s="13" t="e" vm="1">
        <f t="shared" si="4"/>
        <v>#VALUE!</v>
      </c>
      <c r="U59" s="13" t="e" vm="1">
        <f t="shared" si="4"/>
        <v>#VALUE!</v>
      </c>
      <c r="V59" s="13" t="e" vm="1">
        <f t="shared" si="4"/>
        <v>#VALUE!</v>
      </c>
      <c r="W59" s="13" t="e" vm="1">
        <f t="shared" si="4"/>
        <v>#VALUE!</v>
      </c>
      <c r="X59" s="13" t="e" vm="1">
        <f t="shared" si="4"/>
        <v>#VALUE!</v>
      </c>
      <c r="Y59" s="13" t="e" vm="1">
        <f t="shared" si="4"/>
        <v>#VALUE!</v>
      </c>
      <c r="Z59" s="13" t="e" vm="1">
        <f t="shared" si="4"/>
        <v>#VALUE!</v>
      </c>
      <c r="AA59" s="13" t="e" vm="1">
        <f t="shared" si="4"/>
        <v>#VALUE!</v>
      </c>
      <c r="AB59" s="13" t="e" vm="1">
        <f t="shared" si="4"/>
        <v>#VALUE!</v>
      </c>
      <c r="AC59" s="13" t="e" vm="1">
        <f t="shared" si="4"/>
        <v>#VALUE!</v>
      </c>
      <c r="AD59" s="13" t="e" vm="1">
        <f t="shared" si="4"/>
        <v>#VALUE!</v>
      </c>
      <c r="AE59" s="13" t="e" vm="1">
        <f t="shared" si="4"/>
        <v>#VALUE!</v>
      </c>
      <c r="AF59" s="13" t="e" vm="1">
        <f t="shared" si="4"/>
        <v>#VALUE!</v>
      </c>
      <c r="AG59" s="13" t="e" vm="1">
        <f t="shared" si="4"/>
        <v>#VALUE!</v>
      </c>
      <c r="AH59" s="13" t="e" vm="1">
        <f t="shared" si="4"/>
        <v>#VALUE!</v>
      </c>
      <c r="AI59" s="13" t="e" vm="1">
        <f t="shared" si="4"/>
        <v>#VALUE!</v>
      </c>
      <c r="AJ59" s="13" t="e" vm="1">
        <f t="shared" si="4"/>
        <v>#VALUE!</v>
      </c>
      <c r="AK59" s="13" t="e" vm="1">
        <f t="shared" si="4"/>
        <v>#VALUE!</v>
      </c>
      <c r="AL59" s="13" t="e" vm="1">
        <f t="shared" si="4"/>
        <v>#VALUE!</v>
      </c>
      <c r="AM59" s="13" t="e" vm="1">
        <f t="shared" si="4"/>
        <v>#VALUE!</v>
      </c>
      <c r="AN59" s="13" t="e" vm="1">
        <f t="shared" si="4"/>
        <v>#VALUE!</v>
      </c>
    </row>
    <row r="60" spans="2:40" x14ac:dyDescent="0.25">
      <c r="B60" t="s">
        <v>337</v>
      </c>
      <c r="E60" s="12" t="e" cm="1" vm="1">
        <f t="array" ref="E60:AN60">_xlfn.SCAN(-D56,E59:AN59,_xlfn.LAMBDA(_xlpm.capex,_xlpm.fcf,_xlpm.capex+_xlpm.fcf))</f>
        <v>#VALUE!</v>
      </c>
      <c r="F60" s="12" t="e" vm="1">
        <v>#VALUE!</v>
      </c>
      <c r="G60" s="12" t="e" vm="1">
        <v>#VALUE!</v>
      </c>
      <c r="H60" s="12" t="e" vm="1">
        <v>#VALUE!</v>
      </c>
      <c r="I60" s="12" t="e" vm="1">
        <v>#VALUE!</v>
      </c>
      <c r="J60" s="12" t="e" vm="1">
        <v>#VALUE!</v>
      </c>
      <c r="K60" s="12" t="e" vm="1">
        <v>#VALUE!</v>
      </c>
      <c r="L60" s="12" t="e" vm="1">
        <v>#VALUE!</v>
      </c>
      <c r="M60" s="12" t="e" vm="1">
        <v>#VALUE!</v>
      </c>
      <c r="N60" s="12" t="e" vm="1">
        <v>#VALUE!</v>
      </c>
      <c r="O60" s="12" t="e" vm="1">
        <v>#VALUE!</v>
      </c>
      <c r="P60" s="12" t="e" vm="1">
        <v>#VALUE!</v>
      </c>
      <c r="Q60" s="12" t="e" vm="1">
        <v>#VALUE!</v>
      </c>
      <c r="R60" s="12" t="e" vm="1">
        <v>#VALUE!</v>
      </c>
      <c r="S60" s="12" t="e" vm="1">
        <v>#VALUE!</v>
      </c>
      <c r="T60" s="12" t="e" vm="1">
        <v>#VALUE!</v>
      </c>
      <c r="U60" s="12" t="e" vm="1">
        <v>#VALUE!</v>
      </c>
      <c r="V60" s="12" t="e" vm="1">
        <v>#VALUE!</v>
      </c>
      <c r="W60" s="12" t="e" vm="1">
        <v>#VALUE!</v>
      </c>
      <c r="X60" s="12" t="e" vm="1">
        <v>#VALUE!</v>
      </c>
      <c r="Y60" s="12" t="e" vm="1">
        <v>#VALUE!</v>
      </c>
      <c r="Z60" s="12" t="e" vm="1">
        <v>#VALUE!</v>
      </c>
      <c r="AA60" s="12" t="e" vm="1">
        <v>#VALUE!</v>
      </c>
      <c r="AB60" s="12" t="e" vm="1">
        <v>#VALUE!</v>
      </c>
      <c r="AC60" s="12" t="e" vm="1">
        <v>#VALUE!</v>
      </c>
      <c r="AD60" s="12" t="e" vm="1">
        <v>#VALUE!</v>
      </c>
      <c r="AE60" s="12" t="e" vm="1">
        <v>#VALUE!</v>
      </c>
      <c r="AF60" s="12" t="e" vm="1">
        <v>#VALUE!</v>
      </c>
      <c r="AG60" s="12" t="e" vm="1">
        <v>#VALUE!</v>
      </c>
      <c r="AH60" s="12" t="e" vm="1">
        <v>#VALUE!</v>
      </c>
      <c r="AI60" s="12" t="e" vm="1">
        <v>#VALUE!</v>
      </c>
      <c r="AJ60" s="12" t="e" vm="1">
        <v>#VALUE!</v>
      </c>
      <c r="AK60" s="12" t="e" vm="1">
        <v>#VALUE!</v>
      </c>
      <c r="AL60" s="12" t="e" vm="1">
        <v>#VALUE!</v>
      </c>
      <c r="AM60" s="12" t="e" vm="1">
        <v>#VALUE!</v>
      </c>
      <c r="AN60" s="12" t="e" vm="1">
        <v>#VALUE!</v>
      </c>
    </row>
    <row r="62" spans="2:40" x14ac:dyDescent="0.25">
      <c r="B62" s="1"/>
    </row>
    <row r="63" spans="2:40" x14ac:dyDescent="0.25">
      <c r="B63" s="39"/>
      <c r="C63" s="12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</row>
    <row r="64" spans="2:40" x14ac:dyDescent="0.25">
      <c r="B64" s="39"/>
      <c r="C64" s="12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</row>
    <row r="65" spans="2:40" x14ac:dyDescent="0.25">
      <c r="B65" s="39"/>
      <c r="C65" s="12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</row>
    <row r="66" spans="2:40" x14ac:dyDescent="0.25">
      <c r="B66" s="39"/>
      <c r="C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39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599A-7CC7-4535-BE2E-6A4EF5E33ACE}">
  <sheetPr>
    <tabColor theme="9" tint="-0.249977111117893"/>
  </sheetPr>
  <dimension ref="A1:FB70"/>
  <sheetViews>
    <sheetView workbookViewId="0">
      <pane xSplit="4" ySplit="3" topLeftCell="AZ13" activePane="bottomRight" state="frozen"/>
      <selection pane="topRight" activeCell="I1" sqref="I1"/>
      <selection pane="bottomLeft" activeCell="A4" sqref="A4"/>
      <selection pane="bottomRight" activeCell="BH25" sqref="BH25"/>
    </sheetView>
  </sheetViews>
  <sheetFormatPr defaultRowHeight="15" outlineLevelCol="1" x14ac:dyDescent="0.25"/>
  <cols>
    <col min="2" max="2" width="9.42578125" customWidth="1"/>
    <col min="3" max="3" width="7.5703125" bestFit="1" customWidth="1"/>
    <col min="4" max="4" width="13.85546875" bestFit="1" customWidth="1"/>
    <col min="5" max="5" width="13.7109375" customWidth="1" outlineLevel="1"/>
    <col min="6" max="8" width="11.5703125" bestFit="1" customWidth="1" outlineLevel="1"/>
    <col min="9" max="9" width="4.7109375" customWidth="1"/>
    <col min="10" max="13" width="12" bestFit="1" customWidth="1" outlineLevel="1"/>
    <col min="14" max="14" width="4.7109375" customWidth="1"/>
    <col min="15" max="18" width="11.5703125" customWidth="1" outlineLevel="1"/>
    <col min="19" max="19" width="4.7109375" customWidth="1"/>
    <col min="20" max="23" width="11.5703125" customWidth="1" outlineLevel="1"/>
    <col min="24" max="24" width="4.7109375" customWidth="1"/>
    <col min="25" max="28" width="11.5703125" customWidth="1" outlineLevel="1"/>
    <col min="29" max="29" width="4.7109375" customWidth="1"/>
    <col min="30" max="33" width="11.5703125" customWidth="1" outlineLevel="1"/>
    <col min="34" max="34" width="4.7109375" customWidth="1"/>
    <col min="35" max="38" width="11.5703125" customWidth="1" outlineLevel="1"/>
    <col min="39" max="39" width="4.7109375" customWidth="1"/>
    <col min="40" max="43" width="11.5703125" customWidth="1" outlineLevel="1"/>
    <col min="44" max="44" width="4.7109375" customWidth="1"/>
    <col min="45" max="48" width="11.5703125" customWidth="1" outlineLevel="1"/>
    <col min="49" max="49" width="4.7109375" customWidth="1"/>
    <col min="50" max="53" width="11.5703125" customWidth="1" outlineLevel="1"/>
    <col min="54" max="54" width="4.7109375" customWidth="1"/>
    <col min="55" max="58" width="11.5703125" customWidth="1" outlineLevel="1"/>
    <col min="59" max="59" width="4.7109375" customWidth="1"/>
    <col min="60" max="63" width="11.5703125" customWidth="1" outlineLevel="1"/>
    <col min="64" max="64" width="4.7109375" customWidth="1"/>
    <col min="65" max="68" width="11.5703125" customWidth="1" outlineLevel="1"/>
    <col min="69" max="69" width="4.7109375" customWidth="1"/>
    <col min="70" max="72" width="11.5703125" customWidth="1" outlineLevel="1"/>
    <col min="73" max="73" width="4.7109375" customWidth="1"/>
    <col min="74" max="77" width="11.5703125" customWidth="1" outlineLevel="1"/>
    <col min="78" max="78" width="4.7109375" customWidth="1"/>
    <col min="79" max="81" width="11.5703125" customWidth="1" outlineLevel="1"/>
    <col min="82" max="82" width="4.7109375" customWidth="1"/>
    <col min="83" max="85" width="11.5703125" customWidth="1" outlineLevel="1"/>
    <col min="86" max="86" width="4.7109375" customWidth="1"/>
    <col min="87" max="89" width="11.5703125" customWidth="1" outlineLevel="1"/>
    <col min="90" max="90" width="4.7109375" customWidth="1"/>
    <col min="91" max="93" width="11.5703125" customWidth="1" outlineLevel="1"/>
    <col min="94" max="94" width="4.7109375" customWidth="1"/>
    <col min="95" max="97" width="11.5703125" customWidth="1" outlineLevel="1"/>
    <col min="98" max="98" width="4.7109375" customWidth="1"/>
    <col min="99" max="101" width="11.5703125" customWidth="1" outlineLevel="1"/>
    <col min="102" max="102" width="4.7109375" customWidth="1"/>
    <col min="103" max="105" width="11.5703125" customWidth="1" outlineLevel="1"/>
    <col min="106" max="106" width="4.7109375" customWidth="1"/>
    <col min="107" max="109" width="11.5703125" customWidth="1" outlineLevel="1"/>
    <col min="110" max="110" width="4.7109375" customWidth="1"/>
    <col min="111" max="114" width="11.5703125" customWidth="1" outlineLevel="1"/>
    <col min="115" max="115" width="4.7109375" customWidth="1"/>
    <col min="116" max="116" width="12.28515625" bestFit="1" customWidth="1" outlineLevel="1"/>
    <col min="117" max="118" width="11.5703125" customWidth="1" outlineLevel="1"/>
    <col min="119" max="119" width="4.7109375" customWidth="1"/>
    <col min="120" max="120" width="12.28515625" bestFit="1" customWidth="1" outlineLevel="1"/>
    <col min="121" max="123" width="11.5703125" customWidth="1" outlineLevel="1"/>
    <col min="124" max="124" width="4.7109375" customWidth="1"/>
    <col min="125" max="125" width="12.28515625" bestFit="1" customWidth="1" outlineLevel="1"/>
    <col min="126" max="128" width="11.5703125" customWidth="1" outlineLevel="1"/>
    <col min="129" max="129" width="4.7109375" customWidth="1"/>
    <col min="130" max="130" width="12.28515625" bestFit="1" customWidth="1" outlineLevel="1"/>
    <col min="131" max="133" width="11.5703125" customWidth="1" outlineLevel="1"/>
    <col min="134" max="134" width="4.7109375" customWidth="1"/>
    <col min="135" max="138" width="8" customWidth="1" outlineLevel="1"/>
    <col min="139" max="139" width="4.7109375" customWidth="1"/>
    <col min="140" max="143" width="8" customWidth="1" outlineLevel="1"/>
    <col min="144" max="144" width="4.7109375" customWidth="1"/>
    <col min="145" max="148" width="8" customWidth="1" outlineLevel="1"/>
    <col min="149" max="149" width="4.7109375" customWidth="1"/>
    <col min="150" max="153" width="9" bestFit="1" customWidth="1" outlineLevel="1"/>
    <col min="154" max="154" width="4.7109375" customWidth="1"/>
    <col min="155" max="158" width="9" bestFit="1" customWidth="1" outlineLevel="1"/>
    <col min="16210" max="16210" width="9.140625" bestFit="1" customWidth="1"/>
    <col min="16211" max="16215" width="9.140625" customWidth="1"/>
  </cols>
  <sheetData>
    <row r="1" spans="1:158" x14ac:dyDescent="0.25">
      <c r="B1" s="85" t="s">
        <v>61</v>
      </c>
      <c r="C1" s="85" t="s">
        <v>63</v>
      </c>
      <c r="D1" s="85" t="s">
        <v>62</v>
      </c>
      <c r="E1" s="119" t="s">
        <v>55</v>
      </c>
      <c r="F1" s="119"/>
      <c r="G1" s="119"/>
      <c r="H1" s="119"/>
      <c r="J1" s="119" t="s">
        <v>319</v>
      </c>
      <c r="K1" s="119"/>
      <c r="L1" s="119"/>
      <c r="M1" s="119"/>
      <c r="O1" s="119" t="s">
        <v>357</v>
      </c>
      <c r="P1" s="119"/>
      <c r="Q1" s="119"/>
      <c r="R1" s="119"/>
      <c r="T1" s="119" t="s">
        <v>358</v>
      </c>
      <c r="U1" s="119"/>
      <c r="V1" s="119"/>
      <c r="W1" s="119"/>
      <c r="Y1" s="119" t="s">
        <v>111</v>
      </c>
      <c r="Z1" s="119"/>
      <c r="AA1" s="119"/>
      <c r="AB1" s="119"/>
      <c r="AD1" s="119" t="s">
        <v>112</v>
      </c>
      <c r="AE1" s="119"/>
      <c r="AF1" s="119"/>
      <c r="AG1" s="119"/>
      <c r="AI1" s="119" t="s">
        <v>113</v>
      </c>
      <c r="AJ1" s="119"/>
      <c r="AK1" s="119"/>
      <c r="AL1" s="119"/>
      <c r="AN1" s="119" t="s">
        <v>114</v>
      </c>
      <c r="AO1" s="119"/>
      <c r="AP1" s="119"/>
      <c r="AQ1" s="119"/>
      <c r="AS1" s="119" t="s">
        <v>115</v>
      </c>
      <c r="AT1" s="119"/>
      <c r="AU1" s="119"/>
      <c r="AV1" s="119"/>
      <c r="AX1" s="119" t="s">
        <v>116</v>
      </c>
      <c r="AY1" s="119"/>
      <c r="AZ1" s="119"/>
      <c r="BA1" s="119"/>
      <c r="BC1" s="119" t="s">
        <v>117</v>
      </c>
      <c r="BD1" s="119"/>
      <c r="BE1" s="119"/>
      <c r="BF1" s="119"/>
      <c r="BH1" s="119" t="s">
        <v>118</v>
      </c>
      <c r="BI1" s="119"/>
      <c r="BJ1" s="119"/>
      <c r="BK1" s="119"/>
      <c r="BM1" s="119" t="s">
        <v>59</v>
      </c>
      <c r="BN1" s="119"/>
      <c r="BO1" s="119"/>
      <c r="BP1" s="119"/>
      <c r="BR1" s="119" t="s">
        <v>320</v>
      </c>
      <c r="BS1" s="119"/>
      <c r="BT1" s="119"/>
      <c r="BV1" s="119" t="s">
        <v>359</v>
      </c>
      <c r="BW1" s="119"/>
      <c r="BX1" s="119"/>
      <c r="BY1" s="119"/>
      <c r="CA1" s="119" t="s">
        <v>28</v>
      </c>
      <c r="CB1" s="119"/>
      <c r="CC1" s="119"/>
      <c r="CE1" s="119" t="s">
        <v>31</v>
      </c>
      <c r="CF1" s="119"/>
      <c r="CG1" s="119"/>
      <c r="CI1" s="119" t="s">
        <v>34</v>
      </c>
      <c r="CJ1" s="119"/>
      <c r="CK1" s="119"/>
      <c r="CM1" s="119" t="s">
        <v>37</v>
      </c>
      <c r="CN1" s="119"/>
      <c r="CO1" s="119"/>
      <c r="CQ1" s="119" t="s">
        <v>40</v>
      </c>
      <c r="CR1" s="119"/>
      <c r="CS1" s="119"/>
      <c r="CU1" s="119" t="s">
        <v>42</v>
      </c>
      <c r="CV1" s="119"/>
      <c r="CW1" s="119"/>
      <c r="CY1" s="119" t="s">
        <v>360</v>
      </c>
      <c r="CZ1" s="119"/>
      <c r="DA1" s="119"/>
      <c r="DC1" s="119" t="s">
        <v>44</v>
      </c>
      <c r="DD1" s="119"/>
      <c r="DE1" s="119"/>
      <c r="DG1" s="119" t="s">
        <v>361</v>
      </c>
      <c r="DH1" s="119"/>
      <c r="DI1" s="119"/>
      <c r="DJ1" s="119"/>
      <c r="DL1" s="119" t="s">
        <v>345</v>
      </c>
      <c r="DM1" s="119"/>
      <c r="DN1" s="119"/>
      <c r="DP1" s="119" t="s">
        <v>342</v>
      </c>
      <c r="DQ1" s="119"/>
      <c r="DR1" s="119"/>
      <c r="DS1" s="119"/>
      <c r="DU1" s="119" t="s">
        <v>362</v>
      </c>
      <c r="DV1" s="119"/>
      <c r="DW1" s="119"/>
      <c r="DX1" s="119"/>
      <c r="DZ1" s="119" t="s">
        <v>363</v>
      </c>
      <c r="EA1" s="119"/>
      <c r="EB1" s="119"/>
      <c r="EC1" s="119"/>
      <c r="EE1" s="119" t="s">
        <v>36</v>
      </c>
      <c r="EF1" s="119"/>
      <c r="EG1" s="119"/>
      <c r="EH1" s="119"/>
      <c r="EJ1" s="119" t="s">
        <v>39</v>
      </c>
      <c r="EK1" s="119"/>
      <c r="EL1" s="119"/>
      <c r="EM1" s="119"/>
      <c r="EO1" s="119" t="s">
        <v>39</v>
      </c>
      <c r="EP1" s="119"/>
      <c r="EQ1" s="119"/>
      <c r="ER1" s="119"/>
      <c r="ET1" s="119" t="s">
        <v>60</v>
      </c>
      <c r="EU1" s="119"/>
      <c r="EV1" s="119"/>
      <c r="EW1" s="119"/>
      <c r="EY1" s="119" t="s">
        <v>56</v>
      </c>
      <c r="EZ1" s="119"/>
      <c r="FA1" s="119"/>
      <c r="FB1" s="119"/>
    </row>
    <row r="2" spans="1:158" x14ac:dyDescent="0.25">
      <c r="B2" s="85" t="s">
        <v>61</v>
      </c>
      <c r="C2" s="85" t="s">
        <v>63</v>
      </c>
      <c r="D2" s="85" t="s">
        <v>62</v>
      </c>
      <c r="E2" cm="1">
        <f t="array" ref="E2:H2">{1,4,7,10}</f>
        <v>1</v>
      </c>
      <c r="F2" s="1">
        <v>4</v>
      </c>
      <c r="G2" s="1">
        <v>7</v>
      </c>
      <c r="H2" s="1">
        <v>10</v>
      </c>
      <c r="J2" cm="1">
        <f t="array" ref="J2:M2">{1,4,7,10}</f>
        <v>1</v>
      </c>
      <c r="K2" s="1">
        <v>4</v>
      </c>
      <c r="L2" s="1">
        <v>7</v>
      </c>
      <c r="M2" s="1">
        <v>10</v>
      </c>
      <c r="O2" cm="1">
        <f t="array" ref="O2:R2">{1,4,7,10}</f>
        <v>1</v>
      </c>
      <c r="P2" s="1">
        <v>4</v>
      </c>
      <c r="Q2" s="1">
        <v>7</v>
      </c>
      <c r="R2" s="1">
        <v>10</v>
      </c>
      <c r="T2" cm="1">
        <f t="array" ref="T2:W2">{1,4,7,10}</f>
        <v>1</v>
      </c>
      <c r="U2" s="1">
        <v>4</v>
      </c>
      <c r="V2" s="1">
        <v>7</v>
      </c>
      <c r="W2" s="1">
        <v>10</v>
      </c>
      <c r="Y2" cm="1">
        <f t="array" ref="Y2:AB2">{1,4,7,10}</f>
        <v>1</v>
      </c>
      <c r="Z2" s="1">
        <v>4</v>
      </c>
      <c r="AA2" s="1">
        <v>7</v>
      </c>
      <c r="AB2" s="1">
        <v>10</v>
      </c>
      <c r="AD2" cm="1">
        <f t="array" ref="AD2:AG2">{1,4,7,10}</f>
        <v>1</v>
      </c>
      <c r="AE2" s="1">
        <v>4</v>
      </c>
      <c r="AF2" s="1">
        <v>7</v>
      </c>
      <c r="AG2" s="1">
        <v>10</v>
      </c>
      <c r="AI2" cm="1">
        <f t="array" ref="AI2:AL2">{1,4,7,10}</f>
        <v>1</v>
      </c>
      <c r="AJ2" s="1">
        <v>4</v>
      </c>
      <c r="AK2" s="1">
        <v>7</v>
      </c>
      <c r="AL2" s="1">
        <v>10</v>
      </c>
      <c r="AN2" cm="1">
        <f t="array" ref="AN2:AQ2">{1,4,7,10}</f>
        <v>1</v>
      </c>
      <c r="AO2" s="1">
        <v>4</v>
      </c>
      <c r="AP2" s="1">
        <v>7</v>
      </c>
      <c r="AQ2" s="1">
        <v>10</v>
      </c>
      <c r="AS2" cm="1">
        <f t="array" ref="AS2:AV2">{1,4,7,10}</f>
        <v>1</v>
      </c>
      <c r="AT2" s="1">
        <v>4</v>
      </c>
      <c r="AU2" s="1">
        <v>7</v>
      </c>
      <c r="AV2" s="1">
        <v>10</v>
      </c>
      <c r="AX2" cm="1">
        <f t="array" ref="AX2:BA2">{1,4,7,10}</f>
        <v>1</v>
      </c>
      <c r="AY2" s="1">
        <v>4</v>
      </c>
      <c r="AZ2" s="1">
        <v>7</v>
      </c>
      <c r="BA2" s="1">
        <v>10</v>
      </c>
      <c r="BC2" cm="1">
        <f t="array" ref="BC2:BF2">{1,4,7,10}</f>
        <v>1</v>
      </c>
      <c r="BD2" s="1">
        <v>4</v>
      </c>
      <c r="BE2" s="1">
        <v>7</v>
      </c>
      <c r="BF2" s="1">
        <v>10</v>
      </c>
      <c r="BH2" cm="1">
        <f t="array" ref="BH2:BK2">{1,4,7,10}</f>
        <v>1</v>
      </c>
      <c r="BI2" s="1">
        <v>4</v>
      </c>
      <c r="BJ2" s="1">
        <v>7</v>
      </c>
      <c r="BK2" s="1">
        <v>10</v>
      </c>
      <c r="BM2" cm="1">
        <f t="array" ref="BM2:BP2">{1,4,7,10}</f>
        <v>1</v>
      </c>
      <c r="BN2" s="1">
        <v>4</v>
      </c>
      <c r="BO2" s="1">
        <v>7</v>
      </c>
      <c r="BP2" s="1">
        <v>10</v>
      </c>
      <c r="BR2" cm="1">
        <f t="array" ref="BR2:BU2">_xlfn.ANCHORARRAY($E2)</f>
        <v>1</v>
      </c>
      <c r="BS2" s="1">
        <v>4</v>
      </c>
      <c r="BT2" s="1">
        <v>7</v>
      </c>
      <c r="BU2">
        <v>10</v>
      </c>
      <c r="BV2" cm="1">
        <f t="array" ref="BV2:BY2">{1,4,7,10}</f>
        <v>1</v>
      </c>
      <c r="BW2" s="1">
        <v>4</v>
      </c>
      <c r="BX2" s="1">
        <v>7</v>
      </c>
      <c r="BY2" s="1">
        <v>10</v>
      </c>
      <c r="CA2" cm="1">
        <f t="array" ref="CA2:CD2">_xlfn.ANCHORARRAY($E2)</f>
        <v>1</v>
      </c>
      <c r="CB2" s="1">
        <v>4</v>
      </c>
      <c r="CC2" s="1">
        <v>7</v>
      </c>
      <c r="CD2">
        <v>10</v>
      </c>
      <c r="CE2" cm="1">
        <f t="array" ref="CE2:CH2">_xlfn.ANCHORARRAY($E2)</f>
        <v>1</v>
      </c>
      <c r="CF2" s="1">
        <v>4</v>
      </c>
      <c r="CG2" s="1">
        <v>7</v>
      </c>
      <c r="CH2">
        <v>10</v>
      </c>
      <c r="CI2" cm="1">
        <f t="array" ref="CI2:CL2">_xlfn.ANCHORARRAY($E2)</f>
        <v>1</v>
      </c>
      <c r="CJ2" s="1">
        <v>4</v>
      </c>
      <c r="CK2" s="1">
        <v>7</v>
      </c>
      <c r="CL2">
        <v>10</v>
      </c>
      <c r="CM2" cm="1">
        <f t="array" ref="CM2:CP2">_xlfn.ANCHORARRAY($E2)</f>
        <v>1</v>
      </c>
      <c r="CN2" s="1">
        <v>4</v>
      </c>
      <c r="CO2" s="1">
        <v>7</v>
      </c>
      <c r="CP2">
        <v>10</v>
      </c>
      <c r="CQ2" cm="1">
        <f t="array" ref="CQ2:CT2">_xlfn.ANCHORARRAY($E2)</f>
        <v>1</v>
      </c>
      <c r="CR2" s="1">
        <v>4</v>
      </c>
      <c r="CS2" s="1">
        <v>7</v>
      </c>
      <c r="CT2">
        <v>10</v>
      </c>
      <c r="CU2" cm="1">
        <f t="array" ref="CU2:CX2">_xlfn.ANCHORARRAY($E2)</f>
        <v>1</v>
      </c>
      <c r="CV2" s="1">
        <v>4</v>
      </c>
      <c r="CW2" s="1">
        <v>7</v>
      </c>
      <c r="CX2">
        <v>10</v>
      </c>
      <c r="CY2" cm="1">
        <f t="array" ref="CY2:DB2">_xlfn.ANCHORARRAY($E2)</f>
        <v>1</v>
      </c>
      <c r="CZ2" s="1">
        <v>4</v>
      </c>
      <c r="DA2" s="1">
        <v>7</v>
      </c>
      <c r="DB2">
        <v>10</v>
      </c>
      <c r="DC2" cm="1">
        <f t="array" ref="DC2:DF2">_xlfn.ANCHORARRAY($E2)</f>
        <v>1</v>
      </c>
      <c r="DD2" s="1">
        <v>4</v>
      </c>
      <c r="DE2" s="1">
        <v>7</v>
      </c>
      <c r="DF2">
        <v>10</v>
      </c>
      <c r="DG2" cm="1">
        <f t="array" ref="DG2:DJ2">{1,4,7,10}</f>
        <v>1</v>
      </c>
      <c r="DH2" s="1">
        <v>4</v>
      </c>
      <c r="DI2" s="1">
        <v>7</v>
      </c>
      <c r="DJ2" s="1">
        <v>10</v>
      </c>
      <c r="DL2" cm="1">
        <f t="array" ref="DL2:DO2">_xlfn.ANCHORARRAY($E2)</f>
        <v>1</v>
      </c>
      <c r="DM2" s="1">
        <v>4</v>
      </c>
      <c r="DN2" s="1">
        <v>7</v>
      </c>
      <c r="DO2">
        <v>10</v>
      </c>
      <c r="DP2" cm="1">
        <f t="array" ref="DP2:DS2">_xlfn.ANCHORARRAY($E2)</f>
        <v>1</v>
      </c>
      <c r="DQ2" s="1">
        <v>4</v>
      </c>
      <c r="DR2" s="1">
        <v>7</v>
      </c>
      <c r="DS2" s="1">
        <v>10</v>
      </c>
      <c r="DU2" cm="1">
        <f t="array" ref="DU2:DX2">_xlfn.ANCHORARRAY($E2)</f>
        <v>1</v>
      </c>
      <c r="DV2" s="1">
        <v>4</v>
      </c>
      <c r="DW2" s="1">
        <v>7</v>
      </c>
      <c r="DX2" s="1">
        <v>10</v>
      </c>
      <c r="DZ2" cm="1">
        <f t="array" ref="DZ2:EC2">_xlfn.ANCHORARRAY($E2)</f>
        <v>1</v>
      </c>
      <c r="EA2" s="1">
        <v>4</v>
      </c>
      <c r="EB2" s="1">
        <v>7</v>
      </c>
      <c r="EC2" s="1">
        <v>10</v>
      </c>
      <c r="EE2" cm="1">
        <f t="array" ref="EE2:EH2">_xlfn.ANCHORARRAY($J2)</f>
        <v>1</v>
      </c>
      <c r="EF2" s="1">
        <v>4</v>
      </c>
      <c r="EG2" s="1">
        <v>7</v>
      </c>
      <c r="EH2" s="1">
        <v>10</v>
      </c>
      <c r="EJ2" cm="1">
        <f t="array" ref="EJ2:EM2">_xlfn.ANCHORARRAY($J2)</f>
        <v>1</v>
      </c>
      <c r="EK2" s="1">
        <v>4</v>
      </c>
      <c r="EL2" s="1">
        <v>7</v>
      </c>
      <c r="EM2" s="1">
        <v>10</v>
      </c>
      <c r="EO2" cm="1">
        <f t="array" ref="EO2:ER2">_xlfn.ANCHORARRAY($J2)</f>
        <v>1</v>
      </c>
      <c r="EP2" s="1">
        <v>4</v>
      </c>
      <c r="EQ2" s="1">
        <v>7</v>
      </c>
      <c r="ER2" s="1">
        <v>10</v>
      </c>
      <c r="ET2" cm="1">
        <f t="array" ref="ET2:EW2">_xlfn.ANCHORARRAY($J2)</f>
        <v>1</v>
      </c>
      <c r="EU2" s="1">
        <v>4</v>
      </c>
      <c r="EV2" s="1">
        <v>7</v>
      </c>
      <c r="EW2" s="1">
        <v>10</v>
      </c>
      <c r="EY2" cm="1">
        <f t="array" ref="EY2:FB2">_xlfn.ANCHORARRAY($J2)</f>
        <v>1</v>
      </c>
      <c r="EZ2" s="1">
        <v>4</v>
      </c>
      <c r="FA2" s="1">
        <v>7</v>
      </c>
      <c r="FB2" s="1">
        <v>10</v>
      </c>
    </row>
    <row r="3" spans="1:158" x14ac:dyDescent="0.25">
      <c r="B3" s="85" t="s">
        <v>61</v>
      </c>
      <c r="C3" s="85" t="s">
        <v>63</v>
      </c>
      <c r="D3" s="85" t="s">
        <v>62</v>
      </c>
      <c r="E3" s="85" cm="1">
        <f t="array" ref="E3:G3">_xlfn.SEQUENCE(1,3,2026)</f>
        <v>2026</v>
      </c>
      <c r="F3" s="85">
        <v>2027</v>
      </c>
      <c r="G3" s="85">
        <v>2028</v>
      </c>
      <c r="H3" s="85"/>
      <c r="J3" s="85" cm="1">
        <f t="array" ref="J3:L3">_xlfn.ANCHORARRAY($E3)</f>
        <v>2026</v>
      </c>
      <c r="K3" s="85">
        <v>2027</v>
      </c>
      <c r="L3" s="85">
        <v>2028</v>
      </c>
      <c r="M3" s="85"/>
      <c r="O3" s="85" cm="1">
        <f t="array" ref="O3:Q3">_xlfn.ANCHORARRAY($E3)</f>
        <v>2026</v>
      </c>
      <c r="P3" s="85">
        <v>2027</v>
      </c>
      <c r="Q3" s="85">
        <v>2028</v>
      </c>
      <c r="R3" s="85"/>
      <c r="T3" s="85" cm="1">
        <f t="array" ref="T3:V3">_xlfn.ANCHORARRAY($E3)</f>
        <v>2026</v>
      </c>
      <c r="U3" s="85">
        <v>2027</v>
      </c>
      <c r="V3" s="85">
        <v>2028</v>
      </c>
      <c r="W3" s="85"/>
      <c r="Y3" s="85" cm="1">
        <f t="array" ref="Y3:AA3">_xlfn.ANCHORARRAY($E3)</f>
        <v>2026</v>
      </c>
      <c r="Z3" s="85">
        <v>2027</v>
      </c>
      <c r="AA3" s="85">
        <v>2028</v>
      </c>
      <c r="AB3" s="85"/>
      <c r="AD3" s="85" cm="1">
        <f t="array" ref="AD3:AF3">_xlfn.ANCHORARRAY($E3)</f>
        <v>2026</v>
      </c>
      <c r="AE3" s="85">
        <v>2027</v>
      </c>
      <c r="AF3" s="85">
        <v>2028</v>
      </c>
      <c r="AG3" s="85"/>
      <c r="AI3" s="85" cm="1">
        <f t="array" ref="AI3:AK3">_xlfn.ANCHORARRAY($E3)</f>
        <v>2026</v>
      </c>
      <c r="AJ3" s="85">
        <v>2027</v>
      </c>
      <c r="AK3" s="85">
        <v>2028</v>
      </c>
      <c r="AL3" s="85"/>
      <c r="AN3" s="85" cm="1">
        <f t="array" ref="AN3:AP3">_xlfn.ANCHORARRAY($E3)</f>
        <v>2026</v>
      </c>
      <c r="AO3" s="85">
        <v>2027</v>
      </c>
      <c r="AP3" s="85">
        <v>2028</v>
      </c>
      <c r="AQ3" s="85"/>
      <c r="AS3" s="85" cm="1">
        <f t="array" ref="AS3:AU3">_xlfn.ANCHORARRAY($E3)</f>
        <v>2026</v>
      </c>
      <c r="AT3" s="85">
        <v>2027</v>
      </c>
      <c r="AU3" s="85">
        <v>2028</v>
      </c>
      <c r="AV3" s="85"/>
      <c r="AX3" s="85" cm="1">
        <f t="array" ref="AX3:AZ3">_xlfn.ANCHORARRAY($E3)</f>
        <v>2026</v>
      </c>
      <c r="AY3" s="85">
        <v>2027</v>
      </c>
      <c r="AZ3" s="85">
        <v>2028</v>
      </c>
      <c r="BA3" s="85"/>
      <c r="BC3" s="85" cm="1">
        <f t="array" ref="BC3:BE3">_xlfn.ANCHORARRAY($E3)</f>
        <v>2026</v>
      </c>
      <c r="BD3" s="85">
        <v>2027</v>
      </c>
      <c r="BE3" s="85">
        <v>2028</v>
      </c>
      <c r="BF3" s="85"/>
      <c r="BH3" s="85" cm="1">
        <f t="array" ref="BH3:BJ3">_xlfn.ANCHORARRAY($E3)</f>
        <v>2026</v>
      </c>
      <c r="BI3" s="85">
        <v>2027</v>
      </c>
      <c r="BJ3" s="85">
        <v>2028</v>
      </c>
      <c r="BK3" s="85"/>
      <c r="BM3" s="85" cm="1">
        <f t="array" ref="BM3:BO3">_xlfn.ANCHORARRAY($E3)</f>
        <v>2026</v>
      </c>
      <c r="BN3" s="85">
        <v>2027</v>
      </c>
      <c r="BO3" s="85">
        <v>2028</v>
      </c>
      <c r="BP3" s="85"/>
      <c r="BR3" s="85" cm="1">
        <f t="array" ref="BR3:BT3">_xlfn.ANCHORARRAY($E3)</f>
        <v>2026</v>
      </c>
      <c r="BS3" s="85">
        <v>2027</v>
      </c>
      <c r="BT3" s="85">
        <v>2028</v>
      </c>
      <c r="BV3" s="85" cm="1">
        <f t="array" ref="BV3:BX3">_xlfn.ANCHORARRAY($E3)</f>
        <v>2026</v>
      </c>
      <c r="BW3" s="85">
        <v>2027</v>
      </c>
      <c r="BX3" s="85">
        <v>2028</v>
      </c>
      <c r="BY3" s="85"/>
      <c r="CA3" s="85" cm="1">
        <f t="array" ref="CA3:CC3">_xlfn.ANCHORARRAY($E3)</f>
        <v>2026</v>
      </c>
      <c r="CB3" s="85">
        <v>2027</v>
      </c>
      <c r="CC3" s="85">
        <v>2028</v>
      </c>
      <c r="CE3" s="85" cm="1">
        <f t="array" ref="CE3:CG3">_xlfn.ANCHORARRAY($E3)</f>
        <v>2026</v>
      </c>
      <c r="CF3" s="85">
        <v>2027</v>
      </c>
      <c r="CG3" s="85">
        <v>2028</v>
      </c>
      <c r="CI3" s="85" cm="1">
        <f t="array" ref="CI3:CK3">_xlfn.ANCHORARRAY($E3)</f>
        <v>2026</v>
      </c>
      <c r="CJ3" s="85">
        <v>2027</v>
      </c>
      <c r="CK3" s="85">
        <v>2028</v>
      </c>
      <c r="CM3" s="85" cm="1">
        <f t="array" ref="CM3:CO3">_xlfn.ANCHORARRAY($E3)</f>
        <v>2026</v>
      </c>
      <c r="CN3" s="85">
        <v>2027</v>
      </c>
      <c r="CO3" s="85">
        <v>2028</v>
      </c>
      <c r="CQ3" s="85" cm="1">
        <f t="array" ref="CQ3:CS3">_xlfn.ANCHORARRAY($E3)</f>
        <v>2026</v>
      </c>
      <c r="CR3" s="85">
        <v>2027</v>
      </c>
      <c r="CS3" s="85">
        <v>2028</v>
      </c>
      <c r="CU3" s="85" cm="1">
        <f t="array" ref="CU3:CW3">_xlfn.ANCHORARRAY($E3)</f>
        <v>2026</v>
      </c>
      <c r="CV3" s="85">
        <v>2027</v>
      </c>
      <c r="CW3" s="85">
        <v>2028</v>
      </c>
      <c r="CY3" s="85" cm="1">
        <f t="array" ref="CY3:DA3">_xlfn.ANCHORARRAY($E3)</f>
        <v>2026</v>
      </c>
      <c r="CZ3" s="85">
        <v>2027</v>
      </c>
      <c r="DA3" s="85">
        <v>2028</v>
      </c>
      <c r="DC3" s="85" cm="1">
        <f t="array" ref="DC3:DE3">_xlfn.ANCHORARRAY($E3)</f>
        <v>2026</v>
      </c>
      <c r="DD3" s="85">
        <v>2027</v>
      </c>
      <c r="DE3" s="85">
        <v>2028</v>
      </c>
      <c r="DG3" s="85" cm="1">
        <f t="array" ref="DG3:DI3">_xlfn.ANCHORARRAY($E3)</f>
        <v>2026</v>
      </c>
      <c r="DH3" s="85">
        <v>2027</v>
      </c>
      <c r="DI3" s="85">
        <v>2028</v>
      </c>
      <c r="DJ3" s="85"/>
      <c r="DL3" s="85" cm="1">
        <f t="array" ref="DL3:DN3">_xlfn.ANCHORARRAY($E3)</f>
        <v>2026</v>
      </c>
      <c r="DM3" s="85">
        <v>2027</v>
      </c>
      <c r="DN3" s="85">
        <v>2028</v>
      </c>
      <c r="DP3" s="85" cm="1">
        <f t="array" ref="DP3:DR3">_xlfn.ANCHORARRAY($E3)</f>
        <v>2026</v>
      </c>
      <c r="DQ3" s="85">
        <v>2027</v>
      </c>
      <c r="DR3" s="85">
        <v>2028</v>
      </c>
      <c r="DS3" s="85"/>
      <c r="DU3" s="85" cm="1">
        <f t="array" ref="DU3:DW3">_xlfn.ANCHORARRAY($E3)</f>
        <v>2026</v>
      </c>
      <c r="DV3" s="85">
        <v>2027</v>
      </c>
      <c r="DW3" s="85">
        <v>2028</v>
      </c>
      <c r="DX3" s="85"/>
      <c r="DZ3" s="85" cm="1">
        <f t="array" ref="DZ3:EB3">_xlfn.ANCHORARRAY($E3)</f>
        <v>2026</v>
      </c>
      <c r="EA3" s="85">
        <v>2027</v>
      </c>
      <c r="EB3" s="85">
        <v>2028</v>
      </c>
      <c r="EC3" s="85"/>
      <c r="EE3" s="85" cm="1">
        <f t="array" ref="EE3:EG3">_xlfn.ANCHORARRAY($J3)</f>
        <v>2026</v>
      </c>
      <c r="EF3" s="85">
        <v>2027</v>
      </c>
      <c r="EG3" s="85">
        <v>2028</v>
      </c>
      <c r="EH3" s="85"/>
      <c r="EJ3" s="85" cm="1">
        <f t="array" ref="EJ3:EL3">_xlfn.ANCHORARRAY($J3)</f>
        <v>2026</v>
      </c>
      <c r="EK3" s="85">
        <v>2027</v>
      </c>
      <c r="EL3" s="85">
        <v>2028</v>
      </c>
      <c r="EM3" s="85"/>
      <c r="EO3" s="85" cm="1">
        <f t="array" ref="EO3:EQ3">_xlfn.ANCHORARRAY($J3)</f>
        <v>2026</v>
      </c>
      <c r="EP3" s="85">
        <v>2027</v>
      </c>
      <c r="EQ3" s="85">
        <v>2028</v>
      </c>
      <c r="ER3" s="85"/>
      <c r="ET3" s="85" cm="1">
        <f t="array" ref="ET3:EV3">_xlfn.ANCHORARRAY($J3)</f>
        <v>2026</v>
      </c>
      <c r="EU3" s="85">
        <v>2027</v>
      </c>
      <c r="EV3" s="85">
        <v>2028</v>
      </c>
      <c r="EW3" s="85"/>
      <c r="EY3" s="85" cm="1">
        <f t="array" ref="EY3:FA3">_xlfn.ANCHORARRAY($J3)</f>
        <v>2026</v>
      </c>
      <c r="EZ3" s="85">
        <v>2027</v>
      </c>
      <c r="FA3" s="85">
        <v>2028</v>
      </c>
      <c r="FB3" s="85"/>
    </row>
    <row r="4" spans="1:158" x14ac:dyDescent="0.25">
      <c r="A4" s="117"/>
      <c r="B4" t="str" cm="1">
        <f t="array" ref="B4:B55">_xlfn.XLOOKUP(_xlfn.ANCHORARRAY(D4),{"M&amp;A","New Jersey","Arizona","Maryland","North Carolina"},{"JV1","JV1","JV2","JV2","JV2"},0,0)</f>
        <v>JV1</v>
      </c>
      <c r="C4" t="str" cm="1">
        <f t="array" ref="C4:C55">_xlfn.VSTACK('MS:NCA9'!$C$1)</f>
        <v>M&amp;A</v>
      </c>
      <c r="D4" t="str" cm="1">
        <f t="array" ref="D4:D55">_xlfn.VSTACK('MS:NCA9'!$B$2)</f>
        <v>M&amp;A</v>
      </c>
      <c r="E4" s="53" cm="1">
        <f t="array" ref="E4:H55">_xlfn.LET(_xlpm.bill_hours,_xlfn.VSTACK('MS:NCA9'!$E$23:$AN$23),_xlfn.HSTACK(
_xlfn.BYROW(_xlpm.bill_hours,_xlfn.LAMBDA(_xlpm.row,SUM(_xlfn.CHOOSECOLS(_xlpm.row,_xlfn.SEQUENCE(3,1,E$2))))),
_xlfn.BYROW(_xlpm.bill_hours,_xlfn.LAMBDA(_xlpm.row,SUM(_xlfn.CHOOSECOLS(_xlpm.row,_xlfn.SEQUENCE(3,1,F$2))))),
_xlfn.BYROW(_xlpm.bill_hours,_xlfn.LAMBDA(_xlpm.row,SUM(_xlfn.CHOOSECOLS(_xlpm.row,_xlfn.SEQUENCE(3,1,G$2))))),
_xlfn.BYROW(_xlpm.bill_hours,_xlfn.LAMBDA(_xlpm.row,SUM(_xlfn.CHOOSECOLS(_xlpm.row,_xlfn.SEQUENCE(3,1,H$2)))))))</f>
        <v>21889.706666666665</v>
      </c>
      <c r="F4" s="53">
        <v>54724.266666666663</v>
      </c>
      <c r="G4" s="53">
        <v>66908.160000000003</v>
      </c>
      <c r="H4" s="53">
        <v>68766.720000000001</v>
      </c>
      <c r="J4" s="53" cm="1">
        <f t="array" ref="J4:M55">_xlfn.ANCHORARRAY(Y4)+_xlfn.ANCHORARRAY(AD4)+_xlfn.ANCHORARRAY(AI4)+_xlfn.ANCHORARRAY(AN4)+_xlfn.ANCHORARRAY(AS4)</f>
        <v>3962649.586666666</v>
      </c>
      <c r="K4" s="53">
        <v>9906623.9666666649</v>
      </c>
      <c r="L4" s="53">
        <v>12112249.679999998</v>
      </c>
      <c r="M4" s="53">
        <v>12448701.059999997</v>
      </c>
      <c r="O4" s="53" cm="1">
        <f t="array" ref="O4:R55">_xlfn.LET(_xlpm.bill_hours,_xlfn.VSTACK('MS:NCA9'!$E$37:$AN$37),_xlfn.HSTACK(
_xlfn.BYROW(_xlpm.bill_hours,_xlfn.LAMBDA(_xlpm.row,SUM(_xlfn.CHOOSECOLS(_xlpm.row,_xlfn.SEQUENCE(3,1,O$2))))),
_xlfn.BYROW(_xlpm.bill_hours,_xlfn.LAMBDA(_xlpm.row,SUM(_xlfn.CHOOSECOLS(_xlpm.row,_xlfn.SEQUENCE(3,1,P$2))))),
_xlfn.BYROW(_xlpm.bill_hours,_xlfn.LAMBDA(_xlpm.row,SUM(_xlfn.CHOOSECOLS(_xlpm.row,_xlfn.SEQUENCE(3,1,Q$2))))),
_xlfn.BYROW(_xlpm.bill_hours,_xlfn.LAMBDA(_xlpm.row,SUM(_xlfn.CHOOSECOLS(_xlpm.row,_xlfn.SEQUENCE(3,1,R$2)))))))</f>
        <v>3487131.6362666665</v>
      </c>
      <c r="P4" s="53">
        <v>8717829.0906666666</v>
      </c>
      <c r="Q4" s="53">
        <v>10658779.718399998</v>
      </c>
      <c r="R4" s="53">
        <v>10954856.932799999</v>
      </c>
      <c r="T4" s="53" cm="1">
        <f t="array" ref="T4:W55">_xlfn.LET(_xlpm.bill_hours,_xlfn.VSTACK('MS:NCA9'!$E$35:$AN$35),_xlfn.HSTACK(
_xlfn.BYROW(_xlpm.bill_hours,_xlfn.LAMBDA(_xlpm.row,SUM(_xlfn.CHOOSECOLS(_xlpm.row,_xlfn.SEQUENCE(3,1,T$2))))),
_xlfn.BYROW(_xlpm.bill_hours,_xlfn.LAMBDA(_xlpm.row,SUM(_xlfn.CHOOSECOLS(_xlpm.row,_xlfn.SEQUENCE(3,1,U$2))))),
_xlfn.BYROW(_xlpm.bill_hours,_xlfn.LAMBDA(_xlpm.row,SUM(_xlfn.CHOOSECOLS(_xlpm.row,_xlfn.SEQUENCE(3,1,V$2))))),
_xlfn.BYROW(_xlpm.bill_hours,_xlfn.LAMBDA(_xlpm.row,SUM(_xlfn.CHOOSECOLS(_xlpm.row,_xlfn.SEQUENCE(3,1,W$2)))))))</f>
        <v>-475517.95039999997</v>
      </c>
      <c r="U4" s="53">
        <v>-1188794.8759999997</v>
      </c>
      <c r="V4" s="53">
        <v>-1453469.9615999996</v>
      </c>
      <c r="W4" s="53">
        <v>-1493844.1272</v>
      </c>
      <c r="Y4" s="53" cm="1">
        <f t="array" ref="Y4:AB55">_xlfn.LET(_xlpm.bill_hours,_xlfn.VSTACK('MS:NCA9'!$E$26:$AN$26),_xlfn.HSTACK(
_xlfn.BYROW(_xlpm.bill_hours,_xlfn.LAMBDA(_xlpm.row,SUM(_xlfn.CHOOSECOLS(_xlpm.row,_xlfn.SEQUENCE(3,1,Y$2))))),
_xlfn.BYROW(_xlpm.bill_hours,_xlfn.LAMBDA(_xlpm.row,SUM(_xlfn.CHOOSECOLS(_xlpm.row,_xlfn.SEQUENCE(3,1,Z$2))))),
_xlfn.BYROW(_xlpm.bill_hours,_xlfn.LAMBDA(_xlpm.row,SUM(_xlfn.CHOOSECOLS(_xlpm.row,_xlfn.SEQUENCE(3,1,AA$2))))),
_xlfn.BYROW(_xlpm.bill_hours,_xlfn.LAMBDA(_xlpm.row,SUM(_xlfn.CHOOSECOLS(_xlpm.row,_xlfn.SEQUENCE(3,1,AB$2)))))))</f>
        <v>3356605.8933333326</v>
      </c>
      <c r="Z4" s="53">
        <v>8391514.7333333325</v>
      </c>
      <c r="AA4" s="53">
        <v>10259814.239999998</v>
      </c>
      <c r="AB4" s="53">
        <v>10544809.079999998</v>
      </c>
      <c r="AD4" s="53" cm="1">
        <f t="array" ref="AD4:AG55">_xlfn.LET(_xlpm.bill_hours,_xlfn.VSTACK('MS:NCA9'!$E$27:$AN$27),_xlfn.HSTACK(
_xlfn.BYROW(_xlpm.bill_hours,_xlfn.LAMBDA(_xlpm.row,SUM(_xlfn.CHOOSECOLS(_xlpm.row,_xlfn.SEQUENCE(3,1,AD$2))))),
_xlfn.BYROW(_xlpm.bill_hours,_xlfn.LAMBDA(_xlpm.row,SUM(_xlfn.CHOOSECOLS(_xlpm.row,_xlfn.SEQUENCE(3,1,AE$2))))),
_xlfn.BYROW(_xlpm.bill_hours,_xlfn.LAMBDA(_xlpm.row,SUM(_xlfn.CHOOSECOLS(_xlpm.row,_xlfn.SEQUENCE(3,1,AF$2))))),
_xlfn.BYROW(_xlpm.bill_hours,_xlfn.LAMBDA(_xlpm.row,SUM(_xlfn.CHOOSECOLS(_xlpm.row,_xlfn.SEQUENCE(3,1,AG$2)))))))</f>
        <v>0</v>
      </c>
      <c r="AE4" s="53">
        <v>0</v>
      </c>
      <c r="AF4" s="53">
        <v>0</v>
      </c>
      <c r="AG4" s="53">
        <v>0</v>
      </c>
      <c r="AI4" s="53" cm="1">
        <f t="array" ref="AI4:AL55">_xlfn.LET(_xlpm.bill_hours,_xlfn.VSTACK('MS:NCA9'!$E$28:$AN$28),_xlfn.HSTACK(
_xlfn.BYROW(_xlpm.bill_hours,_xlfn.LAMBDA(_xlpm.row,SUM(_xlfn.CHOOSECOLS(_xlpm.row,_xlfn.SEQUENCE(3,1,AI$2))))),
_xlfn.BYROW(_xlpm.bill_hours,_xlfn.LAMBDA(_xlpm.row,SUM(_xlfn.CHOOSECOLS(_xlpm.row,_xlfn.SEQUENCE(3,1,AJ$2))))),
_xlfn.BYROW(_xlpm.bill_hours,_xlfn.LAMBDA(_xlpm.row,SUM(_xlfn.CHOOSECOLS(_xlpm.row,_xlfn.SEQUENCE(3,1,AK$2))))),
_xlfn.BYROW(_xlpm.bill_hours,_xlfn.LAMBDA(_xlpm.row,SUM(_xlfn.CHOOSECOLS(_xlpm.row,_xlfn.SEQUENCE(3,1,AL$2)))))))</f>
        <v>447403.52799999993</v>
      </c>
      <c r="AJ4" s="53">
        <v>1118508.8199999996</v>
      </c>
      <c r="AK4" s="53">
        <v>1367535.3119999995</v>
      </c>
      <c r="AL4" s="53">
        <v>1405522.4039999996</v>
      </c>
      <c r="AN4" s="53" cm="1">
        <f t="array" ref="AN4:AQ55">_xlfn.LET(_xlpm.bill_hours,_xlfn.VSTACK('MS:NCA9'!$E$29:$AN$29),_xlfn.HSTACK(
_xlfn.BYROW(_xlpm.bill_hours,_xlfn.LAMBDA(_xlpm.row,SUM(_xlfn.CHOOSECOLS(_xlpm.row,_xlfn.SEQUENCE(3,1,AN$2))))),
_xlfn.BYROW(_xlpm.bill_hours,_xlfn.LAMBDA(_xlpm.row,SUM(_xlfn.CHOOSECOLS(_xlpm.row,_xlfn.SEQUENCE(3,1,AO$2))))),
_xlfn.BYROW(_xlpm.bill_hours,_xlfn.LAMBDA(_xlpm.row,SUM(_xlfn.CHOOSECOLS(_xlpm.row,_xlfn.SEQUENCE(3,1,AP$2))))),
_xlfn.BYROW(_xlpm.bill_hours,_xlfn.LAMBDA(_xlpm.row,SUM(_xlfn.CHOOSECOLS(_xlpm.row,_xlfn.SEQUENCE(3,1,AQ$2)))))))</f>
        <v>68831.312000000005</v>
      </c>
      <c r="AO4" s="53">
        <v>172078.27999999997</v>
      </c>
      <c r="AP4" s="53">
        <v>210390.04799999998</v>
      </c>
      <c r="AQ4" s="53">
        <v>216234.21600000001</v>
      </c>
      <c r="AS4" s="53" cm="1">
        <f t="array" ref="AS4:AV55">_xlfn.LET(_xlpm.bill_hours,_xlfn.VSTACK('MS:NCA9'!$E$30:$AN$30),_xlfn.HSTACK(
_xlfn.BYROW(_xlpm.bill_hours,_xlfn.LAMBDA(_xlpm.row,SUM(_xlfn.CHOOSECOLS(_xlpm.row,_xlfn.SEQUENCE(3,1,AS$2))))),
_xlfn.BYROW(_xlpm.bill_hours,_xlfn.LAMBDA(_xlpm.row,SUM(_xlfn.CHOOSECOLS(_xlpm.row,_xlfn.SEQUENCE(3,1,AT$2))))),
_xlfn.BYROW(_xlpm.bill_hours,_xlfn.LAMBDA(_xlpm.row,SUM(_xlfn.CHOOSECOLS(_xlpm.row,_xlfn.SEQUENCE(3,1,AU$2))))),
_xlfn.BYROW(_xlpm.bill_hours,_xlfn.LAMBDA(_xlpm.row,SUM(_xlfn.CHOOSECOLS(_xlpm.row,_xlfn.SEQUENCE(3,1,AV$2)))))))</f>
        <v>89808.853333333333</v>
      </c>
      <c r="AT4" s="53">
        <v>224522.1333333333</v>
      </c>
      <c r="AU4" s="53">
        <v>274510.07999999996</v>
      </c>
      <c r="AV4" s="53">
        <v>282135.36</v>
      </c>
      <c r="AX4" s="53" cm="1">
        <f t="array" ref="AX4:BA55">_xlfn.LET(_xlpm.bill_hours,_xlfn.VSTACK('MS:NCA9'!$E$31:$AN$31),_xlfn.HSTACK(
_xlfn.BYROW(_xlpm.bill_hours,_xlfn.LAMBDA(_xlpm.row,SUM(_xlfn.CHOOSECOLS(_xlpm.row,_xlfn.SEQUENCE(3,1,AX$2))))),
_xlfn.BYROW(_xlpm.bill_hours,_xlfn.LAMBDA(_xlpm.row,SUM(_xlfn.CHOOSECOLS(_xlpm.row,_xlfn.SEQUENCE(3,1,AY$2))))),
_xlfn.BYROW(_xlpm.bill_hours,_xlfn.LAMBDA(_xlpm.row,SUM(_xlfn.CHOOSECOLS(_xlpm.row,_xlfn.SEQUENCE(3,1,AZ$2))))),
_xlfn.BYROW(_xlpm.bill_hours,_xlfn.LAMBDA(_xlpm.row,SUM(_xlfn.CHOOSECOLS(_xlpm.row,_xlfn.SEQUENCE(3,1,BA$2)))))))</f>
        <v>0</v>
      </c>
      <c r="AY4" s="53">
        <v>0</v>
      </c>
      <c r="AZ4" s="53">
        <v>0</v>
      </c>
      <c r="BA4" s="53">
        <v>0</v>
      </c>
      <c r="BC4" s="53" cm="1">
        <f t="array" ref="BC4:BF55">_xlfn.LET(_xlpm.bill_hours,_xlfn.VSTACK('MS:NCA9'!$E$63:$AN$63)+_xlfn.VSTACK('MS:NCA9'!$E$64:$AN$64),_xlfn.HSTACK(
_xlfn.BYROW(_xlpm.bill_hours,_xlfn.LAMBDA(_xlpm.row,SUM(_xlfn.CHOOSECOLS(_xlpm.row,_xlfn.SEQUENCE(3,1,BC$2))))),
_xlfn.BYROW(_xlpm.bill_hours,_xlfn.LAMBDA(_xlpm.row,SUM(_xlfn.CHOOSECOLS(_xlpm.row,_xlfn.SEQUENCE(3,1,BD$2))))),
_xlfn.BYROW(_xlpm.bill_hours,_xlfn.LAMBDA(_xlpm.row,SUM(_xlfn.CHOOSECOLS(_xlpm.row,_xlfn.SEQUENCE(3,1,BE$2))))),
_xlfn.BYROW(_xlpm.bill_hours,_xlfn.LAMBDA(_xlpm.row,SUM(_xlfn.CHOOSECOLS(_xlpm.row,_xlfn.SEQUENCE(3,1,BF$2)))))))</f>
        <v>0</v>
      </c>
      <c r="BD4" s="53">
        <v>0</v>
      </c>
      <c r="BE4" s="53">
        <v>0</v>
      </c>
      <c r="BF4" s="53">
        <v>0</v>
      </c>
      <c r="BH4" s="53" cm="1">
        <f t="array" ref="BH4:BK55">_xlfn.LET(_xlpm.bill_hours,_xlfn.VSTACK('MS:NCA9'!$E$33:$AN$33),_xlfn.HSTACK(
_xlfn.BYROW(_xlpm.bill_hours,_xlfn.LAMBDA(_xlpm.row,SUM(_xlfn.CHOOSECOLS(_xlpm.row,_xlfn.SEQUENCE(3,1,BH$2))))),
_xlfn.BYROW(_xlpm.bill_hours,_xlfn.LAMBDA(_xlpm.row,SUM(_xlfn.CHOOSECOLS(_xlpm.row,_xlfn.SEQUENCE(3,1,BI$2))))),
_xlfn.BYROW(_xlpm.bill_hours,_xlfn.LAMBDA(_xlpm.row,SUM(_xlfn.CHOOSECOLS(_xlpm.row,_xlfn.SEQUENCE(3,1,BJ$2))))),
_xlfn.BYROW(_xlpm.bill_hours,_xlfn.LAMBDA(_xlpm.row,SUM(_xlfn.CHOOSECOLS(_xlpm.row,_xlfn.SEQUENCE(3,1,BK$2)))))))</f>
        <v>0</v>
      </c>
      <c r="BI4" s="53">
        <v>0</v>
      </c>
      <c r="BJ4" s="53">
        <v>0</v>
      </c>
      <c r="BK4" s="53">
        <v>0</v>
      </c>
      <c r="BM4" s="53" cm="1">
        <f t="array" ref="BM4:BP55">_xlfn.LET(_xlpm.bill_hours,_xlfn.VSTACK('MS:NCA9'!$E$65:$AN$65),_xlfn.HSTACK(
_xlfn.BYROW(_xlpm.bill_hours,_xlfn.LAMBDA(_xlpm.row,SUM(_xlfn.CHOOSECOLS(_xlpm.row,_xlfn.SEQUENCE(3,1,BM$2))))),
_xlfn.BYROW(_xlpm.bill_hours,_xlfn.LAMBDA(_xlpm.row,SUM(_xlfn.CHOOSECOLS(_xlpm.row,_xlfn.SEQUENCE(3,1,BN$2))))),
_xlfn.BYROW(_xlpm.bill_hours,_xlfn.LAMBDA(_xlpm.row,SUM(_xlfn.CHOOSECOLS(_xlpm.row,_xlfn.SEQUENCE(3,1,BO$2))))),
_xlfn.BYROW(_xlpm.bill_hours,_xlfn.LAMBDA(_xlpm.row,SUM(_xlfn.CHOOSECOLS(_xlpm.row,_xlfn.SEQUENCE(3,1,BP$2)))))))</f>
        <v>0</v>
      </c>
      <c r="BN4" s="53">
        <v>0</v>
      </c>
      <c r="BO4" s="53">
        <v>0</v>
      </c>
      <c r="BP4" s="53">
        <v>0</v>
      </c>
      <c r="BR4" s="53" cm="1">
        <f t="array" ref="BR4:BT55">_xlfn.LET(_xlpm.bill_hours,_xlfn.VSTACK('MS:NCA9'!$E$36:$AN$36),_xlfn.HSTACK(
_xlfn.BYROW(_xlpm.bill_hours,_xlfn.LAMBDA(_xlpm.row,SUM(_xlfn.CHOOSECOLS(_xlpm.row,_xlfn.SEQUENCE(12,1,BR$2))))),
_xlfn.BYROW(_xlpm.bill_hours,_xlfn.LAMBDA(_xlpm.row,SUM(_xlfn.CHOOSECOLS(_xlpm.row,_xlfn.SEQUENCE(12,1,BS$2))))),
_xlfn.BYROW(_xlpm.bill_hours,_xlfn.LAMBDA(_xlpm.row,SUM(_xlfn.CHOOSECOLS(_xlpm.row,_xlfn.SEQUENCE(12,1,BT$2)))))))</f>
        <v>0</v>
      </c>
      <c r="BS4" s="53">
        <v>0</v>
      </c>
      <c r="BT4" s="53">
        <v>0</v>
      </c>
      <c r="BV4" s="53" cm="1">
        <f t="array" ref="BV4:BY55">_xlfn.LET(_xlpm.bill_hours,_xlfn.VSTACK('MS:NCA9'!$E$40:$AN$40),_xlfn.HSTACK(
_xlfn.BYROW(_xlpm.bill_hours,_xlfn.LAMBDA(_xlpm.row,SUM(_xlfn.CHOOSECOLS(_xlpm.row,_xlfn.SEQUENCE(3,1,BV$2))))),
_xlfn.BYROW(_xlpm.bill_hours,_xlfn.LAMBDA(_xlpm.row,SUM(_xlfn.CHOOSECOLS(_xlpm.row,_xlfn.SEQUENCE(3,1,BW$2))))),
_xlfn.BYROW(_xlpm.bill_hours,_xlfn.LAMBDA(_xlpm.row,SUM(_xlfn.CHOOSECOLS(_xlpm.row,_xlfn.SEQUENCE(3,1,BX$2))))),
_xlfn.BYROW(_xlpm.bill_hours,_xlfn.LAMBDA(_xlpm.row,SUM(_xlfn.CHOOSECOLS(_xlpm.row,_xlfn.SEQUENCE(3,1,BY$2)))))))</f>
        <v>29000</v>
      </c>
      <c r="BW4" s="53">
        <v>29000</v>
      </c>
      <c r="BX4" s="53">
        <v>29000</v>
      </c>
      <c r="BY4" s="53">
        <v>29000</v>
      </c>
      <c r="CA4" s="53" cm="1">
        <f t="array" ref="CA4:CC55">_xlfn.LET(_xlpm.bill_hours,_xlfn.VSTACK('MS:NCA9'!$E$42:$AN$42),_xlfn.HSTACK(
_xlfn.BYROW(_xlpm.bill_hours,_xlfn.LAMBDA(_xlpm.row,SUM(_xlfn.CHOOSECOLS(_xlpm.row,_xlfn.SEQUENCE(12,1,CA$2))))),
_xlfn.BYROW(_xlpm.bill_hours,_xlfn.LAMBDA(_xlpm.row,SUM(_xlfn.CHOOSECOLS(_xlpm.row,_xlfn.SEQUENCE(12,1,CB$2))))),
_xlfn.BYROW(_xlpm.bill_hours,_xlfn.LAMBDA(_xlpm.row,SUM(_xlfn.CHOOSECOLS(_xlpm.row,_xlfn.SEQUENCE(12,1,CC$2)))))))</f>
        <v>0</v>
      </c>
      <c r="CB4" s="53">
        <v>0</v>
      </c>
      <c r="CC4" s="53">
        <v>0</v>
      </c>
      <c r="CE4" s="53" cm="1">
        <f t="array" ref="CE4:CG55">_xlfn.LET(_xlpm.bill_hours,_xlfn.VSTACK('MS:NCA9'!$E$43:$AN$43),_xlfn.HSTACK(
_xlfn.BYROW(_xlpm.bill_hours,_xlfn.LAMBDA(_xlpm.row,SUM(_xlfn.CHOOSECOLS(_xlpm.row,_xlfn.SEQUENCE(12,1,CE$2))))),
_xlfn.BYROW(_xlpm.bill_hours,_xlfn.LAMBDA(_xlpm.row,SUM(_xlfn.CHOOSECOLS(_xlpm.row,_xlfn.SEQUENCE(12,1,CF$2))))),
_xlfn.BYROW(_xlpm.bill_hours,_xlfn.LAMBDA(_xlpm.row,SUM(_xlfn.CHOOSECOLS(_xlpm.row,_xlfn.SEQUENCE(12,1,CG$2)))))))</f>
        <v>0</v>
      </c>
      <c r="CF4" s="53">
        <v>0</v>
      </c>
      <c r="CG4" s="53">
        <v>0</v>
      </c>
      <c r="CI4" s="53" cm="1">
        <f t="array" ref="CI4:CK55">_xlfn.LET(_xlpm.bill_hours,_xlfn.VSTACK('MS:NCA9'!$E$44:$AN$44),_xlfn.HSTACK(
_xlfn.BYROW(_xlpm.bill_hours,_xlfn.LAMBDA(_xlpm.row,SUM(_xlfn.CHOOSECOLS(_xlpm.row,_xlfn.SEQUENCE(12,1,CI$2))))),
_xlfn.BYROW(_xlpm.bill_hours,_xlfn.LAMBDA(_xlpm.row,SUM(_xlfn.CHOOSECOLS(_xlpm.row,_xlfn.SEQUENCE(12,1,CJ$2))))),
_xlfn.BYROW(_xlpm.bill_hours,_xlfn.LAMBDA(_xlpm.row,SUM(_xlfn.CHOOSECOLS(_xlpm.row,_xlfn.SEQUENCE(12,1,CK$2)))))))</f>
        <v>0</v>
      </c>
      <c r="CJ4" s="53">
        <v>0</v>
      </c>
      <c r="CK4" s="53">
        <v>0</v>
      </c>
      <c r="CM4" s="53" cm="1">
        <f t="array" ref="CM4:CO55">_xlfn.LET(_xlpm.bill_hours,_xlfn.VSTACK('MS:NCA9'!$E$45:$AN$45),_xlfn.HSTACK(
_xlfn.BYROW(_xlpm.bill_hours,_xlfn.LAMBDA(_xlpm.row,SUM(_xlfn.CHOOSECOLS(_xlpm.row,_xlfn.SEQUENCE(12,1,CM$2))))),
_xlfn.BYROW(_xlpm.bill_hours,_xlfn.LAMBDA(_xlpm.row,SUM(_xlfn.CHOOSECOLS(_xlpm.row,_xlfn.SEQUENCE(12,1,CN$2))))),
_xlfn.BYROW(_xlpm.bill_hours,_xlfn.LAMBDA(_xlpm.row,SUM(_xlfn.CHOOSECOLS(_xlpm.row,_xlfn.SEQUENCE(12,1,CO$2)))))))</f>
        <v>0</v>
      </c>
      <c r="CN4" s="53">
        <v>0</v>
      </c>
      <c r="CO4" s="53">
        <v>0</v>
      </c>
      <c r="CQ4" s="53" cm="1">
        <f t="array" ref="CQ4:CS55">_xlfn.LET(_xlpm.bill_hours,_xlfn.VSTACK('MS:NCA9'!$E$46:$AN$46),_xlfn.HSTACK(
_xlfn.BYROW(_xlpm.bill_hours,_xlfn.LAMBDA(_xlpm.row,SUM(_xlfn.CHOOSECOLS(_xlpm.row,_xlfn.SEQUENCE(12,1,CQ$2))))),
_xlfn.BYROW(_xlpm.bill_hours,_xlfn.LAMBDA(_xlpm.row,SUM(_xlfn.CHOOSECOLS(_xlpm.row,_xlfn.SEQUENCE(12,1,CR$2))))),
_xlfn.BYROW(_xlpm.bill_hours,_xlfn.LAMBDA(_xlpm.row,SUM(_xlfn.CHOOSECOLS(_xlpm.row,_xlfn.SEQUENCE(12,1,CS$2)))))))</f>
        <v>0</v>
      </c>
      <c r="CR4" s="53">
        <v>0</v>
      </c>
      <c r="CS4" s="53">
        <v>0</v>
      </c>
      <c r="CU4" s="53" cm="1">
        <f t="array" ref="CU4:CW55">_xlfn.LET(_xlpm.bill_hours,_xlfn.VSTACK('MS:NCA9'!$E$47:$AN$47),_xlfn.HSTACK(
_xlfn.BYROW(_xlpm.bill_hours,_xlfn.LAMBDA(_xlpm.row,SUM(_xlfn.CHOOSECOLS(_xlpm.row,_xlfn.SEQUENCE(12,1,CU$2))))),
_xlfn.BYROW(_xlpm.bill_hours,_xlfn.LAMBDA(_xlpm.row,SUM(_xlfn.CHOOSECOLS(_xlpm.row,_xlfn.SEQUENCE(12,1,CV$2))))),
_xlfn.BYROW(_xlpm.bill_hours,_xlfn.LAMBDA(_xlpm.row,SUM(_xlfn.CHOOSECOLS(_xlpm.row,_xlfn.SEQUENCE(12,1,CW$2)))))))</f>
        <v>0</v>
      </c>
      <c r="CV4" s="53">
        <v>0</v>
      </c>
      <c r="CW4" s="53">
        <v>0</v>
      </c>
      <c r="CY4" s="53" cm="1">
        <f t="array" ref="CY4:DA55">_xlfn.LET(_xlpm.bill_hours,_xlfn.VSTACK('MS:NCA9'!$E$48:$AN$48),_xlfn.HSTACK(
_xlfn.BYROW(_xlpm.bill_hours,_xlfn.LAMBDA(_xlpm.row,SUM(_xlfn.CHOOSECOLS(_xlpm.row,_xlfn.SEQUENCE(12,1,CY$2))))),
_xlfn.BYROW(_xlpm.bill_hours,_xlfn.LAMBDA(_xlpm.row,SUM(_xlfn.CHOOSECOLS(_xlpm.row,_xlfn.SEQUENCE(12,1,CZ$2))))),
_xlfn.BYROW(_xlpm.bill_hours,_xlfn.LAMBDA(_xlpm.row,SUM(_xlfn.CHOOSECOLS(_xlpm.row,_xlfn.SEQUENCE(12,1,DA$2)))))))</f>
        <v>0</v>
      </c>
      <c r="CZ4" s="53">
        <v>0</v>
      </c>
      <c r="DA4" s="53">
        <v>0</v>
      </c>
      <c r="DC4" s="53" cm="1">
        <f t="array" ref="DC4:DE55">_xlfn.LET(_xlpm.bill_hours,_xlfn.VSTACK('MS:NCA9'!$E$49:$AN$49),_xlfn.HSTACK(
_xlfn.BYROW(_xlpm.bill_hours,_xlfn.LAMBDA(_xlpm.row,SUM(_xlfn.CHOOSECOLS(_xlpm.row,_xlfn.SEQUENCE(12,1,DC$2))))),
_xlfn.BYROW(_xlpm.bill_hours,_xlfn.LAMBDA(_xlpm.row,SUM(_xlfn.CHOOSECOLS(_xlpm.row,_xlfn.SEQUENCE(12,1,DD$2))))),
_xlfn.BYROW(_xlpm.bill_hours,_xlfn.LAMBDA(_xlpm.row,SUM(_xlfn.CHOOSECOLS(_xlpm.row,_xlfn.SEQUENCE(12,1,DE$2)))))))</f>
        <v>0</v>
      </c>
      <c r="DD4" s="53">
        <v>0</v>
      </c>
      <c r="DE4" s="53">
        <v>0</v>
      </c>
      <c r="DG4" s="53" cm="1">
        <f t="array" ref="DG4:DJ55">_xlfn.LET(_xlpm.bill_hours,_xlfn.VSTACK('MS:NCA9'!$E$41:$AN$41),_xlfn.HSTACK(
_xlfn.BYROW(_xlpm.bill_hours,_xlfn.LAMBDA(_xlpm.row,SUM(_xlfn.CHOOSECOLS(_xlpm.row,_xlfn.SEQUENCE(3,1,DG$2))))),
_xlfn.BYROW(_xlpm.bill_hours,_xlfn.LAMBDA(_xlpm.row,SUM(_xlfn.CHOOSECOLS(_xlpm.row,_xlfn.SEQUENCE(3,1,DH$2))))),
_xlfn.BYROW(_xlpm.bill_hours,_xlfn.LAMBDA(_xlpm.row,SUM(_xlfn.CHOOSECOLS(_xlpm.row,_xlfn.SEQUENCE(3,1,DI$2))))),
_xlfn.BYROW(_xlpm.bill_hours,_xlfn.LAMBDA(_xlpm.row,SUM(_xlfn.CHOOSECOLS(_xlpm.row,_xlfn.SEQUENCE(3,1,DJ$2)))))))</f>
        <v>1970073.6000000001</v>
      </c>
      <c r="DH4" s="53">
        <v>4925183.9999999991</v>
      </c>
      <c r="DI4" s="53">
        <v>6021734.3999999994</v>
      </c>
      <c r="DJ4" s="53">
        <v>6189004.7999999998</v>
      </c>
      <c r="DL4" s="53" cm="1">
        <f t="array" ref="DL4:DN55">_xlfn.LET(_xlpm.bill_hours,_xlfn.VSTACK('MS:NCA9'!$E$56:$AN$56),_xlfn.HSTACK(
_xlfn.BYROW(_xlpm.bill_hours,_xlfn.LAMBDA(_xlpm.row,SUM(_xlfn.CHOOSECOLS(_xlpm.row,_xlfn.SEQUENCE(12,1,DL$2))))),
_xlfn.BYROW(_xlpm.bill_hours,_xlfn.LAMBDA(_xlpm.row,SUM(_xlfn.CHOOSECOLS(_xlpm.row,_xlfn.SEQUENCE(12,1,DM$2))))),
_xlfn.BYROW(_xlpm.bill_hours,_xlfn.LAMBDA(_xlpm.row,SUM(_xlfn.CHOOSECOLS(_xlpm.row,_xlfn.SEQUENCE(12,1,DN$2)))))))</f>
        <v>-24687576.086037327</v>
      </c>
      <c r="DM4" s="53">
        <v>-30601547.376842342</v>
      </c>
      <c r="DN4" s="53">
        <v>-32919729.983442716</v>
      </c>
      <c r="DP4" s="53" cm="1">
        <f t="array" ref="DP4:DS55">_xlfn.LET(_xlpm.bill_hours,_xlfn.VSTACK(All!$E$54:$AN$54),_xlpm.result,_xlfn.HSTACK(
_xlfn.BYROW(_xlpm.bill_hours,_xlfn.LAMBDA(_xlpm.row,SUM(_xlfn.CHOOSECOLS(_xlpm.row,_xlfn.SEQUENCE(12,1,DP$2))))),
_xlfn.BYROW(_xlpm.bill_hours,_xlfn.LAMBDA(_xlpm.row,SUM(_xlfn.CHOOSECOLS(_xlpm.row,_xlfn.SEQUENCE(12,1,DQ$2))))),
_xlfn.BYROW(_xlpm.bill_hours,_xlfn.LAMBDA(_xlpm.row,SUM(_xlfn.CHOOSECOLS(_xlpm.row,_xlfn.SEQUENCE(12,1,DR$2)))))),
_xlpm.result*_xlfn.ANCHORARRAY(E4)/_xlfn.VSTACK(_xlfn.BYCOL(_xlfn.ANCHORARRAY(E4),_xlfn.LAMBDA(_xlpm.cols,(SUM(_xlpm.cols))))))</f>
        <v>300053.01226791914</v>
      </c>
      <c r="DQ4" s="53">
        <v>682651.84088421252</v>
      </c>
      <c r="DR4" s="53">
        <v>824464.55348275171</v>
      </c>
      <c r="DS4" s="53" t="e">
        <v>#N/A</v>
      </c>
      <c r="DU4" s="53" cm="1">
        <f t="array" ref="DU4:DX55">_xlfn.LET(_xlpm.bill_hours,_xlfn.VSTACK('MS:NCA9'!$E$69:$AN$69),_xlfn.HSTACK(
_xlfn.BYROW(_xlpm.bill_hours,_xlfn.LAMBDA(_xlpm.row,MAX(_xlfn.CHOOSECOLS(_xlpm.row,_xlfn.SEQUENCE(12,1,DU$2))))),
_xlfn.BYROW(_xlpm.bill_hours,_xlfn.LAMBDA(_xlpm.row,MAX(_xlfn.CHOOSECOLS(_xlpm.row,_xlfn.SEQUENCE(12,1,DV$2))))),
_xlfn.BYROW(_xlpm.bill_hours,_xlfn.LAMBDA(_xlpm.row,MAX(_xlfn.CHOOSECOLS(_xlpm.row,_xlfn.SEQUENCE(12,1,DW$2))))),
_xlfn.BYROW(_xlpm.bill_hours,_xlfn.LAMBDA(_xlpm.row,MAX(_xlfn.CHOOSECOLS(_xlpm.row,_xlfn.SEQUENCE(12,1,DX$2)))))))</f>
        <v>0</v>
      </c>
      <c r="DV4" s="53">
        <v>0</v>
      </c>
      <c r="DW4" s="53">
        <v>0</v>
      </c>
      <c r="DX4" s="53">
        <v>0</v>
      </c>
      <c r="DZ4" s="53" cm="1">
        <f t="array" ref="DZ4:EC55">_xlfn.LET(_xlpm.bill_hours,_xlfn.VSTACK('MS:NCA9'!$E$70:$AN$70),_xlfn.HSTACK(
_xlfn.BYROW(_xlpm.bill_hours,_xlfn.LAMBDA(_xlpm.row,MAX(_xlfn.CHOOSECOLS(_xlpm.row,_xlfn.SEQUENCE(12,1,DZ$2))))),
_xlfn.BYROW(_xlpm.bill_hours,_xlfn.LAMBDA(_xlpm.row,MAX(_xlfn.CHOOSECOLS(_xlpm.row,_xlfn.SEQUENCE(12,1,EA$2))))),
_xlfn.BYROW(_xlpm.bill_hours,_xlfn.LAMBDA(_xlpm.row,MAX(_xlfn.CHOOSECOLS(_xlpm.row,_xlfn.SEQUENCE(12,1,EB$2))))),
_xlfn.BYROW(_xlpm.bill_hours,_xlfn.LAMBDA(_xlpm.row,MAX(_xlfn.CHOOSECOLS(_xlpm.row,_xlfn.SEQUENCE(12,1,EC$2)))))))</f>
        <v>0</v>
      </c>
      <c r="EA4" s="53">
        <v>0</v>
      </c>
      <c r="EB4" s="53">
        <v>0</v>
      </c>
      <c r="EC4" s="53">
        <v>0</v>
      </c>
      <c r="EE4" s="53" cm="1">
        <f t="array" ref="EE4:EH55">_xlfn.LET(_xlpm.bill_hours,_xlfn.VSTACK('MS:NCA9'!$E$7:$AN$7),_xlfn.HSTACK(
_xlfn.BYROW(_xlpm.bill_hours,_xlfn.LAMBDA(_xlpm.row,MAX(_xlfn.CHOOSECOLS(_xlpm.row,_xlfn.SEQUENCE(3,1,EE$2))))),
_xlfn.BYROW(_xlpm.bill_hours,_xlfn.LAMBDA(_xlpm.row,MAX(_xlfn.CHOOSECOLS(_xlpm.row,_xlfn.SEQUENCE(3,1,EF$2))))),
_xlfn.BYROW(_xlpm.bill_hours,_xlfn.LAMBDA(_xlpm.row,MAX(_xlfn.CHOOSECOLS(_xlpm.row,_xlfn.SEQUENCE(3,1,EG$2))))),
_xlfn.BYROW(_xlpm.bill_hours,_xlfn.LAMBDA(_xlpm.row,MAX(_xlfn.CHOOSECOLS(_xlpm.row,_xlfn.SEQUENCE(3,1,EH$2)))))))</f>
        <v>0</v>
      </c>
      <c r="EF4" s="53">
        <v>0</v>
      </c>
      <c r="EG4" s="53">
        <v>0</v>
      </c>
      <c r="EH4" s="53">
        <v>0</v>
      </c>
      <c r="EJ4" s="53" cm="1">
        <f t="array" ref="EJ4:EM55">_xlfn.LET(_xlpm.bill_hours,_xlfn.VSTACK('MS:NCA9'!$E$8:$AN$8),_xlfn.HSTACK(
_xlfn.BYROW(_xlpm.bill_hours,_xlfn.LAMBDA(_xlpm.row,MAX(_xlfn.CHOOSECOLS(_xlpm.row,_xlfn.SEQUENCE(3,1,EJ$2))))),
_xlfn.BYROW(_xlpm.bill_hours,_xlfn.LAMBDA(_xlpm.row,MAX(_xlfn.CHOOSECOLS(_xlpm.row,_xlfn.SEQUENCE(3,1,EK$2))))),
_xlfn.BYROW(_xlpm.bill_hours,_xlfn.LAMBDA(_xlpm.row,MAX(_xlfn.CHOOSECOLS(_xlpm.row,_xlfn.SEQUENCE(3,1,EL$2))))),
_xlfn.BYROW(_xlpm.bill_hours,_xlfn.LAMBDA(_xlpm.row,MAX(_xlfn.CHOOSECOLS(_xlpm.row,_xlfn.SEQUENCE(3,1,EM$2)))))))</f>
        <v>0</v>
      </c>
      <c r="EK4" s="53">
        <v>0</v>
      </c>
      <c r="EL4" s="53">
        <v>0</v>
      </c>
      <c r="EM4" s="53">
        <v>0</v>
      </c>
      <c r="EO4" s="53" cm="1">
        <f t="array" ref="EO4:ER55">_xlfn.LET(_xlpm.bill_hours,_xlfn.VSTACK('MS:NCA9'!$E$8:$AN$8),_xlfn.HSTACK(
_xlfn.BYROW(_xlpm.bill_hours,_xlfn.LAMBDA(_xlpm.row,MAX(_xlfn.CHOOSECOLS(_xlpm.row,_xlfn.SEQUENCE(3,1,EO$2))))),
_xlfn.BYROW(_xlpm.bill_hours,_xlfn.LAMBDA(_xlpm.row,MAX(_xlfn.CHOOSECOLS(_xlpm.row,_xlfn.SEQUENCE(3,1,EP$2))))),
_xlfn.BYROW(_xlpm.bill_hours,_xlfn.LAMBDA(_xlpm.row,MAX(_xlfn.CHOOSECOLS(_xlpm.row,_xlfn.SEQUENCE(3,1,EQ$2))))),
_xlfn.BYROW(_xlpm.bill_hours,_xlfn.LAMBDA(_xlpm.row,MAX(_xlfn.CHOOSECOLS(_xlpm.row,_xlfn.SEQUENCE(3,1,ER$2)))))))</f>
        <v>0</v>
      </c>
      <c r="EP4" s="53">
        <v>0</v>
      </c>
      <c r="EQ4" s="53">
        <v>0</v>
      </c>
      <c r="ER4" s="53">
        <v>0</v>
      </c>
      <c r="ET4" s="53" cm="1">
        <f t="array" ref="ET4:EW55">_xlfn.LET(_xlpm.bill_hours,_xlfn.VSTACK('MS:NCA9'!$E$55:$AN$55),_xlfn.HSTACK(
_xlfn.BYROW(_xlpm.bill_hours,_xlfn.LAMBDA(_xlpm.row,SUM(_xlfn.CHOOSECOLS(_xlpm.row,_xlfn.SEQUENCE(3,1,ET$2))))),
_xlfn.BYROW(_xlpm.bill_hours,_xlfn.LAMBDA(_xlpm.row,SUM(_xlfn.CHOOSECOLS(_xlpm.row,_xlfn.SEQUENCE(3,1,EU$2))))),
_xlfn.BYROW(_xlpm.bill_hours,_xlfn.LAMBDA(_xlpm.row,SUM(_xlfn.CHOOSECOLS(_xlpm.row,_xlfn.SEQUENCE(3,1,EV$2))))),
_xlfn.BYROW(_xlpm.bill_hours,_xlfn.LAMBDA(_xlpm.row,SUM(_xlfn.CHOOSECOLS(_xlpm.row,_xlfn.SEQUENCE(3,1,EW$2)))))))</f>
        <v>300000</v>
      </c>
      <c r="EU4" s="53">
        <v>100000</v>
      </c>
      <c r="EV4" s="53">
        <v>0</v>
      </c>
      <c r="EW4" s="53">
        <v>0</v>
      </c>
      <c r="EY4" s="53" cm="1">
        <f t="array" ref="EY4:FB55">_xlfn.LET(_xlpm.bill_hours,_xlfn.VSTACK('MS:NCA9'!$E$1:$AN$1),_xlfn.HSTACK(
_xlfn.BYROW(_xlpm.bill_hours,_xlfn.LAMBDA(_xlpm.row,MAX(_xlfn.CHOOSECOLS(_xlpm.row,_xlfn.SEQUENCE(3,1,EY$2))))),
_xlfn.BYROW(_xlpm.bill_hours,_xlfn.LAMBDA(_xlpm.row,MAX(_xlfn.CHOOSECOLS(_xlpm.row,_xlfn.SEQUENCE(3,1,EZ$2))))),
_xlfn.BYROW(_xlpm.bill_hours,_xlfn.LAMBDA(_xlpm.row,MAX(_xlfn.CHOOSECOLS(_xlpm.row,_xlfn.SEQUENCE(3,1,FA$2))))),
_xlfn.BYROW(_xlpm.bill_hours,_xlfn.LAMBDA(_xlpm.row,MAX(_xlfn.CHOOSECOLS(_xlpm.row,_xlfn.SEQUENCE(3,1,FB$2)))))))</f>
        <v>212</v>
      </c>
      <c r="EZ4" s="53">
        <v>424</v>
      </c>
      <c r="FA4" s="53">
        <v>436</v>
      </c>
      <c r="FB4" s="53">
        <v>448</v>
      </c>
    </row>
    <row r="5" spans="1:158" x14ac:dyDescent="0.25">
      <c r="A5" s="117"/>
      <c r="B5" t="str">
        <v>JV1</v>
      </c>
      <c r="C5" t="str">
        <v>M&amp;A</v>
      </c>
      <c r="D5" t="str">
        <v>M&amp;A</v>
      </c>
      <c r="E5" s="53">
        <v>0</v>
      </c>
      <c r="F5" s="53">
        <v>0</v>
      </c>
      <c r="G5" s="53">
        <v>0</v>
      </c>
      <c r="H5" s="53">
        <v>6917.9733333333324</v>
      </c>
      <c r="J5" s="53">
        <v>0</v>
      </c>
      <c r="K5" s="53">
        <v>0</v>
      </c>
      <c r="L5" s="53">
        <v>0</v>
      </c>
      <c r="M5" s="53">
        <v>1252346.803333333</v>
      </c>
      <c r="O5" s="53">
        <v>0</v>
      </c>
      <c r="P5" s="53">
        <v>0</v>
      </c>
      <c r="Q5" s="53">
        <v>0</v>
      </c>
      <c r="R5" s="53">
        <v>1102065.1869333331</v>
      </c>
      <c r="T5" s="53">
        <v>0</v>
      </c>
      <c r="U5" s="53">
        <v>0</v>
      </c>
      <c r="V5" s="53">
        <v>0</v>
      </c>
      <c r="W5" s="53">
        <v>-150281.61639999994</v>
      </c>
      <c r="Y5" s="53">
        <v>0</v>
      </c>
      <c r="Z5" s="53">
        <v>0</v>
      </c>
      <c r="AA5" s="53">
        <v>0</v>
      </c>
      <c r="AB5" s="53">
        <v>1060814.1266666665</v>
      </c>
      <c r="AD5" s="53">
        <v>0</v>
      </c>
      <c r="AE5" s="53">
        <v>0</v>
      </c>
      <c r="AF5" s="53">
        <v>0</v>
      </c>
      <c r="AG5" s="53">
        <v>0</v>
      </c>
      <c r="AI5" s="53">
        <v>0</v>
      </c>
      <c r="AJ5" s="53">
        <v>0</v>
      </c>
      <c r="AK5" s="53">
        <v>0</v>
      </c>
      <c r="AL5" s="53">
        <v>141396.39799999996</v>
      </c>
      <c r="AN5" s="53">
        <v>0</v>
      </c>
      <c r="AO5" s="53">
        <v>0</v>
      </c>
      <c r="AP5" s="53">
        <v>0</v>
      </c>
      <c r="AQ5" s="53">
        <v>21753.292000000001</v>
      </c>
      <c r="AS5" s="53">
        <v>0</v>
      </c>
      <c r="AT5" s="53">
        <v>0</v>
      </c>
      <c r="AU5" s="53">
        <v>0</v>
      </c>
      <c r="AV5" s="53">
        <v>28382.986666666664</v>
      </c>
      <c r="AX5" s="53">
        <v>0</v>
      </c>
      <c r="AY5" s="53">
        <v>0</v>
      </c>
      <c r="AZ5" s="53">
        <v>0</v>
      </c>
      <c r="BA5" s="53">
        <v>0</v>
      </c>
      <c r="BC5" s="53">
        <v>0</v>
      </c>
      <c r="BD5" s="53">
        <v>0</v>
      </c>
      <c r="BE5" s="53">
        <v>0</v>
      </c>
      <c r="BF5" s="53">
        <v>0</v>
      </c>
      <c r="BH5" s="53">
        <v>0</v>
      </c>
      <c r="BI5" s="53">
        <v>0</v>
      </c>
      <c r="BJ5" s="53">
        <v>0</v>
      </c>
      <c r="BK5" s="53">
        <v>0</v>
      </c>
      <c r="BM5" s="53">
        <v>0</v>
      </c>
      <c r="BN5" s="53">
        <v>0</v>
      </c>
      <c r="BO5" s="53">
        <v>0</v>
      </c>
      <c r="BP5" s="53">
        <v>0</v>
      </c>
      <c r="BR5" s="53">
        <v>0</v>
      </c>
      <c r="BS5" s="53">
        <v>0</v>
      </c>
      <c r="BT5" s="53">
        <v>0</v>
      </c>
      <c r="BV5" s="53">
        <v>0</v>
      </c>
      <c r="BW5" s="53">
        <v>0</v>
      </c>
      <c r="BX5" s="53">
        <v>0</v>
      </c>
      <c r="BY5" s="53">
        <v>0</v>
      </c>
      <c r="CA5" s="53">
        <v>0</v>
      </c>
      <c r="CB5" s="53">
        <v>0</v>
      </c>
      <c r="CC5" s="53">
        <v>0</v>
      </c>
      <c r="CE5" s="53">
        <v>0</v>
      </c>
      <c r="CF5" s="53">
        <v>0</v>
      </c>
      <c r="CG5" s="53">
        <v>0</v>
      </c>
      <c r="CI5" s="53">
        <v>0</v>
      </c>
      <c r="CJ5" s="53">
        <v>0</v>
      </c>
      <c r="CK5" s="53">
        <v>0</v>
      </c>
      <c r="CM5" s="53">
        <v>0</v>
      </c>
      <c r="CN5" s="53">
        <v>0</v>
      </c>
      <c r="CO5" s="53">
        <v>0</v>
      </c>
      <c r="CQ5" s="53">
        <v>0</v>
      </c>
      <c r="CR5" s="53">
        <v>0</v>
      </c>
      <c r="CS5" s="53">
        <v>0</v>
      </c>
      <c r="CU5" s="53">
        <v>0</v>
      </c>
      <c r="CV5" s="53">
        <v>0</v>
      </c>
      <c r="CW5" s="53">
        <v>0</v>
      </c>
      <c r="CY5" s="53">
        <v>0</v>
      </c>
      <c r="CZ5" s="53">
        <v>0</v>
      </c>
      <c r="DA5" s="53">
        <v>0</v>
      </c>
      <c r="DC5" s="53">
        <v>0</v>
      </c>
      <c r="DD5" s="53">
        <v>0</v>
      </c>
      <c r="DE5" s="53">
        <v>0</v>
      </c>
      <c r="DG5" s="53">
        <v>0</v>
      </c>
      <c r="DH5" s="53">
        <v>0</v>
      </c>
      <c r="DI5" s="53">
        <v>0</v>
      </c>
      <c r="DJ5" s="53">
        <v>622617.59999999986</v>
      </c>
      <c r="DL5" s="53">
        <v>-804507.58646133309</v>
      </c>
      <c r="DM5" s="53">
        <v>-2869930.72000184</v>
      </c>
      <c r="DN5" s="53">
        <v>-5553744.0132850129</v>
      </c>
      <c r="DP5" s="53">
        <v>0</v>
      </c>
      <c r="DQ5" s="53">
        <v>0</v>
      </c>
      <c r="DR5" s="53">
        <v>0</v>
      </c>
      <c r="DS5" s="53" t="e">
        <v>#N/A</v>
      </c>
      <c r="DU5" s="53">
        <v>0</v>
      </c>
      <c r="DV5" s="53">
        <v>0</v>
      </c>
      <c r="DW5" s="53">
        <v>0</v>
      </c>
      <c r="DX5" s="53">
        <v>0</v>
      </c>
      <c r="DZ5" s="53">
        <v>0</v>
      </c>
      <c r="EA5" s="53">
        <v>0</v>
      </c>
      <c r="EB5" s="53">
        <v>0</v>
      </c>
      <c r="EC5" s="53">
        <v>0</v>
      </c>
      <c r="EE5" s="53">
        <v>0</v>
      </c>
      <c r="EF5" s="53">
        <v>0</v>
      </c>
      <c r="EG5" s="53">
        <v>0</v>
      </c>
      <c r="EH5" s="53">
        <v>0</v>
      </c>
      <c r="EJ5" s="53">
        <v>0</v>
      </c>
      <c r="EK5" s="53">
        <v>0</v>
      </c>
      <c r="EL5" s="53">
        <v>0</v>
      </c>
      <c r="EM5" s="53">
        <v>0</v>
      </c>
      <c r="EO5" s="53">
        <v>0</v>
      </c>
      <c r="EP5" s="53">
        <v>0</v>
      </c>
      <c r="EQ5" s="53">
        <v>0</v>
      </c>
      <c r="ER5" s="53">
        <v>0</v>
      </c>
      <c r="ET5" s="53">
        <v>0</v>
      </c>
      <c r="EU5" s="53">
        <v>0</v>
      </c>
      <c r="EV5" s="53">
        <v>100000</v>
      </c>
      <c r="EW5" s="53">
        <v>300000</v>
      </c>
      <c r="EY5" s="53">
        <v>0</v>
      </c>
      <c r="EZ5" s="53">
        <v>0</v>
      </c>
      <c r="FA5" s="53">
        <v>0</v>
      </c>
      <c r="FB5" s="53">
        <v>67</v>
      </c>
    </row>
    <row r="6" spans="1:158" x14ac:dyDescent="0.25">
      <c r="A6" s="117"/>
      <c r="B6" t="str">
        <v>JV1</v>
      </c>
      <c r="C6" t="str">
        <v>M&amp;A</v>
      </c>
      <c r="D6" t="str">
        <v>M&amp;A</v>
      </c>
      <c r="E6" s="53">
        <v>0</v>
      </c>
      <c r="F6" s="53">
        <v>0</v>
      </c>
      <c r="G6" s="53">
        <v>0</v>
      </c>
      <c r="H6" s="53">
        <v>0</v>
      </c>
      <c r="J6" s="53">
        <v>0</v>
      </c>
      <c r="K6" s="53">
        <v>0</v>
      </c>
      <c r="L6" s="53">
        <v>0</v>
      </c>
      <c r="M6" s="53">
        <v>0</v>
      </c>
      <c r="O6" s="53">
        <v>0</v>
      </c>
      <c r="P6" s="53">
        <v>0</v>
      </c>
      <c r="Q6" s="53">
        <v>0</v>
      </c>
      <c r="R6" s="53">
        <v>0</v>
      </c>
      <c r="T6" s="53">
        <v>0</v>
      </c>
      <c r="U6" s="53">
        <v>0</v>
      </c>
      <c r="V6" s="53">
        <v>0</v>
      </c>
      <c r="W6" s="53">
        <v>0</v>
      </c>
      <c r="Y6" s="53">
        <v>0</v>
      </c>
      <c r="Z6" s="53">
        <v>0</v>
      </c>
      <c r="AA6" s="53">
        <v>0</v>
      </c>
      <c r="AB6" s="53">
        <v>0</v>
      </c>
      <c r="AD6" s="53">
        <v>0</v>
      </c>
      <c r="AE6" s="53">
        <v>0</v>
      </c>
      <c r="AF6" s="53">
        <v>0</v>
      </c>
      <c r="AG6" s="53">
        <v>0</v>
      </c>
      <c r="AI6" s="53">
        <v>0</v>
      </c>
      <c r="AJ6" s="53">
        <v>0</v>
      </c>
      <c r="AK6" s="53">
        <v>0</v>
      </c>
      <c r="AL6" s="53">
        <v>0</v>
      </c>
      <c r="AN6" s="53">
        <v>0</v>
      </c>
      <c r="AO6" s="53">
        <v>0</v>
      </c>
      <c r="AP6" s="53">
        <v>0</v>
      </c>
      <c r="AQ6" s="53">
        <v>0</v>
      </c>
      <c r="AS6" s="53">
        <v>0</v>
      </c>
      <c r="AT6" s="53">
        <v>0</v>
      </c>
      <c r="AU6" s="53">
        <v>0</v>
      </c>
      <c r="AV6" s="53">
        <v>0</v>
      </c>
      <c r="AX6" s="53">
        <v>0</v>
      </c>
      <c r="AY6" s="53">
        <v>0</v>
      </c>
      <c r="AZ6" s="53">
        <v>0</v>
      </c>
      <c r="BA6" s="53">
        <v>0</v>
      </c>
      <c r="BC6" s="53">
        <v>0</v>
      </c>
      <c r="BD6" s="53">
        <v>0</v>
      </c>
      <c r="BE6" s="53">
        <v>0</v>
      </c>
      <c r="BF6" s="53">
        <v>0</v>
      </c>
      <c r="BH6" s="53">
        <v>0</v>
      </c>
      <c r="BI6" s="53">
        <v>0</v>
      </c>
      <c r="BJ6" s="53">
        <v>0</v>
      </c>
      <c r="BK6" s="53">
        <v>0</v>
      </c>
      <c r="BM6" s="53">
        <v>0</v>
      </c>
      <c r="BN6" s="53">
        <v>0</v>
      </c>
      <c r="BO6" s="53">
        <v>0</v>
      </c>
      <c r="BP6" s="53">
        <v>0</v>
      </c>
      <c r="BR6" s="53">
        <v>0</v>
      </c>
      <c r="BS6" s="53">
        <v>0</v>
      </c>
      <c r="BT6" s="53">
        <v>0</v>
      </c>
      <c r="BV6" s="53">
        <v>0</v>
      </c>
      <c r="BW6" s="53">
        <v>0</v>
      </c>
      <c r="BX6" s="53">
        <v>0</v>
      </c>
      <c r="BY6" s="53">
        <v>0</v>
      </c>
      <c r="CA6" s="53">
        <v>0</v>
      </c>
      <c r="CB6" s="53">
        <v>0</v>
      </c>
      <c r="CC6" s="53">
        <v>0</v>
      </c>
      <c r="CE6" s="53">
        <v>0</v>
      </c>
      <c r="CF6" s="53">
        <v>0</v>
      </c>
      <c r="CG6" s="53">
        <v>0</v>
      </c>
      <c r="CI6" s="53">
        <v>0</v>
      </c>
      <c r="CJ6" s="53">
        <v>0</v>
      </c>
      <c r="CK6" s="53">
        <v>0</v>
      </c>
      <c r="CM6" s="53">
        <v>0</v>
      </c>
      <c r="CN6" s="53">
        <v>0</v>
      </c>
      <c r="CO6" s="53">
        <v>0</v>
      </c>
      <c r="CQ6" s="53">
        <v>0</v>
      </c>
      <c r="CR6" s="53">
        <v>0</v>
      </c>
      <c r="CS6" s="53">
        <v>0</v>
      </c>
      <c r="CU6" s="53">
        <v>0</v>
      </c>
      <c r="CV6" s="53">
        <v>0</v>
      </c>
      <c r="CW6" s="53">
        <v>0</v>
      </c>
      <c r="CY6" s="53">
        <v>0</v>
      </c>
      <c r="CZ6" s="53">
        <v>0</v>
      </c>
      <c r="DA6" s="53">
        <v>0</v>
      </c>
      <c r="DC6" s="53">
        <v>0</v>
      </c>
      <c r="DD6" s="53">
        <v>0</v>
      </c>
      <c r="DE6" s="53">
        <v>0</v>
      </c>
      <c r="DG6" s="53">
        <v>0</v>
      </c>
      <c r="DH6" s="53">
        <v>0</v>
      </c>
      <c r="DI6" s="53">
        <v>0</v>
      </c>
      <c r="DJ6" s="53">
        <v>0</v>
      </c>
      <c r="DL6" s="53">
        <v>0</v>
      </c>
      <c r="DM6" s="53">
        <v>-828642.81405517343</v>
      </c>
      <c r="DN6" s="53">
        <v>-2894065.9475956806</v>
      </c>
      <c r="DP6" s="53">
        <v>0</v>
      </c>
      <c r="DQ6" s="53">
        <v>0</v>
      </c>
      <c r="DR6" s="53">
        <v>0</v>
      </c>
      <c r="DS6" s="53" t="e">
        <v>#N/A</v>
      </c>
      <c r="DU6" s="53">
        <v>0</v>
      </c>
      <c r="DV6" s="53">
        <v>0</v>
      </c>
      <c r="DW6" s="53">
        <v>0</v>
      </c>
      <c r="DX6" s="53">
        <v>0</v>
      </c>
      <c r="DZ6" s="53">
        <v>0</v>
      </c>
      <c r="EA6" s="53">
        <v>0</v>
      </c>
      <c r="EB6" s="53">
        <v>0</v>
      </c>
      <c r="EC6" s="53">
        <v>0</v>
      </c>
      <c r="EE6" s="53">
        <v>0</v>
      </c>
      <c r="EF6" s="53">
        <v>0</v>
      </c>
      <c r="EG6" s="53">
        <v>0</v>
      </c>
      <c r="EH6" s="53">
        <v>0</v>
      </c>
      <c r="EJ6" s="53">
        <v>0</v>
      </c>
      <c r="EK6" s="53">
        <v>0</v>
      </c>
      <c r="EL6" s="53">
        <v>0</v>
      </c>
      <c r="EM6" s="53">
        <v>0</v>
      </c>
      <c r="EO6" s="53">
        <v>0</v>
      </c>
      <c r="EP6" s="53">
        <v>0</v>
      </c>
      <c r="EQ6" s="53">
        <v>0</v>
      </c>
      <c r="ER6" s="53">
        <v>0</v>
      </c>
      <c r="ET6" s="53">
        <v>0</v>
      </c>
      <c r="EU6" s="53">
        <v>0</v>
      </c>
      <c r="EV6" s="53">
        <v>0</v>
      </c>
      <c r="EW6" s="53">
        <v>100000</v>
      </c>
      <c r="EY6" s="53">
        <v>0</v>
      </c>
      <c r="EZ6" s="53">
        <v>0</v>
      </c>
      <c r="FA6" s="53">
        <v>0</v>
      </c>
      <c r="FB6" s="53">
        <v>0</v>
      </c>
    </row>
    <row r="7" spans="1:158" x14ac:dyDescent="0.25">
      <c r="A7" s="117"/>
      <c r="B7" t="str">
        <v>JV1</v>
      </c>
      <c r="C7" t="str">
        <v>M&amp;A</v>
      </c>
      <c r="D7" t="str">
        <v>M&amp;A</v>
      </c>
      <c r="E7" s="53">
        <v>0</v>
      </c>
      <c r="F7" s="53">
        <v>0</v>
      </c>
      <c r="G7" s="53">
        <v>0</v>
      </c>
      <c r="H7" s="53">
        <v>0</v>
      </c>
      <c r="J7" s="53">
        <v>0</v>
      </c>
      <c r="K7" s="53">
        <v>0</v>
      </c>
      <c r="L7" s="53">
        <v>0</v>
      </c>
      <c r="M7" s="53">
        <v>0</v>
      </c>
      <c r="O7" s="53">
        <v>0</v>
      </c>
      <c r="P7" s="53">
        <v>0</v>
      </c>
      <c r="Q7" s="53">
        <v>0</v>
      </c>
      <c r="R7" s="53">
        <v>0</v>
      </c>
      <c r="T7" s="53">
        <v>0</v>
      </c>
      <c r="U7" s="53">
        <v>0</v>
      </c>
      <c r="V7" s="53">
        <v>0</v>
      </c>
      <c r="W7" s="53">
        <v>0</v>
      </c>
      <c r="Y7" s="53">
        <v>0</v>
      </c>
      <c r="Z7" s="53">
        <v>0</v>
      </c>
      <c r="AA7" s="53">
        <v>0</v>
      </c>
      <c r="AB7" s="53">
        <v>0</v>
      </c>
      <c r="AD7" s="53">
        <v>0</v>
      </c>
      <c r="AE7" s="53">
        <v>0</v>
      </c>
      <c r="AF7" s="53">
        <v>0</v>
      </c>
      <c r="AG7" s="53">
        <v>0</v>
      </c>
      <c r="AI7" s="53">
        <v>0</v>
      </c>
      <c r="AJ7" s="53">
        <v>0</v>
      </c>
      <c r="AK7" s="53">
        <v>0</v>
      </c>
      <c r="AL7" s="53">
        <v>0</v>
      </c>
      <c r="AN7" s="53">
        <v>0</v>
      </c>
      <c r="AO7" s="53">
        <v>0</v>
      </c>
      <c r="AP7" s="53">
        <v>0</v>
      </c>
      <c r="AQ7" s="53">
        <v>0</v>
      </c>
      <c r="AS7" s="53">
        <v>0</v>
      </c>
      <c r="AT7" s="53">
        <v>0</v>
      </c>
      <c r="AU7" s="53">
        <v>0</v>
      </c>
      <c r="AV7" s="53">
        <v>0</v>
      </c>
      <c r="AX7" s="53">
        <v>0</v>
      </c>
      <c r="AY7" s="53">
        <v>0</v>
      </c>
      <c r="AZ7" s="53">
        <v>0</v>
      </c>
      <c r="BA7" s="53">
        <v>0</v>
      </c>
      <c r="BC7" s="53">
        <v>0</v>
      </c>
      <c r="BD7" s="53">
        <v>0</v>
      </c>
      <c r="BE7" s="53">
        <v>0</v>
      </c>
      <c r="BF7" s="53">
        <v>0</v>
      </c>
      <c r="BH7" s="53">
        <v>0</v>
      </c>
      <c r="BI7" s="53">
        <v>0</v>
      </c>
      <c r="BJ7" s="53">
        <v>0</v>
      </c>
      <c r="BK7" s="53">
        <v>0</v>
      </c>
      <c r="BM7" s="53">
        <v>0</v>
      </c>
      <c r="BN7" s="53">
        <v>0</v>
      </c>
      <c r="BO7" s="53">
        <v>0</v>
      </c>
      <c r="BP7" s="53">
        <v>0</v>
      </c>
      <c r="BR7" s="53">
        <v>0</v>
      </c>
      <c r="BS7" s="53">
        <v>0</v>
      </c>
      <c r="BT7" s="53">
        <v>0</v>
      </c>
      <c r="BV7" s="53">
        <v>0</v>
      </c>
      <c r="BW7" s="53">
        <v>0</v>
      </c>
      <c r="BX7" s="53">
        <v>0</v>
      </c>
      <c r="BY7" s="53">
        <v>0</v>
      </c>
      <c r="CA7" s="53">
        <v>0</v>
      </c>
      <c r="CB7" s="53">
        <v>0</v>
      </c>
      <c r="CC7" s="53">
        <v>0</v>
      </c>
      <c r="CE7" s="53">
        <v>0</v>
      </c>
      <c r="CF7" s="53">
        <v>0</v>
      </c>
      <c r="CG7" s="53">
        <v>0</v>
      </c>
      <c r="CI7" s="53">
        <v>0</v>
      </c>
      <c r="CJ7" s="53">
        <v>0</v>
      </c>
      <c r="CK7" s="53">
        <v>0</v>
      </c>
      <c r="CM7" s="53">
        <v>0</v>
      </c>
      <c r="CN7" s="53">
        <v>0</v>
      </c>
      <c r="CO7" s="53">
        <v>0</v>
      </c>
      <c r="CQ7" s="53">
        <v>0</v>
      </c>
      <c r="CR7" s="53">
        <v>0</v>
      </c>
      <c r="CS7" s="53">
        <v>0</v>
      </c>
      <c r="CU7" s="53">
        <v>0</v>
      </c>
      <c r="CV7" s="53">
        <v>0</v>
      </c>
      <c r="CW7" s="53">
        <v>0</v>
      </c>
      <c r="CY7" s="53">
        <v>0</v>
      </c>
      <c r="CZ7" s="53">
        <v>0</v>
      </c>
      <c r="DA7" s="53">
        <v>0</v>
      </c>
      <c r="DC7" s="53">
        <v>0</v>
      </c>
      <c r="DD7" s="53">
        <v>0</v>
      </c>
      <c r="DE7" s="53">
        <v>0</v>
      </c>
      <c r="DG7" s="53">
        <v>0</v>
      </c>
      <c r="DH7" s="53">
        <v>0</v>
      </c>
      <c r="DI7" s="53">
        <v>0</v>
      </c>
      <c r="DJ7" s="53">
        <v>0</v>
      </c>
      <c r="DL7" s="53">
        <v>0</v>
      </c>
      <c r="DM7" s="53">
        <v>0</v>
      </c>
      <c r="DN7" s="53">
        <v>0</v>
      </c>
      <c r="DP7" s="53">
        <v>0</v>
      </c>
      <c r="DQ7" s="53">
        <v>0</v>
      </c>
      <c r="DR7" s="53">
        <v>0</v>
      </c>
      <c r="DS7" s="53" t="e">
        <v>#N/A</v>
      </c>
      <c r="DU7" s="53">
        <v>0</v>
      </c>
      <c r="DV7" s="53">
        <v>0</v>
      </c>
      <c r="DW7" s="53">
        <v>0</v>
      </c>
      <c r="DX7" s="53">
        <v>0</v>
      </c>
      <c r="DZ7" s="53">
        <v>0</v>
      </c>
      <c r="EA7" s="53">
        <v>0</v>
      </c>
      <c r="EB7" s="53">
        <v>0</v>
      </c>
      <c r="EC7" s="53">
        <v>0</v>
      </c>
      <c r="EE7" s="53">
        <v>0</v>
      </c>
      <c r="EF7" s="53">
        <v>0</v>
      </c>
      <c r="EG7" s="53">
        <v>0</v>
      </c>
      <c r="EH7" s="53">
        <v>0</v>
      </c>
      <c r="EJ7" s="53">
        <v>0</v>
      </c>
      <c r="EK7" s="53">
        <v>0</v>
      </c>
      <c r="EL7" s="53">
        <v>0</v>
      </c>
      <c r="EM7" s="53">
        <v>0</v>
      </c>
      <c r="EO7" s="53">
        <v>0</v>
      </c>
      <c r="EP7" s="53">
        <v>0</v>
      </c>
      <c r="EQ7" s="53">
        <v>0</v>
      </c>
      <c r="ER7" s="53">
        <v>0</v>
      </c>
      <c r="ET7" s="53">
        <v>0</v>
      </c>
      <c r="EU7" s="53">
        <v>0</v>
      </c>
      <c r="EV7" s="53">
        <v>0</v>
      </c>
      <c r="EW7" s="53">
        <v>0</v>
      </c>
      <c r="EY7" s="53">
        <v>0</v>
      </c>
      <c r="EZ7" s="53">
        <v>0</v>
      </c>
      <c r="FA7" s="53">
        <v>0</v>
      </c>
      <c r="FB7" s="53">
        <v>0</v>
      </c>
    </row>
    <row r="8" spans="1:158" x14ac:dyDescent="0.25">
      <c r="A8" s="117"/>
      <c r="B8" t="str">
        <v>JV2</v>
      </c>
      <c r="C8" t="str">
        <v>Center</v>
      </c>
      <c r="D8" t="str">
        <v>Maryland</v>
      </c>
      <c r="E8" s="53">
        <v>16382.080000000002</v>
      </c>
      <c r="F8" s="53">
        <v>16382.080000000002</v>
      </c>
      <c r="G8" s="53">
        <v>16382.080000000002</v>
      </c>
      <c r="H8" s="53">
        <v>16382.080000000002</v>
      </c>
      <c r="J8" s="53">
        <v>1630647.9153120001</v>
      </c>
      <c r="K8" s="53">
        <v>1630647.9153120001</v>
      </c>
      <c r="L8" s="53">
        <v>1630647.9153120001</v>
      </c>
      <c r="M8" s="53">
        <v>1630647.9153120001</v>
      </c>
      <c r="O8" s="53">
        <v>1423002.3569465601</v>
      </c>
      <c r="P8" s="53">
        <v>1423002.3569465601</v>
      </c>
      <c r="Q8" s="53">
        <v>1423002.3569465601</v>
      </c>
      <c r="R8" s="53">
        <v>1423002.3569465601</v>
      </c>
      <c r="T8" s="53">
        <v>-204708.41293344001</v>
      </c>
      <c r="U8" s="53">
        <v>-204708.41293344001</v>
      </c>
      <c r="V8" s="53">
        <v>-204708.41293344001</v>
      </c>
      <c r="W8" s="53">
        <v>-204708.41293344001</v>
      </c>
      <c r="Y8" s="53">
        <v>1184517.8579519999</v>
      </c>
      <c r="Z8" s="53">
        <v>1184517.8579519999</v>
      </c>
      <c r="AA8" s="53">
        <v>1184517.8579519999</v>
      </c>
      <c r="AB8" s="53">
        <v>1184517.8579519999</v>
      </c>
      <c r="AD8" s="53">
        <v>78192.671231999993</v>
      </c>
      <c r="AE8" s="53">
        <v>78192.671231999993</v>
      </c>
      <c r="AF8" s="53">
        <v>78192.671231999993</v>
      </c>
      <c r="AG8" s="53">
        <v>78192.671231999993</v>
      </c>
      <c r="AI8" s="53">
        <v>323050.32489599998</v>
      </c>
      <c r="AJ8" s="53">
        <v>323050.32489599998</v>
      </c>
      <c r="AK8" s="53">
        <v>323050.32489599998</v>
      </c>
      <c r="AL8" s="53">
        <v>323050.32489599998</v>
      </c>
      <c r="AN8" s="53">
        <v>13552.791407999997</v>
      </c>
      <c r="AO8" s="53">
        <v>13552.791407999997</v>
      </c>
      <c r="AP8" s="53">
        <v>13552.791407999997</v>
      </c>
      <c r="AQ8" s="53">
        <v>13552.791407999997</v>
      </c>
      <c r="AS8" s="53">
        <v>31334.269823999995</v>
      </c>
      <c r="AT8" s="53">
        <v>31334.269823999995</v>
      </c>
      <c r="AU8" s="53">
        <v>31334.269823999995</v>
      </c>
      <c r="AV8" s="53">
        <v>31334.269823999995</v>
      </c>
      <c r="AX8" s="53">
        <v>0</v>
      </c>
      <c r="AY8" s="53">
        <v>0</v>
      </c>
      <c r="AZ8" s="53">
        <v>0</v>
      </c>
      <c r="BA8" s="53">
        <v>0</v>
      </c>
      <c r="BC8" s="53">
        <v>88821.219142655988</v>
      </c>
      <c r="BD8" s="53">
        <v>88821.219142655988</v>
      </c>
      <c r="BE8" s="53">
        <v>88821.219142655988</v>
      </c>
      <c r="BF8" s="53">
        <v>88821.219142655988</v>
      </c>
      <c r="BH8" s="53">
        <v>75255.525799999989</v>
      </c>
      <c r="BI8" s="53">
        <v>75255.525799999989</v>
      </c>
      <c r="BJ8" s="53">
        <v>75255.525799999989</v>
      </c>
      <c r="BK8" s="53">
        <v>75255.525799999989</v>
      </c>
      <c r="BM8" s="53">
        <v>66319.244040191988</v>
      </c>
      <c r="BN8" s="53">
        <v>66319.244040191988</v>
      </c>
      <c r="BO8" s="53">
        <v>66319.244040191988</v>
      </c>
      <c r="BP8" s="53">
        <v>66319.244040191988</v>
      </c>
      <c r="BR8" s="53">
        <v>0</v>
      </c>
      <c r="BS8" s="53">
        <v>0</v>
      </c>
      <c r="BT8" s="53">
        <v>0</v>
      </c>
      <c r="BV8" s="53">
        <v>899121.93791483762</v>
      </c>
      <c r="BW8" s="53">
        <v>899121.93791483762</v>
      </c>
      <c r="BX8" s="53">
        <v>899121.93791483762</v>
      </c>
      <c r="BY8" s="53">
        <v>899121.93791483762</v>
      </c>
      <c r="CA8" s="53">
        <v>171508.43999999997</v>
      </c>
      <c r="CB8" s="53">
        <v>172794.75330000001</v>
      </c>
      <c r="CC8" s="53">
        <v>174081.06660000005</v>
      </c>
      <c r="CE8" s="53">
        <v>50400</v>
      </c>
      <c r="CF8" s="53">
        <v>50904</v>
      </c>
      <c r="CG8" s="53">
        <v>51408</v>
      </c>
      <c r="CI8" s="53">
        <v>16617.880799999995</v>
      </c>
      <c r="CJ8" s="53">
        <v>16784.059607999996</v>
      </c>
      <c r="CK8" s="53">
        <v>16950.238415999997</v>
      </c>
      <c r="CM8" s="53">
        <v>51000</v>
      </c>
      <c r="CN8" s="53">
        <v>51255</v>
      </c>
      <c r="CO8" s="53">
        <v>51510</v>
      </c>
      <c r="CQ8" s="53">
        <v>205680</v>
      </c>
      <c r="CR8" s="53">
        <v>206708.39999999997</v>
      </c>
      <c r="CS8" s="53">
        <v>207736.8</v>
      </c>
      <c r="CU8" s="53">
        <v>53400</v>
      </c>
      <c r="CV8" s="53">
        <v>54067.5</v>
      </c>
      <c r="CW8" s="53">
        <v>54735</v>
      </c>
      <c r="CY8" s="53">
        <v>0</v>
      </c>
      <c r="CZ8" s="53">
        <v>0</v>
      </c>
      <c r="DA8" s="53">
        <v>0</v>
      </c>
      <c r="DC8" s="53">
        <v>918187.67652056308</v>
      </c>
      <c r="DD8" s="53">
        <v>768417.16839665885</v>
      </c>
      <c r="DE8" s="53">
        <v>666979.90011990501</v>
      </c>
      <c r="DG8" s="53">
        <v>0</v>
      </c>
      <c r="DH8" s="53">
        <v>0</v>
      </c>
      <c r="DI8" s="53">
        <v>0</v>
      </c>
      <c r="DJ8" s="53">
        <v>0</v>
      </c>
      <c r="DL8" s="53">
        <v>-853801.41416793584</v>
      </c>
      <c r="DM8" s="53">
        <v>-853801.41416793584</v>
      </c>
      <c r="DN8" s="53">
        <v>-855935.91770335566</v>
      </c>
      <c r="DP8" s="53">
        <v>224557.25542906777</v>
      </c>
      <c r="DQ8" s="53">
        <v>204356.45373982369</v>
      </c>
      <c r="DR8" s="53">
        <v>201865.42676287494</v>
      </c>
      <c r="DS8" s="53" t="e">
        <v>#N/A</v>
      </c>
      <c r="DU8" s="53">
        <v>1</v>
      </c>
      <c r="DV8" s="53">
        <v>1</v>
      </c>
      <c r="DW8" s="53">
        <v>1</v>
      </c>
      <c r="DX8" s="53">
        <v>1</v>
      </c>
      <c r="DZ8" s="53">
        <v>1</v>
      </c>
      <c r="EA8" s="53">
        <v>1</v>
      </c>
      <c r="EB8" s="53">
        <v>1</v>
      </c>
      <c r="EC8" s="53">
        <v>1</v>
      </c>
      <c r="EE8" s="53">
        <v>44.58</v>
      </c>
      <c r="EF8" s="53">
        <v>44.58</v>
      </c>
      <c r="EG8" s="53">
        <v>44.58</v>
      </c>
      <c r="EH8" s="53">
        <v>44.58</v>
      </c>
      <c r="EJ8" s="53">
        <v>7.43</v>
      </c>
      <c r="EK8" s="53">
        <v>7.43</v>
      </c>
      <c r="EL8" s="53">
        <v>7.43</v>
      </c>
      <c r="EM8" s="53">
        <v>7.43</v>
      </c>
      <c r="EO8" s="53">
        <v>7.43</v>
      </c>
      <c r="EP8" s="53">
        <v>7.43</v>
      </c>
      <c r="EQ8" s="53">
        <v>7.43</v>
      </c>
      <c r="ER8" s="53">
        <v>7.43</v>
      </c>
      <c r="ET8" s="53">
        <v>0</v>
      </c>
      <c r="EU8" s="53">
        <v>0</v>
      </c>
      <c r="EV8" s="53">
        <v>0</v>
      </c>
      <c r="EW8" s="53">
        <v>0</v>
      </c>
      <c r="EY8" s="53">
        <v>52</v>
      </c>
      <c r="EZ8" s="53">
        <v>52</v>
      </c>
      <c r="FA8" s="53">
        <v>52</v>
      </c>
      <c r="FB8" s="53">
        <v>52</v>
      </c>
    </row>
    <row r="9" spans="1:158" x14ac:dyDescent="0.25">
      <c r="A9" s="117"/>
      <c r="B9" t="str">
        <v>JV2</v>
      </c>
      <c r="C9" t="str">
        <v>Remote</v>
      </c>
      <c r="D9" t="str">
        <v>Maryland</v>
      </c>
      <c r="E9" s="53">
        <v>5575.6799999999994</v>
      </c>
      <c r="F9" s="53">
        <v>5575.6799999999994</v>
      </c>
      <c r="G9" s="53">
        <v>5575.6799999999994</v>
      </c>
      <c r="H9" s="53">
        <v>5575.6799999999994</v>
      </c>
      <c r="J9" s="53">
        <v>571563.70135199989</v>
      </c>
      <c r="K9" s="53">
        <v>571563.70135199989</v>
      </c>
      <c r="L9" s="53">
        <v>571563.70135199989</v>
      </c>
      <c r="M9" s="53">
        <v>571563.70135199989</v>
      </c>
      <c r="O9" s="53">
        <v>502976.05718975997</v>
      </c>
      <c r="P9" s="53">
        <v>502976.05718975997</v>
      </c>
      <c r="Q9" s="53">
        <v>502976.05718975997</v>
      </c>
      <c r="R9" s="53">
        <v>502976.05718975997</v>
      </c>
      <c r="T9" s="53">
        <v>-68587.644162240002</v>
      </c>
      <c r="U9" s="53">
        <v>-68587.644162240002</v>
      </c>
      <c r="V9" s="53">
        <v>-68587.644162240002</v>
      </c>
      <c r="W9" s="53">
        <v>-68587.644162240002</v>
      </c>
      <c r="Y9" s="53">
        <v>428662.93111199996</v>
      </c>
      <c r="Z9" s="53">
        <v>428662.93111199996</v>
      </c>
      <c r="AA9" s="53">
        <v>428662.93111199996</v>
      </c>
      <c r="AB9" s="53">
        <v>428662.93111199996</v>
      </c>
      <c r="AD9" s="53">
        <v>0</v>
      </c>
      <c r="AE9" s="53">
        <v>0</v>
      </c>
      <c r="AF9" s="53">
        <v>0</v>
      </c>
      <c r="AG9" s="53">
        <v>0</v>
      </c>
      <c r="AI9" s="53">
        <v>111825.11246399998</v>
      </c>
      <c r="AJ9" s="53">
        <v>111825.11246399998</v>
      </c>
      <c r="AK9" s="53">
        <v>111825.11246399998</v>
      </c>
      <c r="AL9" s="53">
        <v>111825.11246399998</v>
      </c>
      <c r="AN9" s="53">
        <v>9382.701744</v>
      </c>
      <c r="AO9" s="53">
        <v>9382.701744</v>
      </c>
      <c r="AP9" s="53">
        <v>9382.701744</v>
      </c>
      <c r="AQ9" s="53">
        <v>9382.701744</v>
      </c>
      <c r="AS9" s="53">
        <v>21692.956031999998</v>
      </c>
      <c r="AT9" s="53">
        <v>21692.956031999998</v>
      </c>
      <c r="AU9" s="53">
        <v>21692.956031999998</v>
      </c>
      <c r="AV9" s="53">
        <v>21692.956031999998</v>
      </c>
      <c r="AX9" s="53">
        <v>0</v>
      </c>
      <c r="AY9" s="53">
        <v>0</v>
      </c>
      <c r="AZ9" s="53">
        <v>0</v>
      </c>
      <c r="BA9" s="53">
        <v>0</v>
      </c>
      <c r="BC9" s="53">
        <v>0</v>
      </c>
      <c r="BD9" s="53">
        <v>0</v>
      </c>
      <c r="BE9" s="53">
        <v>0</v>
      </c>
      <c r="BF9" s="53">
        <v>0</v>
      </c>
      <c r="BH9" s="53">
        <v>0</v>
      </c>
      <c r="BI9" s="53">
        <v>0</v>
      </c>
      <c r="BJ9" s="53">
        <v>0</v>
      </c>
      <c r="BK9" s="53">
        <v>0</v>
      </c>
      <c r="BM9" s="53">
        <v>0</v>
      </c>
      <c r="BN9" s="53">
        <v>0</v>
      </c>
      <c r="BO9" s="53">
        <v>0</v>
      </c>
      <c r="BP9" s="53">
        <v>0</v>
      </c>
      <c r="BR9" s="53">
        <v>0</v>
      </c>
      <c r="BS9" s="53">
        <v>0</v>
      </c>
      <c r="BT9" s="53">
        <v>0</v>
      </c>
      <c r="BV9" s="53">
        <v>219399.40592525393</v>
      </c>
      <c r="BW9" s="53">
        <v>219399.40592525393</v>
      </c>
      <c r="BX9" s="53">
        <v>219399.40592525393</v>
      </c>
      <c r="BY9" s="53">
        <v>219399.40592525393</v>
      </c>
      <c r="CA9" s="53">
        <v>0</v>
      </c>
      <c r="CB9" s="53">
        <v>0</v>
      </c>
      <c r="CC9" s="53">
        <v>0</v>
      </c>
      <c r="CE9" s="53">
        <v>0</v>
      </c>
      <c r="CF9" s="53">
        <v>0</v>
      </c>
      <c r="CG9" s="53">
        <v>0</v>
      </c>
      <c r="CI9" s="53">
        <v>12776.764800000003</v>
      </c>
      <c r="CJ9" s="53">
        <v>12904.532448000002</v>
      </c>
      <c r="CK9" s="53">
        <v>13032.300096000003</v>
      </c>
      <c r="CM9" s="53">
        <v>0</v>
      </c>
      <c r="CN9" s="53">
        <v>0</v>
      </c>
      <c r="CO9" s="53">
        <v>0</v>
      </c>
      <c r="CQ9" s="53">
        <v>79169.999999999985</v>
      </c>
      <c r="CR9" s="53">
        <v>79565.849999999991</v>
      </c>
      <c r="CS9" s="53">
        <v>79961.699999999983</v>
      </c>
      <c r="CU9" s="53">
        <v>0</v>
      </c>
      <c r="CV9" s="53">
        <v>0</v>
      </c>
      <c r="CW9" s="53">
        <v>0</v>
      </c>
      <c r="CY9" s="53">
        <v>0</v>
      </c>
      <c r="CZ9" s="53">
        <v>0</v>
      </c>
      <c r="DA9" s="53">
        <v>0</v>
      </c>
      <c r="DC9" s="53">
        <v>324543.67699538759</v>
      </c>
      <c r="DD9" s="53">
        <v>271605.62015259254</v>
      </c>
      <c r="DE9" s="53">
        <v>235751.48610925899</v>
      </c>
      <c r="DG9" s="53">
        <v>0</v>
      </c>
      <c r="DH9" s="53">
        <v>0</v>
      </c>
      <c r="DI9" s="53">
        <v>0</v>
      </c>
      <c r="DJ9" s="53">
        <v>0</v>
      </c>
      <c r="DL9" s="53">
        <v>-301785.63431385596</v>
      </c>
      <c r="DM9" s="53">
        <v>-301785.63431385596</v>
      </c>
      <c r="DN9" s="53">
        <v>-302540.09839964058</v>
      </c>
      <c r="DP9" s="53">
        <v>76428.597464469975</v>
      </c>
      <c r="DQ9" s="53">
        <v>69553.206429712212</v>
      </c>
      <c r="DR9" s="53">
        <v>68705.379456895971</v>
      </c>
      <c r="DS9" s="53" t="e">
        <v>#N/A</v>
      </c>
      <c r="DU9" s="53">
        <v>0</v>
      </c>
      <c r="DV9" s="53">
        <v>0</v>
      </c>
      <c r="DW9" s="53">
        <v>0</v>
      </c>
      <c r="DX9" s="53">
        <v>0</v>
      </c>
      <c r="DZ9" s="53">
        <v>0</v>
      </c>
      <c r="EA9" s="53">
        <v>0</v>
      </c>
      <c r="EB9" s="53">
        <v>0</v>
      </c>
      <c r="EC9" s="53">
        <v>0</v>
      </c>
      <c r="EE9" s="53">
        <v>14.79</v>
      </c>
      <c r="EF9" s="53">
        <v>14.79</v>
      </c>
      <c r="EG9" s="53">
        <v>14.79</v>
      </c>
      <c r="EH9" s="53">
        <v>14.79</v>
      </c>
      <c r="EJ9" s="53">
        <v>3</v>
      </c>
      <c r="EK9" s="53">
        <v>3</v>
      </c>
      <c r="EL9" s="53">
        <v>3</v>
      </c>
      <c r="EM9" s="53">
        <v>3</v>
      </c>
      <c r="EO9" s="53">
        <v>3</v>
      </c>
      <c r="EP9" s="53">
        <v>3</v>
      </c>
      <c r="EQ9" s="53">
        <v>3</v>
      </c>
      <c r="ER9" s="53">
        <v>3</v>
      </c>
      <c r="ET9" s="53">
        <v>0</v>
      </c>
      <c r="EU9" s="53">
        <v>0</v>
      </c>
      <c r="EV9" s="53">
        <v>0</v>
      </c>
      <c r="EW9" s="53">
        <v>0</v>
      </c>
      <c r="EY9" s="53">
        <v>36</v>
      </c>
      <c r="EZ9" s="53">
        <v>36</v>
      </c>
      <c r="FA9" s="53">
        <v>36</v>
      </c>
      <c r="FB9" s="53">
        <v>36</v>
      </c>
    </row>
    <row r="10" spans="1:158" x14ac:dyDescent="0.25">
      <c r="A10" s="117"/>
      <c r="B10" t="str">
        <v>JV2</v>
      </c>
      <c r="C10" t="str">
        <v>Center</v>
      </c>
      <c r="D10" t="str">
        <v>Maryland</v>
      </c>
      <c r="E10" s="53">
        <v>11656.48</v>
      </c>
      <c r="F10" s="53">
        <v>11656.48</v>
      </c>
      <c r="G10" s="53">
        <v>11656.48</v>
      </c>
      <c r="H10" s="53">
        <v>11656.48</v>
      </c>
      <c r="J10" s="53">
        <v>1160268.7089720003</v>
      </c>
      <c r="K10" s="53">
        <v>1160268.7089720003</v>
      </c>
      <c r="L10" s="53">
        <v>1160268.7089720003</v>
      </c>
      <c r="M10" s="53">
        <v>1160268.7089720003</v>
      </c>
      <c r="O10" s="53">
        <v>1031624.23360736</v>
      </c>
      <c r="P10" s="53">
        <v>1031624.23360736</v>
      </c>
      <c r="Q10" s="53">
        <v>1031624.23360736</v>
      </c>
      <c r="R10" s="53">
        <v>1031624.23360736</v>
      </c>
      <c r="T10" s="53">
        <v>-148262.90817264002</v>
      </c>
      <c r="U10" s="53">
        <v>-148262.90817264002</v>
      </c>
      <c r="V10" s="53">
        <v>-148262.90817264002</v>
      </c>
      <c r="W10" s="53">
        <v>-148262.90817264002</v>
      </c>
      <c r="Y10" s="53">
        <v>842830.01431200001</v>
      </c>
      <c r="Z10" s="53">
        <v>842830.01431200001</v>
      </c>
      <c r="AA10" s="53">
        <v>842830.01431200001</v>
      </c>
      <c r="AB10" s="53">
        <v>842830.01431200001</v>
      </c>
      <c r="AD10" s="53">
        <v>55637.092991999998</v>
      </c>
      <c r="AE10" s="53">
        <v>55637.092991999998</v>
      </c>
      <c r="AF10" s="53">
        <v>55637.092991999998</v>
      </c>
      <c r="AG10" s="53">
        <v>55637.092991999998</v>
      </c>
      <c r="AI10" s="53">
        <v>229862.73117600003</v>
      </c>
      <c r="AJ10" s="53">
        <v>229862.73117600003</v>
      </c>
      <c r="AK10" s="53">
        <v>229862.73117600003</v>
      </c>
      <c r="AL10" s="53">
        <v>229862.73117600003</v>
      </c>
      <c r="AN10" s="53">
        <v>9643.3323479999999</v>
      </c>
      <c r="AO10" s="53">
        <v>9643.3323479999999</v>
      </c>
      <c r="AP10" s="53">
        <v>9643.3323479999999</v>
      </c>
      <c r="AQ10" s="53">
        <v>9643.3323479999999</v>
      </c>
      <c r="AS10" s="53">
        <v>22295.538144000002</v>
      </c>
      <c r="AT10" s="53">
        <v>22295.538144000002</v>
      </c>
      <c r="AU10" s="53">
        <v>22295.538144000002</v>
      </c>
      <c r="AV10" s="53">
        <v>22295.538144000002</v>
      </c>
      <c r="AX10" s="53">
        <v>0</v>
      </c>
      <c r="AY10" s="53">
        <v>0</v>
      </c>
      <c r="AZ10" s="53">
        <v>0</v>
      </c>
      <c r="BA10" s="53">
        <v>0</v>
      </c>
      <c r="BC10" s="53">
        <v>63199.713620735987</v>
      </c>
      <c r="BD10" s="53">
        <v>63199.713620735987</v>
      </c>
      <c r="BE10" s="53">
        <v>63199.713620735987</v>
      </c>
      <c r="BF10" s="53">
        <v>63199.713620735987</v>
      </c>
      <c r="BH10" s="53">
        <v>75255.525799999989</v>
      </c>
      <c r="BI10" s="53">
        <v>75255.525799999989</v>
      </c>
      <c r="BJ10" s="53">
        <v>75255.525799999989</v>
      </c>
      <c r="BK10" s="53">
        <v>75255.525799999989</v>
      </c>
      <c r="BM10" s="53">
        <v>47188.692874751992</v>
      </c>
      <c r="BN10" s="53">
        <v>47188.692874751992</v>
      </c>
      <c r="BO10" s="53">
        <v>47188.692874751992</v>
      </c>
      <c r="BP10" s="53">
        <v>47188.692874751992</v>
      </c>
      <c r="BR10" s="53">
        <v>0</v>
      </c>
      <c r="BS10" s="53">
        <v>0</v>
      </c>
      <c r="BT10" s="53">
        <v>0</v>
      </c>
      <c r="BV10" s="53">
        <v>666081.74665478827</v>
      </c>
      <c r="BW10" s="53">
        <v>668288.16332145501</v>
      </c>
      <c r="BX10" s="53">
        <v>670293.99665478827</v>
      </c>
      <c r="BY10" s="53">
        <v>670547.74665478827</v>
      </c>
      <c r="CA10" s="53">
        <v>58685.16</v>
      </c>
      <c r="CB10" s="53">
        <v>59125.298699999999</v>
      </c>
      <c r="CC10" s="53">
        <v>59565.437399999995</v>
      </c>
      <c r="CE10" s="53">
        <v>64335.120000000017</v>
      </c>
      <c r="CF10" s="53">
        <v>64978.471200000022</v>
      </c>
      <c r="CG10" s="53">
        <v>65621.822400000019</v>
      </c>
      <c r="CI10" s="53">
        <v>14323.319399999997</v>
      </c>
      <c r="CJ10" s="53">
        <v>14695.840263999997</v>
      </c>
      <c r="CK10" s="53">
        <v>14957.170928</v>
      </c>
      <c r="CM10" s="53">
        <v>51000</v>
      </c>
      <c r="CN10" s="53">
        <v>51255</v>
      </c>
      <c r="CO10" s="53">
        <v>51510</v>
      </c>
      <c r="CQ10" s="53">
        <v>208780.5</v>
      </c>
      <c r="CR10" s="53">
        <v>210060.74000000005</v>
      </c>
      <c r="CS10" s="53">
        <v>211225.48000000004</v>
      </c>
      <c r="CU10" s="53">
        <v>53400</v>
      </c>
      <c r="CV10" s="53">
        <v>54067.5</v>
      </c>
      <c r="CW10" s="53">
        <v>54735</v>
      </c>
      <c r="CY10" s="53">
        <v>0</v>
      </c>
      <c r="CZ10" s="53">
        <v>0</v>
      </c>
      <c r="DA10" s="53">
        <v>0</v>
      </c>
      <c r="DC10" s="53">
        <v>665652.20603764674</v>
      </c>
      <c r="DD10" s="53">
        <v>557074.11064232758</v>
      </c>
      <c r="DE10" s="53">
        <v>483535.83178116323</v>
      </c>
      <c r="DG10" s="53">
        <v>0</v>
      </c>
      <c r="DH10" s="53">
        <v>0</v>
      </c>
      <c r="DI10" s="53">
        <v>0</v>
      </c>
      <c r="DJ10" s="53">
        <v>0</v>
      </c>
      <c r="DL10" s="53">
        <v>-618974.54016441607</v>
      </c>
      <c r="DM10" s="53">
        <v>-618974.54016441607</v>
      </c>
      <c r="DN10" s="53">
        <v>-620521.97651482711</v>
      </c>
      <c r="DP10" s="53">
        <v>159781.12405529819</v>
      </c>
      <c r="DQ10" s="53">
        <v>145407.4766994899</v>
      </c>
      <c r="DR10" s="53">
        <v>143635.015196661</v>
      </c>
      <c r="DS10" s="53" t="e">
        <v>#N/A</v>
      </c>
      <c r="DU10" s="53">
        <v>1</v>
      </c>
      <c r="DV10" s="53">
        <v>1</v>
      </c>
      <c r="DW10" s="53">
        <v>1</v>
      </c>
      <c r="DX10" s="53">
        <v>1</v>
      </c>
      <c r="DZ10" s="53">
        <v>1</v>
      </c>
      <c r="EA10" s="53">
        <v>1</v>
      </c>
      <c r="EB10" s="53">
        <v>1</v>
      </c>
      <c r="EC10" s="53">
        <v>1</v>
      </c>
      <c r="EE10" s="53">
        <v>31.720000000000002</v>
      </c>
      <c r="EF10" s="53">
        <v>31.720000000000002</v>
      </c>
      <c r="EG10" s="53">
        <v>31.720000000000002</v>
      </c>
      <c r="EH10" s="53">
        <v>31.720000000000002</v>
      </c>
      <c r="EJ10" s="53">
        <v>5.29</v>
      </c>
      <c r="EK10" s="53">
        <v>5.29</v>
      </c>
      <c r="EL10" s="53">
        <v>5.29</v>
      </c>
      <c r="EM10" s="53">
        <v>5.29</v>
      </c>
      <c r="EO10" s="53">
        <v>5.29</v>
      </c>
      <c r="EP10" s="53">
        <v>5.29</v>
      </c>
      <c r="EQ10" s="53">
        <v>5.29</v>
      </c>
      <c r="ER10" s="53">
        <v>5.29</v>
      </c>
      <c r="ET10" s="53">
        <v>0</v>
      </c>
      <c r="EU10" s="53">
        <v>0</v>
      </c>
      <c r="EV10" s="53">
        <v>0</v>
      </c>
      <c r="EW10" s="53">
        <v>0</v>
      </c>
      <c r="EY10" s="53">
        <v>37</v>
      </c>
      <c r="EZ10" s="53">
        <v>37</v>
      </c>
      <c r="FA10" s="53">
        <v>37</v>
      </c>
      <c r="FB10" s="53">
        <v>37</v>
      </c>
    </row>
    <row r="11" spans="1:158" x14ac:dyDescent="0.25">
      <c r="A11" s="117"/>
      <c r="B11" t="str">
        <v>JV2</v>
      </c>
      <c r="C11" t="str">
        <v>Remote</v>
      </c>
      <c r="D11" t="str">
        <v>Maryland</v>
      </c>
      <c r="E11" s="53">
        <v>5575.6799999999994</v>
      </c>
      <c r="F11" s="53">
        <v>5575.6799999999994</v>
      </c>
      <c r="G11" s="53">
        <v>5575.6799999999994</v>
      </c>
      <c r="H11" s="53">
        <v>5575.6799999999994</v>
      </c>
      <c r="J11" s="53">
        <v>571563.70135199989</v>
      </c>
      <c r="K11" s="53">
        <v>571563.70135199989</v>
      </c>
      <c r="L11" s="53">
        <v>571563.70135199989</v>
      </c>
      <c r="M11" s="53">
        <v>571563.70135199989</v>
      </c>
      <c r="O11" s="53">
        <v>502976.05718975997</v>
      </c>
      <c r="P11" s="53">
        <v>502976.05718975997</v>
      </c>
      <c r="Q11" s="53">
        <v>502976.05718975997</v>
      </c>
      <c r="R11" s="53">
        <v>502976.05718975997</v>
      </c>
      <c r="T11" s="53">
        <v>-68587.644162240002</v>
      </c>
      <c r="U11" s="53">
        <v>-68587.644162240002</v>
      </c>
      <c r="V11" s="53">
        <v>-68587.644162240002</v>
      </c>
      <c r="W11" s="53">
        <v>-68587.644162240002</v>
      </c>
      <c r="Y11" s="53">
        <v>428662.93111199996</v>
      </c>
      <c r="Z11" s="53">
        <v>428662.93111199996</v>
      </c>
      <c r="AA11" s="53">
        <v>428662.93111199996</v>
      </c>
      <c r="AB11" s="53">
        <v>428662.93111199996</v>
      </c>
      <c r="AD11" s="53">
        <v>0</v>
      </c>
      <c r="AE11" s="53">
        <v>0</v>
      </c>
      <c r="AF11" s="53">
        <v>0</v>
      </c>
      <c r="AG11" s="53">
        <v>0</v>
      </c>
      <c r="AI11" s="53">
        <v>111825.11246399998</v>
      </c>
      <c r="AJ11" s="53">
        <v>111825.11246399998</v>
      </c>
      <c r="AK11" s="53">
        <v>111825.11246399998</v>
      </c>
      <c r="AL11" s="53">
        <v>111825.11246399998</v>
      </c>
      <c r="AN11" s="53">
        <v>9382.701744</v>
      </c>
      <c r="AO11" s="53">
        <v>9382.701744</v>
      </c>
      <c r="AP11" s="53">
        <v>9382.701744</v>
      </c>
      <c r="AQ11" s="53">
        <v>9382.701744</v>
      </c>
      <c r="AS11" s="53">
        <v>21692.956031999998</v>
      </c>
      <c r="AT11" s="53">
        <v>21692.956031999998</v>
      </c>
      <c r="AU11" s="53">
        <v>21692.956031999998</v>
      </c>
      <c r="AV11" s="53">
        <v>21692.956031999998</v>
      </c>
      <c r="AX11" s="53">
        <v>0</v>
      </c>
      <c r="AY11" s="53">
        <v>0</v>
      </c>
      <c r="AZ11" s="53">
        <v>0</v>
      </c>
      <c r="BA11" s="53">
        <v>0</v>
      </c>
      <c r="BC11" s="53">
        <v>0</v>
      </c>
      <c r="BD11" s="53">
        <v>0</v>
      </c>
      <c r="BE11" s="53">
        <v>0</v>
      </c>
      <c r="BF11" s="53">
        <v>0</v>
      </c>
      <c r="BH11" s="53">
        <v>0</v>
      </c>
      <c r="BI11" s="53">
        <v>0</v>
      </c>
      <c r="BJ11" s="53">
        <v>0</v>
      </c>
      <c r="BK11" s="53">
        <v>0</v>
      </c>
      <c r="BM11" s="53">
        <v>0</v>
      </c>
      <c r="BN11" s="53">
        <v>0</v>
      </c>
      <c r="BO11" s="53">
        <v>0</v>
      </c>
      <c r="BP11" s="53">
        <v>0</v>
      </c>
      <c r="BR11" s="53">
        <v>0</v>
      </c>
      <c r="BS11" s="53">
        <v>0</v>
      </c>
      <c r="BT11" s="53">
        <v>0</v>
      </c>
      <c r="BV11" s="53">
        <v>219399.40592525393</v>
      </c>
      <c r="BW11" s="53">
        <v>219399.40592525393</v>
      </c>
      <c r="BX11" s="53">
        <v>219399.40592525393</v>
      </c>
      <c r="BY11" s="53">
        <v>219399.40592525393</v>
      </c>
      <c r="CA11" s="53">
        <v>0</v>
      </c>
      <c r="CB11" s="53">
        <v>0</v>
      </c>
      <c r="CC11" s="53">
        <v>0</v>
      </c>
      <c r="CE11" s="53">
        <v>0</v>
      </c>
      <c r="CF11" s="53">
        <v>0</v>
      </c>
      <c r="CG11" s="53">
        <v>0</v>
      </c>
      <c r="CI11" s="53">
        <v>12776.764800000003</v>
      </c>
      <c r="CJ11" s="53">
        <v>12904.532448000002</v>
      </c>
      <c r="CK11" s="53">
        <v>13032.300096000003</v>
      </c>
      <c r="CM11" s="53">
        <v>0</v>
      </c>
      <c r="CN11" s="53">
        <v>0</v>
      </c>
      <c r="CO11" s="53">
        <v>0</v>
      </c>
      <c r="CQ11" s="53">
        <v>79169.999999999985</v>
      </c>
      <c r="CR11" s="53">
        <v>79565.849999999991</v>
      </c>
      <c r="CS11" s="53">
        <v>79961.699999999983</v>
      </c>
      <c r="CU11" s="53">
        <v>0</v>
      </c>
      <c r="CV11" s="53">
        <v>0</v>
      </c>
      <c r="CW11" s="53">
        <v>0</v>
      </c>
      <c r="CY11" s="53">
        <v>0</v>
      </c>
      <c r="CZ11" s="53">
        <v>0</v>
      </c>
      <c r="DA11" s="53">
        <v>0</v>
      </c>
      <c r="DC11" s="53">
        <v>324543.67699538759</v>
      </c>
      <c r="DD11" s="53">
        <v>271605.62015259254</v>
      </c>
      <c r="DE11" s="53">
        <v>235751.48610925899</v>
      </c>
      <c r="DG11" s="53">
        <v>0</v>
      </c>
      <c r="DH11" s="53">
        <v>0</v>
      </c>
      <c r="DI11" s="53">
        <v>0</v>
      </c>
      <c r="DJ11" s="53">
        <v>0</v>
      </c>
      <c r="DL11" s="53">
        <v>-301785.63431385596</v>
      </c>
      <c r="DM11" s="53">
        <v>-301785.63431385596</v>
      </c>
      <c r="DN11" s="53">
        <v>-302540.09839964058</v>
      </c>
      <c r="DP11" s="53">
        <v>76428.597464469975</v>
      </c>
      <c r="DQ11" s="53">
        <v>69553.206429712212</v>
      </c>
      <c r="DR11" s="53">
        <v>68705.379456895971</v>
      </c>
      <c r="DS11" s="53" t="e">
        <v>#N/A</v>
      </c>
      <c r="DU11" s="53">
        <v>0</v>
      </c>
      <c r="DV11" s="53">
        <v>0</v>
      </c>
      <c r="DW11" s="53">
        <v>0</v>
      </c>
      <c r="DX11" s="53">
        <v>0</v>
      </c>
      <c r="DZ11" s="53">
        <v>0</v>
      </c>
      <c r="EA11" s="53">
        <v>0</v>
      </c>
      <c r="EB11" s="53">
        <v>0</v>
      </c>
      <c r="EC11" s="53">
        <v>0</v>
      </c>
      <c r="EE11" s="53">
        <v>14.79</v>
      </c>
      <c r="EF11" s="53">
        <v>14.79</v>
      </c>
      <c r="EG11" s="53">
        <v>14.79</v>
      </c>
      <c r="EH11" s="53">
        <v>14.79</v>
      </c>
      <c r="EJ11" s="53">
        <v>3</v>
      </c>
      <c r="EK11" s="53">
        <v>3</v>
      </c>
      <c r="EL11" s="53">
        <v>3</v>
      </c>
      <c r="EM11" s="53">
        <v>3</v>
      </c>
      <c r="EO11" s="53">
        <v>3</v>
      </c>
      <c r="EP11" s="53">
        <v>3</v>
      </c>
      <c r="EQ11" s="53">
        <v>3</v>
      </c>
      <c r="ER11" s="53">
        <v>3</v>
      </c>
      <c r="ET11" s="53">
        <v>0</v>
      </c>
      <c r="EU11" s="53">
        <v>0</v>
      </c>
      <c r="EV11" s="53">
        <v>0</v>
      </c>
      <c r="EW11" s="53">
        <v>0</v>
      </c>
      <c r="EY11" s="53">
        <v>36</v>
      </c>
      <c r="EZ11" s="53">
        <v>36</v>
      </c>
      <c r="FA11" s="53">
        <v>36</v>
      </c>
      <c r="FB11" s="53">
        <v>36</v>
      </c>
    </row>
    <row r="12" spans="1:158" x14ac:dyDescent="0.25">
      <c r="A12" s="117"/>
      <c r="B12" t="str">
        <v>JV2</v>
      </c>
      <c r="C12" t="str">
        <v>Center</v>
      </c>
      <c r="D12" t="str">
        <v>North Carolina</v>
      </c>
      <c r="E12" s="53">
        <v>9871.2533333333322</v>
      </c>
      <c r="F12" s="53">
        <v>10711.359999999999</v>
      </c>
      <c r="G12" s="53">
        <v>10711.359999999999</v>
      </c>
      <c r="H12" s="53">
        <v>10711.359999999999</v>
      </c>
      <c r="J12" s="53">
        <v>969860.5687562665</v>
      </c>
      <c r="K12" s="53">
        <v>1052401.8937567999</v>
      </c>
      <c r="L12" s="53">
        <v>1052401.8937567999</v>
      </c>
      <c r="M12" s="53">
        <v>1052401.8937567999</v>
      </c>
      <c r="O12" s="53">
        <v>786743.99455884786</v>
      </c>
      <c r="P12" s="53">
        <v>848362.15682598401</v>
      </c>
      <c r="Q12" s="53">
        <v>848362.15682598401</v>
      </c>
      <c r="R12" s="53">
        <v>848362.15682598401</v>
      </c>
      <c r="T12" s="53">
        <v>-124937.43933075199</v>
      </c>
      <c r="U12" s="53">
        <v>-134842.39833081601</v>
      </c>
      <c r="V12" s="53">
        <v>-134842.39833081601</v>
      </c>
      <c r="W12" s="53">
        <v>-134842.39833081601</v>
      </c>
      <c r="Y12" s="53">
        <v>675241.06203839998</v>
      </c>
      <c r="Z12" s="53">
        <v>732708.38646719989</v>
      </c>
      <c r="AA12" s="53">
        <v>732708.38646719989</v>
      </c>
      <c r="AB12" s="53">
        <v>732708.38646719989</v>
      </c>
      <c r="AD12" s="53">
        <v>129463.89386666665</v>
      </c>
      <c r="AE12" s="53">
        <v>140482.09759999998</v>
      </c>
      <c r="AF12" s="53">
        <v>140482.09759999998</v>
      </c>
      <c r="AG12" s="53">
        <v>140482.09759999998</v>
      </c>
      <c r="AI12" s="53">
        <v>142564.32889919999</v>
      </c>
      <c r="AJ12" s="53">
        <v>154697.46327360001</v>
      </c>
      <c r="AK12" s="53">
        <v>154697.46327360001</v>
      </c>
      <c r="AL12" s="53">
        <v>154697.46327360001</v>
      </c>
      <c r="AN12" s="53">
        <v>8066.5964639999993</v>
      </c>
      <c r="AO12" s="53">
        <v>8753.1153119999981</v>
      </c>
      <c r="AP12" s="53">
        <v>8753.1153119999981</v>
      </c>
      <c r="AQ12" s="53">
        <v>8753.1153119999981</v>
      </c>
      <c r="AS12" s="53">
        <v>14524.687487999998</v>
      </c>
      <c r="AT12" s="53">
        <v>15760.831103999999</v>
      </c>
      <c r="AU12" s="53">
        <v>15760.831103999999</v>
      </c>
      <c r="AV12" s="53">
        <v>15760.831103999999</v>
      </c>
      <c r="AX12" s="53">
        <v>0</v>
      </c>
      <c r="AY12" s="53">
        <v>0</v>
      </c>
      <c r="AZ12" s="53">
        <v>0</v>
      </c>
      <c r="BA12" s="53">
        <v>0</v>
      </c>
      <c r="BC12" s="53">
        <v>52053.978732800009</v>
      </c>
      <c r="BD12" s="53">
        <v>56484.104582400003</v>
      </c>
      <c r="BE12" s="53">
        <v>56484.104582400003</v>
      </c>
      <c r="BF12" s="53">
        <v>56484.104582400003</v>
      </c>
      <c r="BH12" s="53">
        <v>71284.758999999991</v>
      </c>
      <c r="BI12" s="53">
        <v>71284.758999999991</v>
      </c>
      <c r="BJ12" s="53">
        <v>71284.758999999991</v>
      </c>
      <c r="BK12" s="53">
        <v>71284.758999999991</v>
      </c>
      <c r="BM12" s="53">
        <v>30538.964538368004</v>
      </c>
      <c r="BN12" s="53">
        <v>33138.025350144002</v>
      </c>
      <c r="BO12" s="53">
        <v>33138.025350144002</v>
      </c>
      <c r="BP12" s="53">
        <v>33138.025350144002</v>
      </c>
      <c r="BR12" s="53">
        <v>0</v>
      </c>
      <c r="BS12" s="53">
        <v>0</v>
      </c>
      <c r="BT12" s="53">
        <v>0</v>
      </c>
      <c r="BV12" s="53">
        <v>598699.22064099193</v>
      </c>
      <c r="BW12" s="53">
        <v>633236.24381611194</v>
      </c>
      <c r="BX12" s="53">
        <v>635454.74381611182</v>
      </c>
      <c r="BY12" s="53">
        <v>637740.91048277856</v>
      </c>
      <c r="CA12" s="53">
        <v>80556</v>
      </c>
      <c r="CB12" s="53">
        <v>81160.17</v>
      </c>
      <c r="CC12" s="53">
        <v>81764.34</v>
      </c>
      <c r="CE12" s="53">
        <v>67200</v>
      </c>
      <c r="CF12" s="53">
        <v>67872</v>
      </c>
      <c r="CG12" s="53">
        <v>68544</v>
      </c>
      <c r="CI12" s="53">
        <v>13646.070000000002</v>
      </c>
      <c r="CJ12" s="53">
        <v>13907.939768</v>
      </c>
      <c r="CK12" s="53">
        <v>14385.855463999998</v>
      </c>
      <c r="CM12" s="53">
        <v>72000</v>
      </c>
      <c r="CN12" s="53">
        <v>72360</v>
      </c>
      <c r="CO12" s="53">
        <v>72720</v>
      </c>
      <c r="CQ12" s="53">
        <v>191137</v>
      </c>
      <c r="CR12" s="53">
        <v>195314.47000000003</v>
      </c>
      <c r="CS12" s="53">
        <v>196636.15000000002</v>
      </c>
      <c r="CU12" s="53">
        <v>57000</v>
      </c>
      <c r="CV12" s="53">
        <v>57712.5</v>
      </c>
      <c r="CW12" s="53">
        <v>58425</v>
      </c>
      <c r="CY12" s="53">
        <v>0</v>
      </c>
      <c r="CZ12" s="53">
        <v>0</v>
      </c>
      <c r="DA12" s="53">
        <v>0</v>
      </c>
      <c r="DC12" s="53">
        <v>533423.13558064506</v>
      </c>
      <c r="DD12" s="53">
        <v>458113.11776174826</v>
      </c>
      <c r="DE12" s="53">
        <v>397638.48869475332</v>
      </c>
      <c r="DG12" s="53">
        <v>0</v>
      </c>
      <c r="DH12" s="53">
        <v>0</v>
      </c>
      <c r="DI12" s="53">
        <v>0</v>
      </c>
      <c r="DJ12" s="53">
        <v>0</v>
      </c>
      <c r="DL12" s="53">
        <v>-470891.0561928</v>
      </c>
      <c r="DM12" s="53">
        <v>-488221.16433043202</v>
      </c>
      <c r="DN12" s="53">
        <v>-506823.81570330297</v>
      </c>
      <c r="DP12" s="53">
        <v>135310.14109187413</v>
      </c>
      <c r="DQ12" s="53">
        <v>133617.68129142316</v>
      </c>
      <c r="DR12" s="53">
        <v>131988.93288341819</v>
      </c>
      <c r="DS12" s="53" t="e">
        <v>#N/A</v>
      </c>
      <c r="DU12" s="53">
        <v>1</v>
      </c>
      <c r="DV12" s="53">
        <v>1</v>
      </c>
      <c r="DW12" s="53">
        <v>1</v>
      </c>
      <c r="DX12" s="53">
        <v>1</v>
      </c>
      <c r="DZ12" s="53">
        <v>1</v>
      </c>
      <c r="EA12" s="53">
        <v>1</v>
      </c>
      <c r="EB12" s="53">
        <v>1</v>
      </c>
      <c r="EC12" s="53">
        <v>1</v>
      </c>
      <c r="EE12" s="53">
        <v>29.150000000000002</v>
      </c>
      <c r="EF12" s="53">
        <v>29.150000000000002</v>
      </c>
      <c r="EG12" s="53">
        <v>29.150000000000002</v>
      </c>
      <c r="EH12" s="53">
        <v>29.150000000000002</v>
      </c>
      <c r="EJ12" s="53">
        <v>4.8599999999999994</v>
      </c>
      <c r="EK12" s="53">
        <v>4.8599999999999994</v>
      </c>
      <c r="EL12" s="53">
        <v>4.8599999999999994</v>
      </c>
      <c r="EM12" s="53">
        <v>4.8599999999999994</v>
      </c>
      <c r="EO12" s="53">
        <v>4.8599999999999994</v>
      </c>
      <c r="EP12" s="53">
        <v>4.8599999999999994</v>
      </c>
      <c r="EQ12" s="53">
        <v>4.8599999999999994</v>
      </c>
      <c r="ER12" s="53">
        <v>4.8599999999999994</v>
      </c>
      <c r="ET12" s="53">
        <v>0</v>
      </c>
      <c r="EU12" s="53">
        <v>0</v>
      </c>
      <c r="EV12" s="53">
        <v>0</v>
      </c>
      <c r="EW12" s="53">
        <v>0</v>
      </c>
      <c r="EY12" s="53">
        <v>34</v>
      </c>
      <c r="EZ12" s="53">
        <v>34</v>
      </c>
      <c r="FA12" s="53">
        <v>34</v>
      </c>
      <c r="FB12" s="53">
        <v>34</v>
      </c>
    </row>
    <row r="13" spans="1:158" x14ac:dyDescent="0.25">
      <c r="A13" s="117"/>
      <c r="B13" t="str">
        <v>JV2</v>
      </c>
      <c r="C13" t="str">
        <v>Remote</v>
      </c>
      <c r="D13" t="str">
        <v>North Carolina</v>
      </c>
      <c r="E13" s="53">
        <v>15746.133333333331</v>
      </c>
      <c r="F13" s="53">
        <v>17036.8</v>
      </c>
      <c r="G13" s="53">
        <v>18275.839999999997</v>
      </c>
      <c r="H13" s="53">
        <v>19566.506666666664</v>
      </c>
      <c r="J13" s="53">
        <v>1449854.3829180002</v>
      </c>
      <c r="K13" s="53">
        <v>1568694.9061079999</v>
      </c>
      <c r="L13" s="53">
        <v>1682781.8083704</v>
      </c>
      <c r="M13" s="53">
        <v>1801622.3315603998</v>
      </c>
      <c r="O13" s="53">
        <v>1275871.8569678399</v>
      </c>
      <c r="P13" s="53">
        <v>1380451.5173750399</v>
      </c>
      <c r="Q13" s="53">
        <v>1480847.9913659522</v>
      </c>
      <c r="R13" s="53">
        <v>1585427.6517731519</v>
      </c>
      <c r="T13" s="53">
        <v>-173982.52595015999</v>
      </c>
      <c r="U13" s="53">
        <v>-188243.38873295998</v>
      </c>
      <c r="V13" s="53">
        <v>-201933.81700444801</v>
      </c>
      <c r="W13" s="53">
        <v>-216194.67978724799</v>
      </c>
      <c r="Y13" s="53">
        <v>1145265.0024660002</v>
      </c>
      <c r="Z13" s="53">
        <v>1239139.1829959999</v>
      </c>
      <c r="AA13" s="53">
        <v>1329258.3963047999</v>
      </c>
      <c r="AB13" s="53">
        <v>1423132.5768347997</v>
      </c>
      <c r="AD13" s="53">
        <v>0</v>
      </c>
      <c r="AE13" s="53">
        <v>0</v>
      </c>
      <c r="AF13" s="53">
        <v>0</v>
      </c>
      <c r="AG13" s="53">
        <v>0</v>
      </c>
      <c r="AI13" s="53">
        <v>231287.87401200001</v>
      </c>
      <c r="AJ13" s="53">
        <v>250245.89647199999</v>
      </c>
      <c r="AK13" s="53">
        <v>268445.59803360002</v>
      </c>
      <c r="AL13" s="53">
        <v>287403.62049360003</v>
      </c>
      <c r="AN13" s="53">
        <v>26173.531080000001</v>
      </c>
      <c r="AO13" s="53">
        <v>28318.902479999997</v>
      </c>
      <c r="AP13" s="53">
        <v>30378.459024000003</v>
      </c>
      <c r="AQ13" s="53">
        <v>32523.830424</v>
      </c>
      <c r="AS13" s="53">
        <v>47127.975359999997</v>
      </c>
      <c r="AT13" s="53">
        <v>50990.924159999995</v>
      </c>
      <c r="AU13" s="53">
        <v>54699.355007999999</v>
      </c>
      <c r="AV13" s="53">
        <v>58562.303807999997</v>
      </c>
      <c r="AX13" s="53">
        <v>0</v>
      </c>
      <c r="AY13" s="53">
        <v>0</v>
      </c>
      <c r="AZ13" s="53">
        <v>0</v>
      </c>
      <c r="BA13" s="53">
        <v>0</v>
      </c>
      <c r="BC13" s="53">
        <v>0</v>
      </c>
      <c r="BD13" s="53">
        <v>0</v>
      </c>
      <c r="BE13" s="53">
        <v>0</v>
      </c>
      <c r="BF13" s="53">
        <v>0</v>
      </c>
      <c r="BH13" s="53">
        <v>0</v>
      </c>
      <c r="BI13" s="53">
        <v>0</v>
      </c>
      <c r="BJ13" s="53">
        <v>0</v>
      </c>
      <c r="BK13" s="53">
        <v>0</v>
      </c>
      <c r="BM13" s="53">
        <v>0</v>
      </c>
      <c r="BN13" s="53">
        <v>0</v>
      </c>
      <c r="BO13" s="53">
        <v>0</v>
      </c>
      <c r="BP13" s="53">
        <v>0</v>
      </c>
      <c r="BR13" s="53">
        <v>0</v>
      </c>
      <c r="BS13" s="53">
        <v>0</v>
      </c>
      <c r="BT13" s="53">
        <v>0</v>
      </c>
      <c r="BV13" s="53">
        <v>553679.58309493004</v>
      </c>
      <c r="BW13" s="53">
        <v>592951.3517993869</v>
      </c>
      <c r="BX13" s="53">
        <v>630757.93956611003</v>
      </c>
      <c r="BY13" s="53">
        <v>670006.50827056693</v>
      </c>
      <c r="CA13" s="53">
        <v>0</v>
      </c>
      <c r="CB13" s="53">
        <v>0</v>
      </c>
      <c r="CC13" s="53">
        <v>0</v>
      </c>
      <c r="CE13" s="53">
        <v>0</v>
      </c>
      <c r="CF13" s="53">
        <v>0</v>
      </c>
      <c r="CG13" s="53">
        <v>0</v>
      </c>
      <c r="CI13" s="53">
        <v>23114.084000000003</v>
      </c>
      <c r="CJ13" s="53">
        <v>23994.440832</v>
      </c>
      <c r="CK13" s="53">
        <v>24884.771087999998</v>
      </c>
      <c r="CM13" s="53">
        <v>0</v>
      </c>
      <c r="CN13" s="53">
        <v>0</v>
      </c>
      <c r="CO13" s="53">
        <v>0</v>
      </c>
      <c r="CQ13" s="53">
        <v>393785</v>
      </c>
      <c r="CR13" s="53">
        <v>421841.6</v>
      </c>
      <c r="CS13" s="53">
        <v>450038.49999999994</v>
      </c>
      <c r="CU13" s="53">
        <v>0</v>
      </c>
      <c r="CV13" s="53">
        <v>0</v>
      </c>
      <c r="CW13" s="53">
        <v>0</v>
      </c>
      <c r="CY13" s="53">
        <v>0</v>
      </c>
      <c r="CZ13" s="53">
        <v>0</v>
      </c>
      <c r="DA13" s="53">
        <v>0</v>
      </c>
      <c r="DC13" s="53">
        <v>905218.84081703541</v>
      </c>
      <c r="DD13" s="53">
        <v>817215.64069931977</v>
      </c>
      <c r="DE13" s="53">
        <v>760575.88573769387</v>
      </c>
      <c r="DG13" s="53">
        <v>0</v>
      </c>
      <c r="DH13" s="53">
        <v>0</v>
      </c>
      <c r="DI13" s="53">
        <v>0</v>
      </c>
      <c r="DJ13" s="53">
        <v>0</v>
      </c>
      <c r="DL13" s="53">
        <v>-781210.063241784</v>
      </c>
      <c r="DM13" s="53">
        <v>-822623.60876303504</v>
      </c>
      <c r="DN13" s="53">
        <v>-881581.43811419827</v>
      </c>
      <c r="DP13" s="53">
        <v>215840.02061725315</v>
      </c>
      <c r="DQ13" s="53">
        <v>212523.68631300956</v>
      </c>
      <c r="DR13" s="53">
        <v>225200.96599760343</v>
      </c>
      <c r="DS13" s="53" t="e">
        <v>#N/A</v>
      </c>
      <c r="DU13" s="53">
        <v>0</v>
      </c>
      <c r="DV13" s="53">
        <v>0</v>
      </c>
      <c r="DW13" s="53">
        <v>0</v>
      </c>
      <c r="DX13" s="53">
        <v>0</v>
      </c>
      <c r="DZ13" s="53">
        <v>0</v>
      </c>
      <c r="EA13" s="53">
        <v>0</v>
      </c>
      <c r="EB13" s="53">
        <v>0</v>
      </c>
      <c r="EC13" s="53">
        <v>0</v>
      </c>
      <c r="EE13" s="53">
        <v>42.72</v>
      </c>
      <c r="EF13" s="53">
        <v>46.419999999999995</v>
      </c>
      <c r="EG13" s="53">
        <v>49.699999999999996</v>
      </c>
      <c r="EH13" s="53">
        <v>52.989999999999995</v>
      </c>
      <c r="EJ13" s="53">
        <v>9.4599999999999991</v>
      </c>
      <c r="EK13" s="53">
        <v>10.28</v>
      </c>
      <c r="EL13" s="53">
        <v>11</v>
      </c>
      <c r="EM13" s="53">
        <v>11.73</v>
      </c>
      <c r="EO13" s="53">
        <v>9.4599999999999991</v>
      </c>
      <c r="EP13" s="53">
        <v>10.28</v>
      </c>
      <c r="EQ13" s="53">
        <v>11</v>
      </c>
      <c r="ER13" s="53">
        <v>11.73</v>
      </c>
      <c r="ET13" s="53">
        <v>0</v>
      </c>
      <c r="EU13" s="53">
        <v>0</v>
      </c>
      <c r="EV13" s="53">
        <v>0</v>
      </c>
      <c r="EW13" s="53">
        <v>0</v>
      </c>
      <c r="EY13" s="53">
        <v>104</v>
      </c>
      <c r="EZ13" s="53">
        <v>113</v>
      </c>
      <c r="FA13" s="53">
        <v>121</v>
      </c>
      <c r="FB13" s="53">
        <v>129</v>
      </c>
    </row>
    <row r="14" spans="1:158" x14ac:dyDescent="0.25">
      <c r="A14" s="117"/>
      <c r="B14" t="str">
        <v>JV2</v>
      </c>
      <c r="C14" t="str">
        <v>Remote</v>
      </c>
      <c r="D14" t="str">
        <v>Arizona</v>
      </c>
      <c r="E14" s="53">
        <v>5575.6799999999994</v>
      </c>
      <c r="F14" s="53">
        <v>5575.6799999999994</v>
      </c>
      <c r="G14" s="53">
        <v>5575.6799999999994</v>
      </c>
      <c r="H14" s="53">
        <v>5575.6799999999994</v>
      </c>
      <c r="J14" s="53">
        <v>578540.27419199981</v>
      </c>
      <c r="K14" s="53">
        <v>578540.27419199981</v>
      </c>
      <c r="L14" s="53">
        <v>578540.27419199981</v>
      </c>
      <c r="M14" s="53">
        <v>578540.27419199981</v>
      </c>
      <c r="O14" s="53">
        <v>509115.44128895993</v>
      </c>
      <c r="P14" s="53">
        <v>509115.44128895993</v>
      </c>
      <c r="Q14" s="53">
        <v>509115.44128895993</v>
      </c>
      <c r="R14" s="53">
        <v>509115.44128895993</v>
      </c>
      <c r="T14" s="53">
        <v>-69424.832903039976</v>
      </c>
      <c r="U14" s="53">
        <v>-69424.832903039976</v>
      </c>
      <c r="V14" s="53">
        <v>-69424.832903039976</v>
      </c>
      <c r="W14" s="53">
        <v>-69424.832903039976</v>
      </c>
      <c r="Y14" s="53">
        <v>452812.95539999986</v>
      </c>
      <c r="Z14" s="53">
        <v>452812.95539999986</v>
      </c>
      <c r="AA14" s="53">
        <v>452812.95539999986</v>
      </c>
      <c r="AB14" s="53">
        <v>452812.95539999986</v>
      </c>
      <c r="AD14" s="53">
        <v>0</v>
      </c>
      <c r="AE14" s="53">
        <v>0</v>
      </c>
      <c r="AF14" s="53">
        <v>0</v>
      </c>
      <c r="AG14" s="53">
        <v>0</v>
      </c>
      <c r="AI14" s="53">
        <v>91437.591959999991</v>
      </c>
      <c r="AJ14" s="53">
        <v>91437.591959999991</v>
      </c>
      <c r="AK14" s="53">
        <v>91437.591959999991</v>
      </c>
      <c r="AL14" s="53">
        <v>91437.591959999991</v>
      </c>
      <c r="AN14" s="53">
        <v>14067.321839999997</v>
      </c>
      <c r="AO14" s="53">
        <v>14067.321839999997</v>
      </c>
      <c r="AP14" s="53">
        <v>14067.321839999997</v>
      </c>
      <c r="AQ14" s="53">
        <v>14067.321839999997</v>
      </c>
      <c r="AS14" s="53">
        <v>20222.404991999996</v>
      </c>
      <c r="AT14" s="53">
        <v>20222.404991999996</v>
      </c>
      <c r="AU14" s="53">
        <v>20222.404991999996</v>
      </c>
      <c r="AV14" s="53">
        <v>20222.404991999996</v>
      </c>
      <c r="AX14" s="53">
        <v>0</v>
      </c>
      <c r="AY14" s="53">
        <v>0</v>
      </c>
      <c r="AZ14" s="53">
        <v>0</v>
      </c>
      <c r="BA14" s="53">
        <v>0</v>
      </c>
      <c r="BC14" s="53">
        <v>0</v>
      </c>
      <c r="BD14" s="53">
        <v>0</v>
      </c>
      <c r="BE14" s="53">
        <v>0</v>
      </c>
      <c r="BF14" s="53">
        <v>0</v>
      </c>
      <c r="BH14" s="53">
        <v>0</v>
      </c>
      <c r="BI14" s="53">
        <v>0</v>
      </c>
      <c r="BJ14" s="53">
        <v>0</v>
      </c>
      <c r="BK14" s="53">
        <v>0</v>
      </c>
      <c r="BM14" s="53">
        <v>0</v>
      </c>
      <c r="BN14" s="53">
        <v>0</v>
      </c>
      <c r="BO14" s="53">
        <v>0</v>
      </c>
      <c r="BP14" s="53">
        <v>0</v>
      </c>
      <c r="BR14" s="53">
        <v>0</v>
      </c>
      <c r="BS14" s="53">
        <v>0</v>
      </c>
      <c r="BT14" s="53">
        <v>0</v>
      </c>
      <c r="BV14" s="53">
        <v>223254.53397525393</v>
      </c>
      <c r="BW14" s="53">
        <v>223254.53397525393</v>
      </c>
      <c r="BX14" s="53">
        <v>223254.53397525393</v>
      </c>
      <c r="BY14" s="53">
        <v>223254.53397525393</v>
      </c>
      <c r="CA14" s="53">
        <v>0</v>
      </c>
      <c r="CB14" s="53">
        <v>0</v>
      </c>
      <c r="CC14" s="53">
        <v>0</v>
      </c>
      <c r="CE14" s="53">
        <v>0</v>
      </c>
      <c r="CF14" s="53">
        <v>0</v>
      </c>
      <c r="CG14" s="53">
        <v>0</v>
      </c>
      <c r="CI14" s="53">
        <v>12776.764800000003</v>
      </c>
      <c r="CJ14" s="53">
        <v>12904.532448000002</v>
      </c>
      <c r="CK14" s="53">
        <v>13032.300096000003</v>
      </c>
      <c r="CM14" s="53">
        <v>54000</v>
      </c>
      <c r="CN14" s="53">
        <v>54270</v>
      </c>
      <c r="CO14" s="53">
        <v>54540</v>
      </c>
      <c r="CQ14" s="53">
        <v>143699.99999999997</v>
      </c>
      <c r="CR14" s="53">
        <v>144418.5</v>
      </c>
      <c r="CS14" s="53">
        <v>145137</v>
      </c>
      <c r="CU14" s="53">
        <v>23400</v>
      </c>
      <c r="CV14" s="53">
        <v>23692.5</v>
      </c>
      <c r="CW14" s="53">
        <v>23985</v>
      </c>
      <c r="CY14" s="53">
        <v>0</v>
      </c>
      <c r="CZ14" s="53">
        <v>0</v>
      </c>
      <c r="DA14" s="53">
        <v>0</v>
      </c>
      <c r="DC14" s="53">
        <v>328505.09476380766</v>
      </c>
      <c r="DD14" s="53">
        <v>274920.86985838332</v>
      </c>
      <c r="DE14" s="53">
        <v>238629.0960958431</v>
      </c>
      <c r="DG14" s="53">
        <v>0</v>
      </c>
      <c r="DH14" s="53">
        <v>0</v>
      </c>
      <c r="DI14" s="53">
        <v>0</v>
      </c>
      <c r="DJ14" s="53">
        <v>0</v>
      </c>
      <c r="DL14" s="53">
        <v>-305469.26477337588</v>
      </c>
      <c r="DM14" s="53">
        <v>-305469.26477337588</v>
      </c>
      <c r="DN14" s="53">
        <v>-306232.93793530931</v>
      </c>
      <c r="DP14" s="53">
        <v>76428.597464469975</v>
      </c>
      <c r="DQ14" s="53">
        <v>69553.206429712212</v>
      </c>
      <c r="DR14" s="53">
        <v>68705.379456895971</v>
      </c>
      <c r="DS14" s="53" t="e">
        <v>#N/A</v>
      </c>
      <c r="DU14" s="53">
        <v>0</v>
      </c>
      <c r="DV14" s="53">
        <v>0</v>
      </c>
      <c r="DW14" s="53">
        <v>0</v>
      </c>
      <c r="DX14" s="53">
        <v>0</v>
      </c>
      <c r="DZ14" s="53">
        <v>0</v>
      </c>
      <c r="EA14" s="53">
        <v>0</v>
      </c>
      <c r="EB14" s="53">
        <v>0</v>
      </c>
      <c r="EC14" s="53">
        <v>0</v>
      </c>
      <c r="EE14" s="53">
        <v>14.79</v>
      </c>
      <c r="EF14" s="53">
        <v>14.79</v>
      </c>
      <c r="EG14" s="53">
        <v>14.79</v>
      </c>
      <c r="EH14" s="53">
        <v>14.79</v>
      </c>
      <c r="EJ14" s="53">
        <v>3.28</v>
      </c>
      <c r="EK14" s="53">
        <v>3.28</v>
      </c>
      <c r="EL14" s="53">
        <v>3.28</v>
      </c>
      <c r="EM14" s="53">
        <v>3.28</v>
      </c>
      <c r="EO14" s="53">
        <v>3.28</v>
      </c>
      <c r="EP14" s="53">
        <v>3.28</v>
      </c>
      <c r="EQ14" s="53">
        <v>3.28</v>
      </c>
      <c r="ER14" s="53">
        <v>3.28</v>
      </c>
      <c r="ET14" s="53">
        <v>0</v>
      </c>
      <c r="EU14" s="53">
        <v>0</v>
      </c>
      <c r="EV14" s="53">
        <v>0</v>
      </c>
      <c r="EW14" s="53">
        <v>0</v>
      </c>
      <c r="EY14" s="53">
        <v>36</v>
      </c>
      <c r="EZ14" s="53">
        <v>36</v>
      </c>
      <c r="FA14" s="53">
        <v>36</v>
      </c>
      <c r="FB14" s="53">
        <v>36</v>
      </c>
    </row>
    <row r="15" spans="1:158" x14ac:dyDescent="0.25">
      <c r="A15" s="117"/>
      <c r="B15" t="str">
        <v>JV1</v>
      </c>
      <c r="C15" t="str">
        <v>Center</v>
      </c>
      <c r="D15" t="str">
        <v>New Jersey</v>
      </c>
      <c r="E15" s="53">
        <v>2835.3599999999997</v>
      </c>
      <c r="F15" s="53">
        <v>5670.7199999999993</v>
      </c>
      <c r="G15" s="53">
        <v>8506.0799999999981</v>
      </c>
      <c r="H15" s="53">
        <v>11341.439999999999</v>
      </c>
      <c r="J15" s="53">
        <v>499964.00400000002</v>
      </c>
      <c r="K15" s="53">
        <v>999928.00799999991</v>
      </c>
      <c r="L15" s="53">
        <v>1499892.0119999996</v>
      </c>
      <c r="M15" s="53">
        <v>1999856.0159999998</v>
      </c>
      <c r="O15" s="53">
        <v>484399.02151999995</v>
      </c>
      <c r="P15" s="53">
        <v>900391.70503999991</v>
      </c>
      <c r="Q15" s="53">
        <v>1316384.3885599999</v>
      </c>
      <c r="R15" s="53">
        <v>1732377.0720799998</v>
      </c>
      <c r="T15" s="53">
        <v>-69323.817479999998</v>
      </c>
      <c r="U15" s="53">
        <v>-129319.49795999996</v>
      </c>
      <c r="V15" s="53">
        <v>-189315.17843999999</v>
      </c>
      <c r="W15" s="53">
        <v>-249310.85891999997</v>
      </c>
      <c r="Y15" s="53">
        <v>408905.64</v>
      </c>
      <c r="Z15" s="53">
        <v>817811.27999999991</v>
      </c>
      <c r="AA15" s="53">
        <v>1226716.92</v>
      </c>
      <c r="AB15" s="53">
        <v>1635622.5599999998</v>
      </c>
      <c r="AD15" s="53">
        <v>23975.64</v>
      </c>
      <c r="AE15" s="53">
        <v>47951.28</v>
      </c>
      <c r="AF15" s="53">
        <v>71926.919999999984</v>
      </c>
      <c r="AG15" s="53">
        <v>95902.56</v>
      </c>
      <c r="AI15" s="53">
        <v>56980.637999999977</v>
      </c>
      <c r="AJ15" s="53">
        <v>113961.27599999997</v>
      </c>
      <c r="AK15" s="53">
        <v>170941.91399999993</v>
      </c>
      <c r="AL15" s="53">
        <v>227922.55199999991</v>
      </c>
      <c r="AN15" s="53">
        <v>4383.1260000000002</v>
      </c>
      <c r="AO15" s="53">
        <v>8766.2520000000004</v>
      </c>
      <c r="AP15" s="53">
        <v>13149.377999999999</v>
      </c>
      <c r="AQ15" s="53">
        <v>17532.504000000001</v>
      </c>
      <c r="AS15" s="53">
        <v>5718.9599999999991</v>
      </c>
      <c r="AT15" s="53">
        <v>11437.919999999998</v>
      </c>
      <c r="AU15" s="53">
        <v>17156.879999999997</v>
      </c>
      <c r="AV15" s="53">
        <v>22875.839999999997</v>
      </c>
      <c r="AX15" s="53">
        <v>0</v>
      </c>
      <c r="AY15" s="53">
        <v>0</v>
      </c>
      <c r="AZ15" s="53">
        <v>0</v>
      </c>
      <c r="BA15" s="53">
        <v>0</v>
      </c>
      <c r="BC15" s="53">
        <v>29463.278506421753</v>
      </c>
      <c r="BD15" s="53">
        <v>58926.557012843514</v>
      </c>
      <c r="BE15" s="53">
        <v>88389.835519265267</v>
      </c>
      <c r="BF15" s="53">
        <v>117853.11402568703</v>
      </c>
      <c r="BH15" s="53">
        <v>77734.474999999991</v>
      </c>
      <c r="BI15" s="53">
        <v>77734.474999999991</v>
      </c>
      <c r="BJ15" s="53">
        <v>77734.474999999991</v>
      </c>
      <c r="BK15" s="53">
        <v>77734.474999999991</v>
      </c>
      <c r="BM15" s="53">
        <v>21120.746810042878</v>
      </c>
      <c r="BN15" s="53">
        <v>42241.493620085748</v>
      </c>
      <c r="BO15" s="53">
        <v>63362.240430128637</v>
      </c>
      <c r="BP15" s="53">
        <v>84482.987240171511</v>
      </c>
      <c r="BR15" s="53">
        <v>0</v>
      </c>
      <c r="BS15" s="53">
        <v>0</v>
      </c>
      <c r="BT15" s="53">
        <v>0</v>
      </c>
      <c r="BV15" s="53">
        <v>281610.79411602957</v>
      </c>
      <c r="BW15" s="53">
        <v>456998.7139653925</v>
      </c>
      <c r="BX15" s="53">
        <v>632088.4171480888</v>
      </c>
      <c r="BY15" s="53">
        <v>807677.88699745177</v>
      </c>
      <c r="CA15" s="53">
        <v>225000</v>
      </c>
      <c r="CB15" s="53">
        <v>226687.5</v>
      </c>
      <c r="CC15" s="53">
        <v>228375</v>
      </c>
      <c r="CE15" s="53">
        <v>72000</v>
      </c>
      <c r="CF15" s="53">
        <v>72720</v>
      </c>
      <c r="CG15" s="53">
        <v>73440</v>
      </c>
      <c r="CI15" s="53">
        <v>13656.1782</v>
      </c>
      <c r="CJ15" s="53">
        <v>14188.947728000003</v>
      </c>
      <c r="CK15" s="53">
        <v>14558.099192000001</v>
      </c>
      <c r="CM15" s="53">
        <v>90000</v>
      </c>
      <c r="CN15" s="53">
        <v>90450</v>
      </c>
      <c r="CO15" s="53">
        <v>90900</v>
      </c>
      <c r="CQ15" s="53">
        <v>149039</v>
      </c>
      <c r="CR15" s="53">
        <v>191697.64</v>
      </c>
      <c r="CS15" s="53">
        <v>222994.30000000002</v>
      </c>
      <c r="CU15" s="53">
        <v>72000</v>
      </c>
      <c r="CV15" s="53">
        <v>72900</v>
      </c>
      <c r="CW15" s="53">
        <v>73800</v>
      </c>
      <c r="CY15" s="53">
        <v>0</v>
      </c>
      <c r="CZ15" s="53">
        <v>0</v>
      </c>
      <c r="DA15" s="53">
        <v>0</v>
      </c>
      <c r="DC15" s="53">
        <v>642783.62482308852</v>
      </c>
      <c r="DD15" s="53">
        <v>762867.31413726241</v>
      </c>
      <c r="DE15" s="53">
        <v>810985.03914823139</v>
      </c>
      <c r="DG15" s="53">
        <v>0</v>
      </c>
      <c r="DH15" s="53">
        <v>0</v>
      </c>
      <c r="DI15" s="53">
        <v>0</v>
      </c>
      <c r="DJ15" s="53">
        <v>0</v>
      </c>
      <c r="DL15" s="53">
        <v>-699421.48919759982</v>
      </c>
      <c r="DM15" s="53">
        <v>-735394.29145653325</v>
      </c>
      <c r="DN15" s="53">
        <v>-833569.40630977333</v>
      </c>
      <c r="DP15" s="53">
        <v>38865.678824261719</v>
      </c>
      <c r="DQ15" s="53">
        <v>70738.772448400487</v>
      </c>
      <c r="DR15" s="53">
        <v>104814.74081918504</v>
      </c>
      <c r="DS15" s="53" t="e">
        <v>#N/A</v>
      </c>
      <c r="DU15" s="53">
        <v>1</v>
      </c>
      <c r="DV15" s="53">
        <v>1</v>
      </c>
      <c r="DW15" s="53">
        <v>1</v>
      </c>
      <c r="DX15" s="53">
        <v>1</v>
      </c>
      <c r="DZ15" s="53">
        <v>1</v>
      </c>
      <c r="EA15" s="53">
        <v>1</v>
      </c>
      <c r="EB15" s="53">
        <v>1</v>
      </c>
      <c r="EC15" s="53">
        <v>1</v>
      </c>
      <c r="EE15" s="53">
        <v>11.299999999999999</v>
      </c>
      <c r="EF15" s="53">
        <v>19.770000000000003</v>
      </c>
      <c r="EG15" s="53">
        <v>28.240000000000002</v>
      </c>
      <c r="EH15" s="53">
        <v>36.71</v>
      </c>
      <c r="EJ15" s="53">
        <v>1.72</v>
      </c>
      <c r="EK15" s="53">
        <v>3</v>
      </c>
      <c r="EL15" s="53">
        <v>4.29</v>
      </c>
      <c r="EM15" s="53">
        <v>5.58</v>
      </c>
      <c r="EO15" s="53">
        <v>1.72</v>
      </c>
      <c r="EP15" s="53">
        <v>3</v>
      </c>
      <c r="EQ15" s="53">
        <v>4.29</v>
      </c>
      <c r="ER15" s="53">
        <v>5.58</v>
      </c>
      <c r="ET15" s="53">
        <v>710500</v>
      </c>
      <c r="EU15" s="53">
        <v>0</v>
      </c>
      <c r="EV15" s="53">
        <v>0</v>
      </c>
      <c r="EW15" s="53">
        <v>0</v>
      </c>
      <c r="EY15" s="53">
        <v>12</v>
      </c>
      <c r="EZ15" s="53">
        <v>21</v>
      </c>
      <c r="FA15" s="53">
        <v>30</v>
      </c>
      <c r="FB15" s="53">
        <v>39</v>
      </c>
    </row>
    <row r="16" spans="1:158" x14ac:dyDescent="0.25">
      <c r="A16" s="117"/>
      <c r="B16" t="str">
        <v>JV1</v>
      </c>
      <c r="C16" t="str">
        <v>Center</v>
      </c>
      <c r="D16" t="str">
        <v>New Jersey</v>
      </c>
      <c r="E16" s="53">
        <v>2835.3599999999997</v>
      </c>
      <c r="F16" s="53">
        <v>5670.7199999999993</v>
      </c>
      <c r="G16" s="53">
        <v>8506.0799999999981</v>
      </c>
      <c r="H16" s="53">
        <v>11341.439999999999</v>
      </c>
      <c r="J16" s="53">
        <v>499964.00400000002</v>
      </c>
      <c r="K16" s="53">
        <v>999928.00799999991</v>
      </c>
      <c r="L16" s="53">
        <v>1499892.0119999996</v>
      </c>
      <c r="M16" s="53">
        <v>1999856.0159999998</v>
      </c>
      <c r="O16" s="53">
        <v>484399.02151999995</v>
      </c>
      <c r="P16" s="53">
        <v>900391.70503999991</v>
      </c>
      <c r="Q16" s="53">
        <v>1316384.3885599999</v>
      </c>
      <c r="R16" s="53">
        <v>1732377.0720799998</v>
      </c>
      <c r="T16" s="53">
        <v>-69323.817479999998</v>
      </c>
      <c r="U16" s="53">
        <v>-129319.49795999996</v>
      </c>
      <c r="V16" s="53">
        <v>-189315.17843999999</v>
      </c>
      <c r="W16" s="53">
        <v>-249310.85891999997</v>
      </c>
      <c r="Y16" s="53">
        <v>408905.64</v>
      </c>
      <c r="Z16" s="53">
        <v>817811.27999999991</v>
      </c>
      <c r="AA16" s="53">
        <v>1226716.92</v>
      </c>
      <c r="AB16" s="53">
        <v>1635622.5599999998</v>
      </c>
      <c r="AD16" s="53">
        <v>23975.64</v>
      </c>
      <c r="AE16" s="53">
        <v>47951.28</v>
      </c>
      <c r="AF16" s="53">
        <v>71926.919999999984</v>
      </c>
      <c r="AG16" s="53">
        <v>95902.56</v>
      </c>
      <c r="AI16" s="53">
        <v>56980.637999999977</v>
      </c>
      <c r="AJ16" s="53">
        <v>113961.27599999997</v>
      </c>
      <c r="AK16" s="53">
        <v>170941.91399999993</v>
      </c>
      <c r="AL16" s="53">
        <v>227922.55199999991</v>
      </c>
      <c r="AN16" s="53">
        <v>4383.1260000000002</v>
      </c>
      <c r="AO16" s="53">
        <v>8766.2520000000004</v>
      </c>
      <c r="AP16" s="53">
        <v>13149.377999999999</v>
      </c>
      <c r="AQ16" s="53">
        <v>17532.504000000001</v>
      </c>
      <c r="AS16" s="53">
        <v>5718.9599999999991</v>
      </c>
      <c r="AT16" s="53">
        <v>11437.919999999998</v>
      </c>
      <c r="AU16" s="53">
        <v>17156.879999999997</v>
      </c>
      <c r="AV16" s="53">
        <v>22875.839999999997</v>
      </c>
      <c r="AX16" s="53">
        <v>0</v>
      </c>
      <c r="AY16" s="53">
        <v>0</v>
      </c>
      <c r="AZ16" s="53">
        <v>0</v>
      </c>
      <c r="BA16" s="53">
        <v>0</v>
      </c>
      <c r="BC16" s="53">
        <v>29463.278506421753</v>
      </c>
      <c r="BD16" s="53">
        <v>58926.557012843514</v>
      </c>
      <c r="BE16" s="53">
        <v>88389.835519265267</v>
      </c>
      <c r="BF16" s="53">
        <v>117853.11402568703</v>
      </c>
      <c r="BH16" s="53">
        <v>77734.474999999991</v>
      </c>
      <c r="BI16" s="53">
        <v>77734.474999999991</v>
      </c>
      <c r="BJ16" s="53">
        <v>77734.474999999991</v>
      </c>
      <c r="BK16" s="53">
        <v>77734.474999999991</v>
      </c>
      <c r="BM16" s="53">
        <v>21120.746810042878</v>
      </c>
      <c r="BN16" s="53">
        <v>42241.493620085748</v>
      </c>
      <c r="BO16" s="53">
        <v>63362.240430128637</v>
      </c>
      <c r="BP16" s="53">
        <v>84482.987240171511</v>
      </c>
      <c r="BR16" s="53">
        <v>0</v>
      </c>
      <c r="BS16" s="53">
        <v>0</v>
      </c>
      <c r="BT16" s="53">
        <v>0</v>
      </c>
      <c r="BV16" s="53">
        <v>281610.79411602957</v>
      </c>
      <c r="BW16" s="53">
        <v>456998.7139653925</v>
      </c>
      <c r="BX16" s="53">
        <v>632088.4171480888</v>
      </c>
      <c r="BY16" s="53">
        <v>807677.88699745177</v>
      </c>
      <c r="CA16" s="53">
        <v>120000</v>
      </c>
      <c r="CB16" s="53">
        <v>120900</v>
      </c>
      <c r="CC16" s="53">
        <v>121800</v>
      </c>
      <c r="CE16" s="53">
        <v>100800</v>
      </c>
      <c r="CF16" s="53">
        <v>101808</v>
      </c>
      <c r="CG16" s="53">
        <v>102816</v>
      </c>
      <c r="CI16" s="53">
        <v>13656.1782</v>
      </c>
      <c r="CJ16" s="53">
        <v>14188.947728000003</v>
      </c>
      <c r="CK16" s="53">
        <v>14558.099192000001</v>
      </c>
      <c r="CM16" s="53">
        <v>90000</v>
      </c>
      <c r="CN16" s="53">
        <v>90450</v>
      </c>
      <c r="CO16" s="53">
        <v>90900</v>
      </c>
      <c r="CQ16" s="53">
        <v>149039</v>
      </c>
      <c r="CR16" s="53">
        <v>191697.64</v>
      </c>
      <c r="CS16" s="53">
        <v>222994.30000000002</v>
      </c>
      <c r="CU16" s="53">
        <v>72000</v>
      </c>
      <c r="CV16" s="53">
        <v>72900</v>
      </c>
      <c r="CW16" s="53">
        <v>73800</v>
      </c>
      <c r="CY16" s="53">
        <v>0</v>
      </c>
      <c r="CZ16" s="53">
        <v>0</v>
      </c>
      <c r="DA16" s="53">
        <v>0</v>
      </c>
      <c r="DC16" s="53">
        <v>642783.62482308852</v>
      </c>
      <c r="DD16" s="53">
        <v>762867.31413726241</v>
      </c>
      <c r="DE16" s="53">
        <v>810985.03914823139</v>
      </c>
      <c r="DG16" s="53">
        <v>0</v>
      </c>
      <c r="DH16" s="53">
        <v>0</v>
      </c>
      <c r="DI16" s="53">
        <v>0</v>
      </c>
      <c r="DJ16" s="53">
        <v>0</v>
      </c>
      <c r="DL16" s="53">
        <v>-699421.48919759982</v>
      </c>
      <c r="DM16" s="53">
        <v>-735394.29145653325</v>
      </c>
      <c r="DN16" s="53">
        <v>-833569.40630977333</v>
      </c>
      <c r="DP16" s="53">
        <v>38865.678824261719</v>
      </c>
      <c r="DQ16" s="53">
        <v>70738.772448400487</v>
      </c>
      <c r="DR16" s="53">
        <v>104814.74081918504</v>
      </c>
      <c r="DS16" s="53" t="e">
        <v>#N/A</v>
      </c>
      <c r="DU16" s="53">
        <v>1</v>
      </c>
      <c r="DV16" s="53">
        <v>1</v>
      </c>
      <c r="DW16" s="53">
        <v>1</v>
      </c>
      <c r="DX16" s="53">
        <v>1</v>
      </c>
      <c r="DZ16" s="53">
        <v>1</v>
      </c>
      <c r="EA16" s="53">
        <v>1</v>
      </c>
      <c r="EB16" s="53">
        <v>1</v>
      </c>
      <c r="EC16" s="53">
        <v>1</v>
      </c>
      <c r="EE16" s="53">
        <v>11.299999999999999</v>
      </c>
      <c r="EF16" s="53">
        <v>19.770000000000003</v>
      </c>
      <c r="EG16" s="53">
        <v>28.240000000000002</v>
      </c>
      <c r="EH16" s="53">
        <v>36.71</v>
      </c>
      <c r="EJ16" s="53">
        <v>1.72</v>
      </c>
      <c r="EK16" s="53">
        <v>3</v>
      </c>
      <c r="EL16" s="53">
        <v>4.29</v>
      </c>
      <c r="EM16" s="53">
        <v>5.58</v>
      </c>
      <c r="EO16" s="53">
        <v>1.72</v>
      </c>
      <c r="EP16" s="53">
        <v>3</v>
      </c>
      <c r="EQ16" s="53">
        <v>4.29</v>
      </c>
      <c r="ER16" s="53">
        <v>5.58</v>
      </c>
      <c r="ET16" s="53">
        <v>710500</v>
      </c>
      <c r="EU16" s="53">
        <v>0</v>
      </c>
      <c r="EV16" s="53">
        <v>0</v>
      </c>
      <c r="EW16" s="53">
        <v>0</v>
      </c>
      <c r="EY16" s="53">
        <v>12</v>
      </c>
      <c r="EZ16" s="53">
        <v>21</v>
      </c>
      <c r="FA16" s="53">
        <v>30</v>
      </c>
      <c r="FB16" s="53">
        <v>39</v>
      </c>
    </row>
    <row r="17" spans="1:158" x14ac:dyDescent="0.25">
      <c r="A17" s="117"/>
      <c r="B17" t="str">
        <v>JV1</v>
      </c>
      <c r="C17" t="str">
        <v>Center</v>
      </c>
      <c r="D17" t="str">
        <v>New Jersey</v>
      </c>
      <c r="E17" s="53">
        <v>315.03999999999996</v>
      </c>
      <c r="F17" s="53">
        <v>2835.3599999999997</v>
      </c>
      <c r="G17" s="53">
        <v>5670.7199999999993</v>
      </c>
      <c r="H17" s="53">
        <v>8506.0799999999981</v>
      </c>
      <c r="J17" s="53">
        <v>55551.556000000004</v>
      </c>
      <c r="K17" s="53">
        <v>499964.00400000002</v>
      </c>
      <c r="L17" s="53">
        <v>999928.00799999991</v>
      </c>
      <c r="M17" s="53">
        <v>1499892.0119999996</v>
      </c>
      <c r="O17" s="53">
        <v>69023.521946666675</v>
      </c>
      <c r="P17" s="53">
        <v>484399.02151999995</v>
      </c>
      <c r="Q17" s="53">
        <v>900391.70503999991</v>
      </c>
      <c r="R17" s="53">
        <v>1316384.3885599999</v>
      </c>
      <c r="T17" s="53">
        <v>-9775.5657199999987</v>
      </c>
      <c r="U17" s="53">
        <v>-69323.817479999998</v>
      </c>
      <c r="V17" s="53">
        <v>-129319.49795999996</v>
      </c>
      <c r="W17" s="53">
        <v>-189315.17843999999</v>
      </c>
      <c r="Y17" s="53">
        <v>45433.96</v>
      </c>
      <c r="Z17" s="53">
        <v>408905.64</v>
      </c>
      <c r="AA17" s="53">
        <v>817811.27999999991</v>
      </c>
      <c r="AB17" s="53">
        <v>1226716.92</v>
      </c>
      <c r="AD17" s="53">
        <v>2663.9599999999996</v>
      </c>
      <c r="AE17" s="53">
        <v>23975.64</v>
      </c>
      <c r="AF17" s="53">
        <v>47951.28</v>
      </c>
      <c r="AG17" s="53">
        <v>71926.919999999984</v>
      </c>
      <c r="AI17" s="53">
        <v>6331.181999999998</v>
      </c>
      <c r="AJ17" s="53">
        <v>56980.637999999977</v>
      </c>
      <c r="AK17" s="53">
        <v>113961.27599999997</v>
      </c>
      <c r="AL17" s="53">
        <v>170941.91399999993</v>
      </c>
      <c r="AN17" s="53">
        <v>487.01399999999995</v>
      </c>
      <c r="AO17" s="53">
        <v>4383.1260000000002</v>
      </c>
      <c r="AP17" s="53">
        <v>8766.2520000000004</v>
      </c>
      <c r="AQ17" s="53">
        <v>13149.377999999999</v>
      </c>
      <c r="AS17" s="53">
        <v>635.43999999999994</v>
      </c>
      <c r="AT17" s="53">
        <v>5718.9599999999991</v>
      </c>
      <c r="AU17" s="53">
        <v>11437.919999999998</v>
      </c>
      <c r="AV17" s="53">
        <v>17156.879999999997</v>
      </c>
      <c r="AX17" s="53">
        <v>0</v>
      </c>
      <c r="AY17" s="53">
        <v>0</v>
      </c>
      <c r="AZ17" s="53">
        <v>0</v>
      </c>
      <c r="BA17" s="53">
        <v>0</v>
      </c>
      <c r="BC17" s="53">
        <v>3273.6976118246394</v>
      </c>
      <c r="BD17" s="53">
        <v>29463.278506421753</v>
      </c>
      <c r="BE17" s="53">
        <v>58926.557012843514</v>
      </c>
      <c r="BF17" s="53">
        <v>88389.835519265267</v>
      </c>
      <c r="BH17" s="53">
        <v>25911.491666666665</v>
      </c>
      <c r="BI17" s="53">
        <v>77734.474999999991</v>
      </c>
      <c r="BJ17" s="53">
        <v>77734.474999999991</v>
      </c>
      <c r="BK17" s="53">
        <v>77734.474999999991</v>
      </c>
      <c r="BM17" s="53">
        <v>2346.7496455603195</v>
      </c>
      <c r="BN17" s="53">
        <v>21120.746810042878</v>
      </c>
      <c r="BO17" s="53">
        <v>42241.493620085748</v>
      </c>
      <c r="BP17" s="53">
        <v>63362.240430128637</v>
      </c>
      <c r="BR17" s="53">
        <v>0</v>
      </c>
      <c r="BS17" s="53">
        <v>0</v>
      </c>
      <c r="BT17" s="53">
        <v>0</v>
      </c>
      <c r="BV17" s="53">
        <v>43612.98992400329</v>
      </c>
      <c r="BW17" s="53">
        <v>281610.79411602957</v>
      </c>
      <c r="BX17" s="53">
        <v>456998.7139653925</v>
      </c>
      <c r="BY17" s="53">
        <v>632088.4171480888</v>
      </c>
      <c r="CA17" s="53">
        <v>150000</v>
      </c>
      <c r="CB17" s="53">
        <v>181350</v>
      </c>
      <c r="CC17" s="53">
        <v>182700</v>
      </c>
      <c r="CE17" s="53">
        <v>87000</v>
      </c>
      <c r="CF17" s="53">
        <v>105444</v>
      </c>
      <c r="CG17" s="53">
        <v>106488</v>
      </c>
      <c r="CI17" s="53">
        <v>10172.2186</v>
      </c>
      <c r="CJ17" s="53">
        <v>13810.092391999999</v>
      </c>
      <c r="CK17" s="53">
        <v>14342.861920000001</v>
      </c>
      <c r="CM17" s="53">
        <v>75000</v>
      </c>
      <c r="CN17" s="53">
        <v>90450</v>
      </c>
      <c r="CO17" s="53">
        <v>90900</v>
      </c>
      <c r="CQ17" s="53">
        <v>98077.5</v>
      </c>
      <c r="CR17" s="53">
        <v>150128.90999999997</v>
      </c>
      <c r="CS17" s="53">
        <v>192787.55000000002</v>
      </c>
      <c r="CU17" s="53">
        <v>60000</v>
      </c>
      <c r="CV17" s="53">
        <v>72900</v>
      </c>
      <c r="CW17" s="53">
        <v>73800</v>
      </c>
      <c r="CY17" s="53">
        <v>129000</v>
      </c>
      <c r="CZ17" s="53">
        <v>0</v>
      </c>
      <c r="DA17" s="53">
        <v>0</v>
      </c>
      <c r="DC17" s="53">
        <v>374825.72173784679</v>
      </c>
      <c r="DD17" s="53">
        <v>553240.19976290839</v>
      </c>
      <c r="DE17" s="53">
        <v>672754.32976805465</v>
      </c>
      <c r="DG17" s="53">
        <v>0</v>
      </c>
      <c r="DH17" s="53">
        <v>0</v>
      </c>
      <c r="DI17" s="53">
        <v>0</v>
      </c>
      <c r="DJ17" s="53">
        <v>0</v>
      </c>
      <c r="DL17" s="53">
        <v>-556461.89098773326</v>
      </c>
      <c r="DM17" s="53">
        <v>-661933.1098986665</v>
      </c>
      <c r="DN17" s="53">
        <v>-735023.91984502657</v>
      </c>
      <c r="DP17" s="53">
        <v>4318.4087582513021</v>
      </c>
      <c r="DQ17" s="53">
        <v>35369.386224200243</v>
      </c>
      <c r="DR17" s="53">
        <v>69876.493879456699</v>
      </c>
      <c r="DS17" s="53" t="e">
        <v>#N/A</v>
      </c>
      <c r="DU17" s="53">
        <v>1</v>
      </c>
      <c r="DV17" s="53">
        <v>1</v>
      </c>
      <c r="DW17" s="53">
        <v>1</v>
      </c>
      <c r="DX17" s="53">
        <v>1</v>
      </c>
      <c r="DZ17" s="53">
        <v>1</v>
      </c>
      <c r="EA17" s="53">
        <v>1</v>
      </c>
      <c r="EB17" s="53">
        <v>1</v>
      </c>
      <c r="EC17" s="53">
        <v>1</v>
      </c>
      <c r="EE17" s="53">
        <v>2.8299999999999996</v>
      </c>
      <c r="EF17" s="53">
        <v>11.299999999999999</v>
      </c>
      <c r="EG17" s="53">
        <v>19.770000000000003</v>
      </c>
      <c r="EH17" s="53">
        <v>28.240000000000002</v>
      </c>
      <c r="EJ17" s="53">
        <v>0.43</v>
      </c>
      <c r="EK17" s="53">
        <v>1.72</v>
      </c>
      <c r="EL17" s="53">
        <v>3</v>
      </c>
      <c r="EM17" s="53">
        <v>4.29</v>
      </c>
      <c r="EO17" s="53">
        <v>0.43</v>
      </c>
      <c r="EP17" s="53">
        <v>1.72</v>
      </c>
      <c r="EQ17" s="53">
        <v>3</v>
      </c>
      <c r="ER17" s="53">
        <v>4.29</v>
      </c>
      <c r="ET17" s="53">
        <v>710500</v>
      </c>
      <c r="EU17" s="53">
        <v>710500</v>
      </c>
      <c r="EV17" s="53">
        <v>0</v>
      </c>
      <c r="EW17" s="53">
        <v>0</v>
      </c>
      <c r="EY17" s="53">
        <v>3</v>
      </c>
      <c r="EZ17" s="53">
        <v>12</v>
      </c>
      <c r="FA17" s="53">
        <v>21</v>
      </c>
      <c r="FB17" s="53">
        <v>30</v>
      </c>
    </row>
    <row r="18" spans="1:158" x14ac:dyDescent="0.25">
      <c r="A18" s="117"/>
      <c r="B18" t="str">
        <v>JV1</v>
      </c>
      <c r="C18" t="str">
        <v>Remote</v>
      </c>
      <c r="D18" t="str">
        <v>New Jersey</v>
      </c>
      <c r="E18" s="53">
        <v>0</v>
      </c>
      <c r="F18" s="53">
        <v>447.47999999999996</v>
      </c>
      <c r="G18" s="53">
        <v>1193.2799999999997</v>
      </c>
      <c r="H18" s="53">
        <v>1988.8</v>
      </c>
      <c r="J18" s="53">
        <v>0</v>
      </c>
      <c r="K18" s="53">
        <v>81015.074999999983</v>
      </c>
      <c r="L18" s="53">
        <v>216040.19999999995</v>
      </c>
      <c r="M18" s="53">
        <v>360067</v>
      </c>
      <c r="O18" s="53">
        <v>0</v>
      </c>
      <c r="P18" s="53">
        <v>71293.265999999989</v>
      </c>
      <c r="Q18" s="53">
        <v>190115.37599999999</v>
      </c>
      <c r="R18" s="53">
        <v>316858.95999999996</v>
      </c>
      <c r="T18" s="53">
        <v>0</v>
      </c>
      <c r="U18" s="53">
        <v>-9721.8089999999975</v>
      </c>
      <c r="V18" s="53">
        <v>-25924.823999999993</v>
      </c>
      <c r="W18" s="53">
        <v>-43208.039999999994</v>
      </c>
      <c r="Y18" s="53">
        <v>0</v>
      </c>
      <c r="Z18" s="53">
        <v>68150.939999999988</v>
      </c>
      <c r="AA18" s="53">
        <v>181735.83999999997</v>
      </c>
      <c r="AB18" s="53">
        <v>302893.06666666665</v>
      </c>
      <c r="AD18" s="53">
        <v>0</v>
      </c>
      <c r="AE18" s="53">
        <v>0</v>
      </c>
      <c r="AF18" s="53">
        <v>0</v>
      </c>
      <c r="AG18" s="53">
        <v>0</v>
      </c>
      <c r="AI18" s="53">
        <v>0</v>
      </c>
      <c r="AJ18" s="53">
        <v>9496.7729999999974</v>
      </c>
      <c r="AK18" s="53">
        <v>25324.727999999988</v>
      </c>
      <c r="AL18" s="53">
        <v>42207.87999999999</v>
      </c>
      <c r="AN18" s="53">
        <v>0</v>
      </c>
      <c r="AO18" s="53">
        <v>1461.0419999999999</v>
      </c>
      <c r="AP18" s="53">
        <v>3896.1120000000001</v>
      </c>
      <c r="AQ18" s="53">
        <v>6493.5199999999995</v>
      </c>
      <c r="AS18" s="53">
        <v>0</v>
      </c>
      <c r="AT18" s="53">
        <v>1906.3199999999997</v>
      </c>
      <c r="AU18" s="53">
        <v>5083.5199999999995</v>
      </c>
      <c r="AV18" s="53">
        <v>8472.533333333331</v>
      </c>
      <c r="AX18" s="53">
        <v>0</v>
      </c>
      <c r="AY18" s="53">
        <v>0</v>
      </c>
      <c r="AZ18" s="53">
        <v>0</v>
      </c>
      <c r="BA18" s="53">
        <v>0</v>
      </c>
      <c r="BC18" s="53">
        <v>0</v>
      </c>
      <c r="BD18" s="53">
        <v>0</v>
      </c>
      <c r="BE18" s="53">
        <v>0</v>
      </c>
      <c r="BF18" s="53">
        <v>0</v>
      </c>
      <c r="BH18" s="53">
        <v>0</v>
      </c>
      <c r="BI18" s="53">
        <v>0</v>
      </c>
      <c r="BJ18" s="53">
        <v>0</v>
      </c>
      <c r="BK18" s="53">
        <v>0</v>
      </c>
      <c r="BM18" s="53">
        <v>0</v>
      </c>
      <c r="BN18" s="53">
        <v>0</v>
      </c>
      <c r="BO18" s="53">
        <v>0</v>
      </c>
      <c r="BP18" s="53">
        <v>0</v>
      </c>
      <c r="BR18" s="53">
        <v>0</v>
      </c>
      <c r="BS18" s="53">
        <v>0</v>
      </c>
      <c r="BT18" s="53">
        <v>0</v>
      </c>
      <c r="BV18" s="53">
        <v>0</v>
      </c>
      <c r="BW18" s="53">
        <v>66680.473106271165</v>
      </c>
      <c r="BX18" s="53">
        <v>107920.13249450087</v>
      </c>
      <c r="BY18" s="53">
        <v>141912.58627601995</v>
      </c>
      <c r="CA18" s="53">
        <v>0</v>
      </c>
      <c r="CB18" s="53">
        <v>0</v>
      </c>
      <c r="CC18" s="53">
        <v>0</v>
      </c>
      <c r="CE18" s="53">
        <v>0</v>
      </c>
      <c r="CF18" s="53">
        <v>0</v>
      </c>
      <c r="CG18" s="53">
        <v>0</v>
      </c>
      <c r="CI18" s="53">
        <v>7773.2057999999997</v>
      </c>
      <c r="CJ18" s="53">
        <v>11070.635415999999</v>
      </c>
      <c r="CK18" s="53">
        <v>12215.018431999999</v>
      </c>
      <c r="CM18" s="53">
        <v>0</v>
      </c>
      <c r="CN18" s="53">
        <v>0</v>
      </c>
      <c r="CO18" s="53">
        <v>0</v>
      </c>
      <c r="CQ18" s="53">
        <v>42890</v>
      </c>
      <c r="CR18" s="53">
        <v>66513.2</v>
      </c>
      <c r="CS18" s="53">
        <v>84497.400000000009</v>
      </c>
      <c r="CU18" s="53">
        <v>0</v>
      </c>
      <c r="CV18" s="53">
        <v>0</v>
      </c>
      <c r="CW18" s="53">
        <v>0</v>
      </c>
      <c r="CY18" s="53">
        <v>0</v>
      </c>
      <c r="CZ18" s="53">
        <v>0</v>
      </c>
      <c r="DA18" s="53">
        <v>0</v>
      </c>
      <c r="DC18" s="53">
        <v>75228.456050717956</v>
      </c>
      <c r="DD18" s="53">
        <v>123548.44878350136</v>
      </c>
      <c r="DE18" s="53">
        <v>167253.16849677259</v>
      </c>
      <c r="DG18" s="53">
        <v>0</v>
      </c>
      <c r="DH18" s="53">
        <v>0</v>
      </c>
      <c r="DI18" s="53">
        <v>0</v>
      </c>
      <c r="DJ18" s="53">
        <v>0</v>
      </c>
      <c r="DL18" s="53">
        <v>-17823.316499999997</v>
      </c>
      <c r="DM18" s="53">
        <v>-53469.949499999995</v>
      </c>
      <c r="DN18" s="53">
        <v>-107545.89176100001</v>
      </c>
      <c r="DP18" s="53">
        <v>0</v>
      </c>
      <c r="DQ18" s="53">
        <v>5582.0400046573013</v>
      </c>
      <c r="DR18" s="53">
        <v>14703.992194373566</v>
      </c>
      <c r="DS18" s="53" t="e">
        <v>#N/A</v>
      </c>
      <c r="DU18" s="53">
        <v>0</v>
      </c>
      <c r="DV18" s="53">
        <v>0</v>
      </c>
      <c r="DW18" s="53">
        <v>0</v>
      </c>
      <c r="DX18" s="53">
        <v>0</v>
      </c>
      <c r="DZ18" s="53">
        <v>0</v>
      </c>
      <c r="EA18" s="53">
        <v>0</v>
      </c>
      <c r="EB18" s="53">
        <v>0</v>
      </c>
      <c r="EC18" s="53">
        <v>0</v>
      </c>
      <c r="EE18" s="53">
        <v>0</v>
      </c>
      <c r="EF18" s="53">
        <v>2.1599999999999997</v>
      </c>
      <c r="EG18" s="53">
        <v>4.3199999999999994</v>
      </c>
      <c r="EH18" s="53">
        <v>6.4799999999999995</v>
      </c>
      <c r="EJ18" s="53">
        <v>0</v>
      </c>
      <c r="EK18" s="53">
        <v>0.46</v>
      </c>
      <c r="EL18" s="53">
        <v>0.91</v>
      </c>
      <c r="EM18" s="53">
        <v>1.37</v>
      </c>
      <c r="EO18" s="53">
        <v>0</v>
      </c>
      <c r="EP18" s="53">
        <v>0.46</v>
      </c>
      <c r="EQ18" s="53">
        <v>0.91</v>
      </c>
      <c r="ER18" s="53">
        <v>1.37</v>
      </c>
      <c r="ET18" s="53">
        <v>0</v>
      </c>
      <c r="EU18" s="53">
        <v>0</v>
      </c>
      <c r="EV18" s="53">
        <v>0</v>
      </c>
      <c r="EW18" s="53">
        <v>0</v>
      </c>
      <c r="EY18" s="53">
        <v>0</v>
      </c>
      <c r="EZ18" s="53">
        <v>5</v>
      </c>
      <c r="FA18" s="53">
        <v>10</v>
      </c>
      <c r="FB18" s="53">
        <v>15</v>
      </c>
    </row>
    <row r="19" spans="1:158" x14ac:dyDescent="0.25">
      <c r="A19" s="117"/>
      <c r="B19" t="str">
        <v>JV1</v>
      </c>
      <c r="C19" t="str">
        <v>Center</v>
      </c>
      <c r="D19" t="str">
        <v>New Jersey</v>
      </c>
      <c r="E19" s="53">
        <v>10921.386666666665</v>
      </c>
      <c r="F19" s="53">
        <v>13231.679999999998</v>
      </c>
      <c r="G19" s="53">
        <v>13231.679999999998</v>
      </c>
      <c r="H19" s="53">
        <v>13231.679999999998</v>
      </c>
      <c r="J19" s="53">
        <v>1925787.2746666663</v>
      </c>
      <c r="K19" s="53">
        <v>2333165.352</v>
      </c>
      <c r="L19" s="53">
        <v>2333165.352</v>
      </c>
      <c r="M19" s="53">
        <v>2333165.352</v>
      </c>
      <c r="O19" s="53">
        <v>1670748.5263733333</v>
      </c>
      <c r="P19" s="53">
        <v>2009705.5277599997</v>
      </c>
      <c r="Q19" s="53">
        <v>2009705.5277599997</v>
      </c>
      <c r="R19" s="53">
        <v>2009705.5277599997</v>
      </c>
      <c r="T19" s="53">
        <v>-240422.60995999997</v>
      </c>
      <c r="U19" s="53">
        <v>-289307.97923999996</v>
      </c>
      <c r="V19" s="53">
        <v>-289307.97923999996</v>
      </c>
      <c r="W19" s="53">
        <v>-289307.97923999996</v>
      </c>
      <c r="Y19" s="53">
        <v>1575043.9466666663</v>
      </c>
      <c r="Z19" s="53">
        <v>1908226.3199999998</v>
      </c>
      <c r="AA19" s="53">
        <v>1908226.3199999998</v>
      </c>
      <c r="AB19" s="53">
        <v>1908226.3199999998</v>
      </c>
      <c r="AD19" s="53">
        <v>92350.613333333313</v>
      </c>
      <c r="AE19" s="53">
        <v>111886.31999999998</v>
      </c>
      <c r="AF19" s="53">
        <v>111886.31999999998</v>
      </c>
      <c r="AG19" s="53">
        <v>111886.31999999998</v>
      </c>
      <c r="AI19" s="53">
        <v>219480.97599999994</v>
      </c>
      <c r="AJ19" s="53">
        <v>265909.64399999997</v>
      </c>
      <c r="AK19" s="53">
        <v>265909.64399999997</v>
      </c>
      <c r="AL19" s="53">
        <v>265909.64399999997</v>
      </c>
      <c r="AN19" s="53">
        <v>16883.151999999998</v>
      </c>
      <c r="AO19" s="53">
        <v>20454.588</v>
      </c>
      <c r="AP19" s="53">
        <v>20454.588</v>
      </c>
      <c r="AQ19" s="53">
        <v>20454.588</v>
      </c>
      <c r="AS19" s="53">
        <v>22028.586666666666</v>
      </c>
      <c r="AT19" s="53">
        <v>26688.48</v>
      </c>
      <c r="AU19" s="53">
        <v>26688.48</v>
      </c>
      <c r="AV19" s="53">
        <v>26688.48</v>
      </c>
      <c r="AX19" s="53">
        <v>0</v>
      </c>
      <c r="AY19" s="53">
        <v>0</v>
      </c>
      <c r="AZ19" s="53">
        <v>0</v>
      </c>
      <c r="BA19" s="53">
        <v>0</v>
      </c>
      <c r="BC19" s="53">
        <v>113488.18387658751</v>
      </c>
      <c r="BD19" s="53">
        <v>137495.29969663487</v>
      </c>
      <c r="BE19" s="53">
        <v>137495.29969663487</v>
      </c>
      <c r="BF19" s="53">
        <v>137495.29969663487</v>
      </c>
      <c r="BH19" s="53">
        <v>77734.474999999991</v>
      </c>
      <c r="BI19" s="53">
        <v>77734.474999999991</v>
      </c>
      <c r="BJ19" s="53">
        <v>77734.474999999991</v>
      </c>
      <c r="BK19" s="53">
        <v>77734.474999999991</v>
      </c>
      <c r="BM19" s="53">
        <v>81353.987712757764</v>
      </c>
      <c r="BN19" s="53">
        <v>98563.485113533417</v>
      </c>
      <c r="BO19" s="53">
        <v>98563.485113533417</v>
      </c>
      <c r="BP19" s="53">
        <v>98563.485113533417</v>
      </c>
      <c r="BR19" s="53">
        <v>0</v>
      </c>
      <c r="BS19" s="53">
        <v>0</v>
      </c>
      <c r="BT19" s="53">
        <v>0</v>
      </c>
      <c r="BV19" s="53">
        <v>1003149.299943225</v>
      </c>
      <c r="BW19" s="53">
        <v>1128647.699208138</v>
      </c>
      <c r="BX19" s="53">
        <v>1131071.1325414714</v>
      </c>
      <c r="BY19" s="53">
        <v>1133655.0325414715</v>
      </c>
      <c r="CA19" s="53">
        <v>268937.87999999995</v>
      </c>
      <c r="CB19" s="53">
        <v>270954.91409999999</v>
      </c>
      <c r="CC19" s="53">
        <v>272971.94820000004</v>
      </c>
      <c r="CE19" s="53">
        <v>91940.04</v>
      </c>
      <c r="CF19" s="53">
        <v>92859.440400000021</v>
      </c>
      <c r="CG19" s="53">
        <v>93778.840800000005</v>
      </c>
      <c r="CI19" s="53">
        <v>14127.894200000001</v>
      </c>
      <c r="CJ19" s="53">
        <v>14061.584407999999</v>
      </c>
      <c r="CK19" s="53">
        <v>14659.989847999999</v>
      </c>
      <c r="CM19" s="53">
        <v>90000</v>
      </c>
      <c r="CN19" s="53">
        <v>90450</v>
      </c>
      <c r="CO19" s="53">
        <v>90900</v>
      </c>
      <c r="CQ19" s="53">
        <v>237351</v>
      </c>
      <c r="CR19" s="53">
        <v>247475.74000000002</v>
      </c>
      <c r="CS19" s="53">
        <v>249178.22000000009</v>
      </c>
      <c r="CU19" s="53">
        <v>72000</v>
      </c>
      <c r="CV19" s="53">
        <v>72900</v>
      </c>
      <c r="CW19" s="53">
        <v>73800</v>
      </c>
      <c r="CY19" s="53">
        <v>0</v>
      </c>
      <c r="CZ19" s="53">
        <v>0</v>
      </c>
      <c r="DA19" s="53">
        <v>0</v>
      </c>
      <c r="DC19" s="53">
        <v>1221631.474089433</v>
      </c>
      <c r="DD19" s="53">
        <v>1085235.1884125844</v>
      </c>
      <c r="DE19" s="53">
        <v>941975.38439223042</v>
      </c>
      <c r="DG19" s="53">
        <v>0</v>
      </c>
      <c r="DH19" s="53">
        <v>0</v>
      </c>
      <c r="DI19" s="53">
        <v>0</v>
      </c>
      <c r="DJ19" s="53">
        <v>0</v>
      </c>
      <c r="DL19" s="53">
        <v>-1027870.890928</v>
      </c>
      <c r="DM19" s="53">
        <v>-1104136.2162399997</v>
      </c>
      <c r="DN19" s="53">
        <v>-1183416.0998436396</v>
      </c>
      <c r="DP19" s="53">
        <v>149704.8369527118</v>
      </c>
      <c r="DQ19" s="53">
        <v>165057.13571293448</v>
      </c>
      <c r="DR19" s="53">
        <v>163045.15238539895</v>
      </c>
      <c r="DS19" s="53" t="e">
        <v>#N/A</v>
      </c>
      <c r="DU19" s="53">
        <v>1</v>
      </c>
      <c r="DV19" s="53">
        <v>1</v>
      </c>
      <c r="DW19" s="53">
        <v>1</v>
      </c>
      <c r="DX19" s="53">
        <v>1</v>
      </c>
      <c r="DZ19" s="53">
        <v>1</v>
      </c>
      <c r="EA19" s="53">
        <v>1</v>
      </c>
      <c r="EB19" s="53">
        <v>1</v>
      </c>
      <c r="EC19" s="53">
        <v>1</v>
      </c>
      <c r="EE19" s="53">
        <v>35.769999999999996</v>
      </c>
      <c r="EF19" s="53">
        <v>39.53</v>
      </c>
      <c r="EG19" s="53">
        <v>39.53</v>
      </c>
      <c r="EH19" s="53">
        <v>39.53</v>
      </c>
      <c r="EJ19" s="53">
        <v>5.43</v>
      </c>
      <c r="EK19" s="53">
        <v>6</v>
      </c>
      <c r="EL19" s="53">
        <v>6</v>
      </c>
      <c r="EM19" s="53">
        <v>6</v>
      </c>
      <c r="EO19" s="53">
        <v>5.43</v>
      </c>
      <c r="EP19" s="53">
        <v>6</v>
      </c>
      <c r="EQ19" s="53">
        <v>6</v>
      </c>
      <c r="ER19" s="53">
        <v>6</v>
      </c>
      <c r="ET19" s="53">
        <v>0</v>
      </c>
      <c r="EU19" s="53">
        <v>0</v>
      </c>
      <c r="EV19" s="53">
        <v>0</v>
      </c>
      <c r="EW19" s="53">
        <v>0</v>
      </c>
      <c r="EY19" s="53">
        <v>38</v>
      </c>
      <c r="EZ19" s="53">
        <v>42</v>
      </c>
      <c r="FA19" s="53">
        <v>42</v>
      </c>
      <c r="FB19" s="53">
        <v>42</v>
      </c>
    </row>
    <row r="20" spans="1:158" x14ac:dyDescent="0.25">
      <c r="A20" s="117"/>
      <c r="B20" t="str">
        <v>JV1</v>
      </c>
      <c r="C20" t="str">
        <v>Remote</v>
      </c>
      <c r="D20" t="str">
        <v>New Jersey</v>
      </c>
      <c r="E20" s="53">
        <v>3097.5999999999995</v>
      </c>
      <c r="F20" s="53">
        <v>3717.12</v>
      </c>
      <c r="G20" s="53">
        <v>3717.12</v>
      </c>
      <c r="H20" s="53">
        <v>3717.12</v>
      </c>
      <c r="J20" s="53">
        <v>560752.29999999993</v>
      </c>
      <c r="K20" s="53">
        <v>672902.76</v>
      </c>
      <c r="L20" s="53">
        <v>672902.76</v>
      </c>
      <c r="M20" s="53">
        <v>672902.76</v>
      </c>
      <c r="O20" s="53">
        <v>493462.02399999998</v>
      </c>
      <c r="P20" s="53">
        <v>592154.42879999988</v>
      </c>
      <c r="Q20" s="53">
        <v>592154.42879999988</v>
      </c>
      <c r="R20" s="53">
        <v>592154.42879999988</v>
      </c>
      <c r="T20" s="53">
        <v>-67290.275999999983</v>
      </c>
      <c r="U20" s="53">
        <v>-80748.331199999986</v>
      </c>
      <c r="V20" s="53">
        <v>-80748.331199999986</v>
      </c>
      <c r="W20" s="53">
        <v>-80748.331199999986</v>
      </c>
      <c r="Y20" s="53">
        <v>474991.39999999991</v>
      </c>
      <c r="Z20" s="53">
        <v>569989.67999999993</v>
      </c>
      <c r="AA20" s="53">
        <v>569989.67999999993</v>
      </c>
      <c r="AB20" s="53">
        <v>569989.67999999993</v>
      </c>
      <c r="AD20" s="53">
        <v>0</v>
      </c>
      <c r="AE20" s="53">
        <v>0</v>
      </c>
      <c r="AF20" s="53">
        <v>0</v>
      </c>
      <c r="AG20" s="53">
        <v>0</v>
      </c>
      <c r="AI20" s="53">
        <v>63311.819999999978</v>
      </c>
      <c r="AJ20" s="53">
        <v>75974.183999999979</v>
      </c>
      <c r="AK20" s="53">
        <v>75974.183999999979</v>
      </c>
      <c r="AL20" s="53">
        <v>75974.183999999979</v>
      </c>
      <c r="AN20" s="53">
        <v>9740.2799999999988</v>
      </c>
      <c r="AO20" s="53">
        <v>11688.335999999999</v>
      </c>
      <c r="AP20" s="53">
        <v>11688.335999999999</v>
      </c>
      <c r="AQ20" s="53">
        <v>11688.335999999999</v>
      </c>
      <c r="AS20" s="53">
        <v>12708.8</v>
      </c>
      <c r="AT20" s="53">
        <v>15250.559999999998</v>
      </c>
      <c r="AU20" s="53">
        <v>15250.559999999998</v>
      </c>
      <c r="AV20" s="53">
        <v>15250.559999999998</v>
      </c>
      <c r="AX20" s="53">
        <v>0</v>
      </c>
      <c r="AY20" s="53">
        <v>0</v>
      </c>
      <c r="AZ20" s="53">
        <v>0</v>
      </c>
      <c r="BA20" s="53">
        <v>0</v>
      </c>
      <c r="BC20" s="53">
        <v>0</v>
      </c>
      <c r="BD20" s="53">
        <v>0</v>
      </c>
      <c r="BE20" s="53">
        <v>0</v>
      </c>
      <c r="BF20" s="53">
        <v>0</v>
      </c>
      <c r="BH20" s="53">
        <v>0</v>
      </c>
      <c r="BI20" s="53">
        <v>0</v>
      </c>
      <c r="BJ20" s="53">
        <v>0</v>
      </c>
      <c r="BK20" s="53">
        <v>0</v>
      </c>
      <c r="BM20" s="53">
        <v>0</v>
      </c>
      <c r="BN20" s="53">
        <v>0</v>
      </c>
      <c r="BO20" s="53">
        <v>0</v>
      </c>
      <c r="BP20" s="53">
        <v>0</v>
      </c>
      <c r="BR20" s="53">
        <v>0</v>
      </c>
      <c r="BS20" s="53">
        <v>0</v>
      </c>
      <c r="BT20" s="53">
        <v>0</v>
      </c>
      <c r="BV20" s="53">
        <v>187883.96179736324</v>
      </c>
      <c r="BW20" s="53">
        <v>204907.96425016926</v>
      </c>
      <c r="BX20" s="53">
        <v>205190.23091683592</v>
      </c>
      <c r="BY20" s="53">
        <v>205190.23091683592</v>
      </c>
      <c r="CA20" s="53">
        <v>0</v>
      </c>
      <c r="CB20" s="53">
        <v>0</v>
      </c>
      <c r="CC20" s="53">
        <v>0</v>
      </c>
      <c r="CE20" s="53">
        <v>0</v>
      </c>
      <c r="CF20" s="53">
        <v>0</v>
      </c>
      <c r="CG20" s="53">
        <v>0</v>
      </c>
      <c r="CI20" s="53">
        <v>12129.840000000002</v>
      </c>
      <c r="CJ20" s="53">
        <v>11992.638032000001</v>
      </c>
      <c r="CK20" s="53">
        <v>12124.988064000001</v>
      </c>
      <c r="CM20" s="53">
        <v>0</v>
      </c>
      <c r="CN20" s="53">
        <v>0</v>
      </c>
      <c r="CO20" s="53">
        <v>0</v>
      </c>
      <c r="CQ20" s="53">
        <v>109175</v>
      </c>
      <c r="CR20" s="53">
        <v>112620.40000000001</v>
      </c>
      <c r="CS20" s="53">
        <v>113200.80000000002</v>
      </c>
      <c r="CU20" s="53">
        <v>0</v>
      </c>
      <c r="CV20" s="53">
        <v>0</v>
      </c>
      <c r="CW20" s="53">
        <v>0</v>
      </c>
      <c r="CY20" s="53">
        <v>0</v>
      </c>
      <c r="CZ20" s="53">
        <v>0</v>
      </c>
      <c r="DA20" s="53">
        <v>0</v>
      </c>
      <c r="DC20" s="53">
        <v>360183.25931462442</v>
      </c>
      <c r="DD20" s="53">
        <v>319761.6836056477</v>
      </c>
      <c r="DE20" s="53">
        <v>277550.56050930754</v>
      </c>
      <c r="DG20" s="53">
        <v>0</v>
      </c>
      <c r="DH20" s="53">
        <v>0</v>
      </c>
      <c r="DI20" s="53">
        <v>0</v>
      </c>
      <c r="DJ20" s="53">
        <v>0</v>
      </c>
      <c r="DL20" s="53">
        <v>-303479.14475999994</v>
      </c>
      <c r="DM20" s="53">
        <v>-325684.93583999993</v>
      </c>
      <c r="DN20" s="53">
        <v>-348778.95856319991</v>
      </c>
      <c r="DP20" s="53">
        <v>42460.331924705541</v>
      </c>
      <c r="DQ20" s="53">
        <v>46368.804286474813</v>
      </c>
      <c r="DR20" s="53">
        <v>45803.586304597309</v>
      </c>
      <c r="DS20" s="53" t="e">
        <v>#N/A</v>
      </c>
      <c r="DU20" s="53">
        <v>0</v>
      </c>
      <c r="DV20" s="53">
        <v>0</v>
      </c>
      <c r="DW20" s="53">
        <v>0</v>
      </c>
      <c r="DX20" s="53">
        <v>0</v>
      </c>
      <c r="DZ20" s="53">
        <v>0</v>
      </c>
      <c r="EA20" s="53">
        <v>0</v>
      </c>
      <c r="EB20" s="53">
        <v>0</v>
      </c>
      <c r="EC20" s="53">
        <v>0</v>
      </c>
      <c r="EE20" s="53">
        <v>9.93</v>
      </c>
      <c r="EF20" s="53">
        <v>10.83</v>
      </c>
      <c r="EG20" s="53">
        <v>10.83</v>
      </c>
      <c r="EH20" s="53">
        <v>10.83</v>
      </c>
      <c r="EJ20" s="53">
        <v>2</v>
      </c>
      <c r="EK20" s="53">
        <v>2.19</v>
      </c>
      <c r="EL20" s="53">
        <v>2.19</v>
      </c>
      <c r="EM20" s="53">
        <v>2.19</v>
      </c>
      <c r="EO20" s="53">
        <v>2</v>
      </c>
      <c r="EP20" s="53">
        <v>2.19</v>
      </c>
      <c r="EQ20" s="53">
        <v>2.19</v>
      </c>
      <c r="ER20" s="53">
        <v>2.19</v>
      </c>
      <c r="ET20" s="53">
        <v>0</v>
      </c>
      <c r="EU20" s="53">
        <v>0</v>
      </c>
      <c r="EV20" s="53">
        <v>0</v>
      </c>
      <c r="EW20" s="53">
        <v>0</v>
      </c>
      <c r="EY20" s="53">
        <v>22</v>
      </c>
      <c r="EZ20" s="53">
        <v>24</v>
      </c>
      <c r="FA20" s="53">
        <v>24</v>
      </c>
      <c r="FB20" s="53">
        <v>24</v>
      </c>
    </row>
    <row r="21" spans="1:158" x14ac:dyDescent="0.25">
      <c r="A21" s="117"/>
      <c r="B21" t="str">
        <v>JV1</v>
      </c>
      <c r="C21" t="str">
        <v>Center</v>
      </c>
      <c r="D21" t="str">
        <v>New Jersey</v>
      </c>
      <c r="E21" s="53">
        <v>0</v>
      </c>
      <c r="F21" s="53">
        <v>1890.2399999999998</v>
      </c>
      <c r="G21" s="53">
        <v>4725.5999999999995</v>
      </c>
      <c r="H21" s="53">
        <v>7560.9599999999991</v>
      </c>
      <c r="J21" s="53">
        <v>0</v>
      </c>
      <c r="K21" s="53">
        <v>333309.33600000001</v>
      </c>
      <c r="L21" s="53">
        <v>833273.33999999985</v>
      </c>
      <c r="M21" s="53">
        <v>1333237.3439999998</v>
      </c>
      <c r="O21" s="53">
        <v>0</v>
      </c>
      <c r="P21" s="53">
        <v>345734.79368</v>
      </c>
      <c r="Q21" s="53">
        <v>761727.47719999985</v>
      </c>
      <c r="R21" s="53">
        <v>1177720.16072</v>
      </c>
      <c r="T21" s="53">
        <v>0</v>
      </c>
      <c r="U21" s="53">
        <v>-49325.257319999997</v>
      </c>
      <c r="V21" s="53">
        <v>-109320.93779999997</v>
      </c>
      <c r="W21" s="53">
        <v>-169316.61828</v>
      </c>
      <c r="Y21" s="53">
        <v>0</v>
      </c>
      <c r="Z21" s="53">
        <v>272603.76</v>
      </c>
      <c r="AA21" s="53">
        <v>681509.39999999991</v>
      </c>
      <c r="AB21" s="53">
        <v>1090415.0399999998</v>
      </c>
      <c r="AD21" s="53">
        <v>0</v>
      </c>
      <c r="AE21" s="53">
        <v>15983.759999999998</v>
      </c>
      <c r="AF21" s="53">
        <v>39959.399999999994</v>
      </c>
      <c r="AG21" s="53">
        <v>63935.039999999994</v>
      </c>
      <c r="AI21" s="53">
        <v>0</v>
      </c>
      <c r="AJ21" s="53">
        <v>37987.09199999999</v>
      </c>
      <c r="AK21" s="53">
        <v>94967.729999999967</v>
      </c>
      <c r="AL21" s="53">
        <v>151948.36799999996</v>
      </c>
      <c r="AN21" s="53">
        <v>0</v>
      </c>
      <c r="AO21" s="53">
        <v>2922.0839999999998</v>
      </c>
      <c r="AP21" s="53">
        <v>7305.2099999999991</v>
      </c>
      <c r="AQ21" s="53">
        <v>11688.335999999999</v>
      </c>
      <c r="AS21" s="53">
        <v>0</v>
      </c>
      <c r="AT21" s="53">
        <v>3812.6399999999994</v>
      </c>
      <c r="AU21" s="53">
        <v>9531.5999999999985</v>
      </c>
      <c r="AV21" s="53">
        <v>15250.559999999998</v>
      </c>
      <c r="AX21" s="53">
        <v>0</v>
      </c>
      <c r="AY21" s="53">
        <v>0</v>
      </c>
      <c r="AZ21" s="53">
        <v>0</v>
      </c>
      <c r="BA21" s="53">
        <v>0</v>
      </c>
      <c r="BC21" s="53">
        <v>0</v>
      </c>
      <c r="BD21" s="53">
        <v>19642.185670947838</v>
      </c>
      <c r="BE21" s="53">
        <v>49105.464177369591</v>
      </c>
      <c r="BF21" s="53">
        <v>78568.742683791352</v>
      </c>
      <c r="BH21" s="53">
        <v>0</v>
      </c>
      <c r="BI21" s="53">
        <v>77734.474999999991</v>
      </c>
      <c r="BJ21" s="53">
        <v>77734.474999999991</v>
      </c>
      <c r="BK21" s="53">
        <v>77734.474999999991</v>
      </c>
      <c r="BM21" s="53">
        <v>0</v>
      </c>
      <c r="BN21" s="53">
        <v>14080.497873361917</v>
      </c>
      <c r="BO21" s="53">
        <v>35201.244683404795</v>
      </c>
      <c r="BP21" s="53">
        <v>56321.991493447669</v>
      </c>
      <c r="BR21" s="53">
        <v>0</v>
      </c>
      <c r="BS21" s="53">
        <v>0</v>
      </c>
      <c r="BT21" s="53">
        <v>0</v>
      </c>
      <c r="BV21" s="53">
        <v>0</v>
      </c>
      <c r="BW21" s="53">
        <v>211918.54861068638</v>
      </c>
      <c r="BX21" s="53">
        <v>398553.15179338265</v>
      </c>
      <c r="BY21" s="53">
        <v>573750.63830941229</v>
      </c>
      <c r="CA21" s="53">
        <v>135000</v>
      </c>
      <c r="CB21" s="53">
        <v>181350</v>
      </c>
      <c r="CC21" s="53">
        <v>182700</v>
      </c>
      <c r="CE21" s="53">
        <v>78300</v>
      </c>
      <c r="CF21" s="53">
        <v>105444</v>
      </c>
      <c r="CG21" s="53">
        <v>106488</v>
      </c>
      <c r="CI21" s="53">
        <v>8959.2345999999998</v>
      </c>
      <c r="CJ21" s="53">
        <v>12855.878311999999</v>
      </c>
      <c r="CK21" s="53">
        <v>14227.763215999999</v>
      </c>
      <c r="CM21" s="53">
        <v>67500</v>
      </c>
      <c r="CN21" s="53">
        <v>90450</v>
      </c>
      <c r="CO21" s="53">
        <v>90900</v>
      </c>
      <c r="CQ21" s="53">
        <v>82472</v>
      </c>
      <c r="CR21" s="53">
        <v>134144.69</v>
      </c>
      <c r="CS21" s="53">
        <v>180138.62</v>
      </c>
      <c r="CU21" s="53">
        <v>54000</v>
      </c>
      <c r="CV21" s="53">
        <v>72900</v>
      </c>
      <c r="CW21" s="53">
        <v>73800</v>
      </c>
      <c r="CY21" s="53">
        <v>151234.47</v>
      </c>
      <c r="CZ21" s="53">
        <v>0</v>
      </c>
      <c r="DA21" s="53">
        <v>0</v>
      </c>
      <c r="DC21" s="53">
        <v>301630.29595187807</v>
      </c>
      <c r="DD21" s="53">
        <v>478361.91667744791</v>
      </c>
      <c r="DE21" s="53">
        <v>616922.20758743864</v>
      </c>
      <c r="DG21" s="53">
        <v>0</v>
      </c>
      <c r="DH21" s="53">
        <v>0</v>
      </c>
      <c r="DI21" s="53">
        <v>0</v>
      </c>
      <c r="DJ21" s="53">
        <v>0</v>
      </c>
      <c r="DL21" s="53">
        <v>-374707.5051136</v>
      </c>
      <c r="DM21" s="53">
        <v>-509766.26086959994</v>
      </c>
      <c r="DN21" s="53">
        <v>-709406.49207819987</v>
      </c>
      <c r="DP21" s="53">
        <v>0</v>
      </c>
      <c r="DQ21" s="53">
        <v>23579.590816133496</v>
      </c>
      <c r="DR21" s="53">
        <v>58230.411566213916</v>
      </c>
      <c r="DS21" s="53" t="e">
        <v>#N/A</v>
      </c>
      <c r="DU21" s="53">
        <v>1</v>
      </c>
      <c r="DV21" s="53">
        <v>1</v>
      </c>
      <c r="DW21" s="53">
        <v>1</v>
      </c>
      <c r="DX21" s="53">
        <v>1</v>
      </c>
      <c r="DZ21" s="53">
        <v>1</v>
      </c>
      <c r="EA21" s="53">
        <v>1</v>
      </c>
      <c r="EB21" s="53">
        <v>1</v>
      </c>
      <c r="EC21" s="53">
        <v>1</v>
      </c>
      <c r="EE21" s="53">
        <v>0</v>
      </c>
      <c r="EF21" s="53">
        <v>8.48</v>
      </c>
      <c r="EG21" s="53">
        <v>16.950000000000003</v>
      </c>
      <c r="EH21" s="53">
        <v>25.42</v>
      </c>
      <c r="EJ21" s="53">
        <v>0</v>
      </c>
      <c r="EK21" s="53">
        <v>1.29</v>
      </c>
      <c r="EL21" s="53">
        <v>2.5799999999999996</v>
      </c>
      <c r="EM21" s="53">
        <v>3.86</v>
      </c>
      <c r="EO21" s="53">
        <v>0</v>
      </c>
      <c r="EP21" s="53">
        <v>1.29</v>
      </c>
      <c r="EQ21" s="53">
        <v>2.5799999999999996</v>
      </c>
      <c r="ER21" s="53">
        <v>3.86</v>
      </c>
      <c r="ET21" s="53">
        <v>470333.33333333331</v>
      </c>
      <c r="EU21" s="53">
        <v>705500</v>
      </c>
      <c r="EV21" s="53">
        <v>235166.66666666666</v>
      </c>
      <c r="EW21" s="53">
        <v>0</v>
      </c>
      <c r="EY21" s="53">
        <v>0</v>
      </c>
      <c r="EZ21" s="53">
        <v>9</v>
      </c>
      <c r="FA21" s="53">
        <v>18</v>
      </c>
      <c r="FB21" s="53">
        <v>27</v>
      </c>
    </row>
    <row r="22" spans="1:158" x14ac:dyDescent="0.25">
      <c r="A22" s="117"/>
      <c r="B22" t="str">
        <v>JV1</v>
      </c>
      <c r="C22" t="str">
        <v>Remote</v>
      </c>
      <c r="D22" t="str">
        <v>New Jersey</v>
      </c>
      <c r="E22" s="53">
        <v>0</v>
      </c>
      <c r="F22" s="53">
        <v>206.50666666666666</v>
      </c>
      <c r="G22" s="53">
        <v>980.90666666666652</v>
      </c>
      <c r="H22" s="53">
        <v>1806.9333333333334</v>
      </c>
      <c r="J22" s="53">
        <v>0</v>
      </c>
      <c r="K22" s="53">
        <v>37383.486666666664</v>
      </c>
      <c r="L22" s="53">
        <v>177571.56166666662</v>
      </c>
      <c r="M22" s="53">
        <v>327105.50833333336</v>
      </c>
      <c r="O22" s="53">
        <v>0</v>
      </c>
      <c r="P22" s="53">
        <v>32897.468266666663</v>
      </c>
      <c r="Q22" s="53">
        <v>156262.97426666666</v>
      </c>
      <c r="R22" s="53">
        <v>287852.84733333334</v>
      </c>
      <c r="T22" s="53">
        <v>0</v>
      </c>
      <c r="U22" s="53">
        <v>-4486.0183999999999</v>
      </c>
      <c r="V22" s="53">
        <v>-21308.587399999997</v>
      </c>
      <c r="W22" s="53">
        <v>-39252.660999999993</v>
      </c>
      <c r="Y22" s="53">
        <v>0</v>
      </c>
      <c r="Z22" s="53">
        <v>31666.093333333331</v>
      </c>
      <c r="AA22" s="53">
        <v>150413.9433333333</v>
      </c>
      <c r="AB22" s="53">
        <v>277078.31666666665</v>
      </c>
      <c r="AD22" s="53">
        <v>0</v>
      </c>
      <c r="AE22" s="53">
        <v>0</v>
      </c>
      <c r="AF22" s="53">
        <v>0</v>
      </c>
      <c r="AG22" s="53">
        <v>0</v>
      </c>
      <c r="AI22" s="53">
        <v>0</v>
      </c>
      <c r="AJ22" s="53">
        <v>4220.7879999999986</v>
      </c>
      <c r="AK22" s="53">
        <v>20048.742999999995</v>
      </c>
      <c r="AL22" s="53">
        <v>36931.89499999999</v>
      </c>
      <c r="AN22" s="53">
        <v>0</v>
      </c>
      <c r="AO22" s="53">
        <v>649.35199999999998</v>
      </c>
      <c r="AP22" s="53">
        <v>3084.4219999999996</v>
      </c>
      <c r="AQ22" s="53">
        <v>5681.83</v>
      </c>
      <c r="AS22" s="53">
        <v>0</v>
      </c>
      <c r="AT22" s="53">
        <v>847.25333333333322</v>
      </c>
      <c r="AU22" s="53">
        <v>4024.4533333333329</v>
      </c>
      <c r="AV22" s="53">
        <v>7413.4666666666662</v>
      </c>
      <c r="AX22" s="53">
        <v>0</v>
      </c>
      <c r="AY22" s="53">
        <v>0</v>
      </c>
      <c r="AZ22" s="53">
        <v>0</v>
      </c>
      <c r="BA22" s="53">
        <v>0</v>
      </c>
      <c r="BC22" s="53">
        <v>0</v>
      </c>
      <c r="BD22" s="53">
        <v>0</v>
      </c>
      <c r="BE22" s="53">
        <v>0</v>
      </c>
      <c r="BF22" s="53">
        <v>0</v>
      </c>
      <c r="BH22" s="53">
        <v>0</v>
      </c>
      <c r="BI22" s="53">
        <v>0</v>
      </c>
      <c r="BJ22" s="53">
        <v>0</v>
      </c>
      <c r="BK22" s="53">
        <v>0</v>
      </c>
      <c r="BM22" s="53">
        <v>0</v>
      </c>
      <c r="BN22" s="53">
        <v>0</v>
      </c>
      <c r="BO22" s="53">
        <v>0</v>
      </c>
      <c r="BP22" s="53">
        <v>0</v>
      </c>
      <c r="BR22" s="53">
        <v>0</v>
      </c>
      <c r="BS22" s="53">
        <v>0</v>
      </c>
      <c r="BT22" s="53">
        <v>0</v>
      </c>
      <c r="BV22" s="53">
        <v>0</v>
      </c>
      <c r="BW22" s="53">
        <v>37566.221395379776</v>
      </c>
      <c r="BX22" s="53">
        <v>98393.420061387253</v>
      </c>
      <c r="BY22" s="53">
        <v>133278.004709573</v>
      </c>
      <c r="CA22" s="53">
        <v>0</v>
      </c>
      <c r="CB22" s="53">
        <v>0</v>
      </c>
      <c r="CC22" s="53">
        <v>0</v>
      </c>
      <c r="CE22" s="53">
        <v>0</v>
      </c>
      <c r="CF22" s="53">
        <v>0</v>
      </c>
      <c r="CG22" s="53">
        <v>0</v>
      </c>
      <c r="CI22" s="53">
        <v>6765.7551999999996</v>
      </c>
      <c r="CJ22" s="53">
        <v>9989.5971199999985</v>
      </c>
      <c r="CK22" s="53">
        <v>12091.024512</v>
      </c>
      <c r="CM22" s="53">
        <v>0</v>
      </c>
      <c r="CN22" s="53">
        <v>0</v>
      </c>
      <c r="CO22" s="53">
        <v>0</v>
      </c>
      <c r="CQ22" s="53">
        <v>36680</v>
      </c>
      <c r="CR22" s="53">
        <v>59364.799999999996</v>
      </c>
      <c r="CS22" s="53">
        <v>80983.5</v>
      </c>
      <c r="CU22" s="53">
        <v>0</v>
      </c>
      <c r="CV22" s="53">
        <v>0</v>
      </c>
      <c r="CW22" s="53">
        <v>0</v>
      </c>
      <c r="CY22" s="53">
        <v>0</v>
      </c>
      <c r="CZ22" s="53">
        <v>0</v>
      </c>
      <c r="DA22" s="53">
        <v>0</v>
      </c>
      <c r="DC22" s="53">
        <v>60620.040298080916</v>
      </c>
      <c r="DD22" s="53">
        <v>106218.30279538961</v>
      </c>
      <c r="DE22" s="53">
        <v>155225.49727678997</v>
      </c>
      <c r="DG22" s="53">
        <v>0</v>
      </c>
      <c r="DH22" s="53">
        <v>0</v>
      </c>
      <c r="DI22" s="53">
        <v>0</v>
      </c>
      <c r="DJ22" s="53">
        <v>0</v>
      </c>
      <c r="DL22" s="53">
        <v>-11102.895539999998</v>
      </c>
      <c r="DM22" s="53">
        <v>-40710.616979999992</v>
      </c>
      <c r="DN22" s="53">
        <v>-90611.96415699998</v>
      </c>
      <c r="DP22" s="53">
        <v>0</v>
      </c>
      <c r="DQ22" s="53">
        <v>2576.044682581934</v>
      </c>
      <c r="DR22" s="53">
        <v>12087.057497046511</v>
      </c>
      <c r="DS22" s="53" t="e">
        <v>#N/A</v>
      </c>
      <c r="DU22" s="53">
        <v>0</v>
      </c>
      <c r="DV22" s="53">
        <v>0</v>
      </c>
      <c r="DW22" s="53">
        <v>0</v>
      </c>
      <c r="DX22" s="53">
        <v>0</v>
      </c>
      <c r="DZ22" s="53">
        <v>0</v>
      </c>
      <c r="EA22" s="53">
        <v>0</v>
      </c>
      <c r="EB22" s="53">
        <v>0</v>
      </c>
      <c r="EC22" s="53">
        <v>0</v>
      </c>
      <c r="EE22" s="53">
        <v>0</v>
      </c>
      <c r="EF22" s="53">
        <v>1.36</v>
      </c>
      <c r="EG22" s="53">
        <v>3.61</v>
      </c>
      <c r="EH22" s="53">
        <v>5.87</v>
      </c>
      <c r="EJ22" s="53">
        <v>0</v>
      </c>
      <c r="EK22" s="53">
        <v>0.28000000000000003</v>
      </c>
      <c r="EL22" s="53">
        <v>0.73</v>
      </c>
      <c r="EM22" s="53">
        <v>1.19</v>
      </c>
      <c r="EO22" s="53">
        <v>0</v>
      </c>
      <c r="EP22" s="53">
        <v>0.28000000000000003</v>
      </c>
      <c r="EQ22" s="53">
        <v>0.73</v>
      </c>
      <c r="ER22" s="53">
        <v>1.19</v>
      </c>
      <c r="ET22" s="53">
        <v>0</v>
      </c>
      <c r="EU22" s="53">
        <v>0</v>
      </c>
      <c r="EV22" s="53">
        <v>0</v>
      </c>
      <c r="EW22" s="53">
        <v>0</v>
      </c>
      <c r="EY22" s="53">
        <v>0</v>
      </c>
      <c r="EZ22" s="53">
        <v>3</v>
      </c>
      <c r="FA22" s="53">
        <v>8</v>
      </c>
      <c r="FB22" s="53">
        <v>13</v>
      </c>
    </row>
    <row r="23" spans="1:158" x14ac:dyDescent="0.25">
      <c r="A23" s="117"/>
      <c r="B23" t="str">
        <v>JV1</v>
      </c>
      <c r="C23" t="str">
        <v>Center</v>
      </c>
      <c r="D23" t="str">
        <v>New Jersey</v>
      </c>
      <c r="E23" s="53">
        <v>315.03999999999996</v>
      </c>
      <c r="F23" s="53">
        <v>2835.3599999999997</v>
      </c>
      <c r="G23" s="53">
        <v>5670.7199999999993</v>
      </c>
      <c r="H23" s="53">
        <v>8506.0799999999981</v>
      </c>
      <c r="J23" s="53">
        <v>55551.556000000004</v>
      </c>
      <c r="K23" s="53">
        <v>499964.00400000002</v>
      </c>
      <c r="L23" s="53">
        <v>999928.00799999991</v>
      </c>
      <c r="M23" s="53">
        <v>1499892.0119999996</v>
      </c>
      <c r="O23" s="53">
        <v>69023.521946666675</v>
      </c>
      <c r="P23" s="53">
        <v>484399.02151999995</v>
      </c>
      <c r="Q23" s="53">
        <v>900391.70503999991</v>
      </c>
      <c r="R23" s="53">
        <v>1316384.3885599999</v>
      </c>
      <c r="T23" s="53">
        <v>-9775.5657199999987</v>
      </c>
      <c r="U23" s="53">
        <v>-69323.817479999998</v>
      </c>
      <c r="V23" s="53">
        <v>-129319.49795999996</v>
      </c>
      <c r="W23" s="53">
        <v>-189315.17843999999</v>
      </c>
      <c r="Y23" s="53">
        <v>45433.96</v>
      </c>
      <c r="Z23" s="53">
        <v>408905.64</v>
      </c>
      <c r="AA23" s="53">
        <v>817811.27999999991</v>
      </c>
      <c r="AB23" s="53">
        <v>1226716.92</v>
      </c>
      <c r="AD23" s="53">
        <v>2663.9599999999996</v>
      </c>
      <c r="AE23" s="53">
        <v>23975.64</v>
      </c>
      <c r="AF23" s="53">
        <v>47951.28</v>
      </c>
      <c r="AG23" s="53">
        <v>71926.919999999984</v>
      </c>
      <c r="AI23" s="53">
        <v>6331.181999999998</v>
      </c>
      <c r="AJ23" s="53">
        <v>56980.637999999977</v>
      </c>
      <c r="AK23" s="53">
        <v>113961.27599999997</v>
      </c>
      <c r="AL23" s="53">
        <v>170941.91399999993</v>
      </c>
      <c r="AN23" s="53">
        <v>487.01399999999995</v>
      </c>
      <c r="AO23" s="53">
        <v>4383.1260000000002</v>
      </c>
      <c r="AP23" s="53">
        <v>8766.2520000000004</v>
      </c>
      <c r="AQ23" s="53">
        <v>13149.377999999999</v>
      </c>
      <c r="AS23" s="53">
        <v>635.43999999999994</v>
      </c>
      <c r="AT23" s="53">
        <v>5718.9599999999991</v>
      </c>
      <c r="AU23" s="53">
        <v>11437.919999999998</v>
      </c>
      <c r="AV23" s="53">
        <v>17156.879999999997</v>
      </c>
      <c r="AX23" s="53">
        <v>0</v>
      </c>
      <c r="AY23" s="53">
        <v>0</v>
      </c>
      <c r="AZ23" s="53">
        <v>0</v>
      </c>
      <c r="BA23" s="53">
        <v>0</v>
      </c>
      <c r="BC23" s="53">
        <v>3273.6976118246394</v>
      </c>
      <c r="BD23" s="53">
        <v>29463.278506421753</v>
      </c>
      <c r="BE23" s="53">
        <v>58926.557012843514</v>
      </c>
      <c r="BF23" s="53">
        <v>88389.835519265267</v>
      </c>
      <c r="BH23" s="53">
        <v>25911.491666666665</v>
      </c>
      <c r="BI23" s="53">
        <v>77734.474999999991</v>
      </c>
      <c r="BJ23" s="53">
        <v>77734.474999999991</v>
      </c>
      <c r="BK23" s="53">
        <v>77734.474999999991</v>
      </c>
      <c r="BM23" s="53">
        <v>2346.7496455603195</v>
      </c>
      <c r="BN23" s="53">
        <v>21120.746810042878</v>
      </c>
      <c r="BO23" s="53">
        <v>42241.493620085748</v>
      </c>
      <c r="BP23" s="53">
        <v>63362.240430128637</v>
      </c>
      <c r="BR23" s="53">
        <v>0</v>
      </c>
      <c r="BS23" s="53">
        <v>0</v>
      </c>
      <c r="BT23" s="53">
        <v>0</v>
      </c>
      <c r="BV23" s="53">
        <v>43612.98992400329</v>
      </c>
      <c r="BW23" s="53">
        <v>281610.79411602957</v>
      </c>
      <c r="BX23" s="53">
        <v>456998.7139653925</v>
      </c>
      <c r="BY23" s="53">
        <v>632088.4171480888</v>
      </c>
      <c r="CA23" s="53">
        <v>150000</v>
      </c>
      <c r="CB23" s="53">
        <v>181350</v>
      </c>
      <c r="CC23" s="53">
        <v>182700</v>
      </c>
      <c r="CE23" s="53">
        <v>87000</v>
      </c>
      <c r="CF23" s="53">
        <v>105444</v>
      </c>
      <c r="CG23" s="53">
        <v>106488</v>
      </c>
      <c r="CI23" s="53">
        <v>10172.2186</v>
      </c>
      <c r="CJ23" s="53">
        <v>13810.092391999999</v>
      </c>
      <c r="CK23" s="53">
        <v>14342.861920000001</v>
      </c>
      <c r="CM23" s="53">
        <v>75000</v>
      </c>
      <c r="CN23" s="53">
        <v>90450</v>
      </c>
      <c r="CO23" s="53">
        <v>90900</v>
      </c>
      <c r="CQ23" s="53">
        <v>98077.5</v>
      </c>
      <c r="CR23" s="53">
        <v>150128.90999999997</v>
      </c>
      <c r="CS23" s="53">
        <v>192787.55000000002</v>
      </c>
      <c r="CU23" s="53">
        <v>60000</v>
      </c>
      <c r="CV23" s="53">
        <v>72900</v>
      </c>
      <c r="CW23" s="53">
        <v>73800</v>
      </c>
      <c r="CY23" s="53">
        <v>151234.47</v>
      </c>
      <c r="CZ23" s="53">
        <v>0</v>
      </c>
      <c r="DA23" s="53">
        <v>0</v>
      </c>
      <c r="DC23" s="53">
        <v>374825.72173784679</v>
      </c>
      <c r="DD23" s="53">
        <v>553240.19976290839</v>
      </c>
      <c r="DE23" s="53">
        <v>672754.32976805465</v>
      </c>
      <c r="DG23" s="53">
        <v>0</v>
      </c>
      <c r="DH23" s="53">
        <v>0</v>
      </c>
      <c r="DI23" s="53">
        <v>0</v>
      </c>
      <c r="DJ23" s="53">
        <v>0</v>
      </c>
      <c r="DL23" s="53">
        <v>-556461.89098773326</v>
      </c>
      <c r="DM23" s="53">
        <v>-661933.1098986665</v>
      </c>
      <c r="DN23" s="53">
        <v>-735023.91984502657</v>
      </c>
      <c r="DP23" s="53">
        <v>4318.4087582513021</v>
      </c>
      <c r="DQ23" s="53">
        <v>35369.386224200243</v>
      </c>
      <c r="DR23" s="53">
        <v>69876.493879456699</v>
      </c>
      <c r="DS23" s="53" t="e">
        <v>#N/A</v>
      </c>
      <c r="DU23" s="53">
        <v>1</v>
      </c>
      <c r="DV23" s="53">
        <v>1</v>
      </c>
      <c r="DW23" s="53">
        <v>1</v>
      </c>
      <c r="DX23" s="53">
        <v>1</v>
      </c>
      <c r="DZ23" s="53">
        <v>1</v>
      </c>
      <c r="EA23" s="53">
        <v>1</v>
      </c>
      <c r="EB23" s="53">
        <v>1</v>
      </c>
      <c r="EC23" s="53">
        <v>1</v>
      </c>
      <c r="EE23" s="53">
        <v>2.8299999999999996</v>
      </c>
      <c r="EF23" s="53">
        <v>11.299999999999999</v>
      </c>
      <c r="EG23" s="53">
        <v>19.770000000000003</v>
      </c>
      <c r="EH23" s="53">
        <v>28.240000000000002</v>
      </c>
      <c r="EJ23" s="53">
        <v>0.43</v>
      </c>
      <c r="EK23" s="53">
        <v>1.72</v>
      </c>
      <c r="EL23" s="53">
        <v>3</v>
      </c>
      <c r="EM23" s="53">
        <v>4.29</v>
      </c>
      <c r="EO23" s="53">
        <v>0.43</v>
      </c>
      <c r="EP23" s="53">
        <v>1.72</v>
      </c>
      <c r="EQ23" s="53">
        <v>3</v>
      </c>
      <c r="ER23" s="53">
        <v>4.29</v>
      </c>
      <c r="ET23" s="53">
        <v>705500</v>
      </c>
      <c r="EU23" s="53">
        <v>705500</v>
      </c>
      <c r="EV23" s="53">
        <v>0</v>
      </c>
      <c r="EW23" s="53">
        <v>0</v>
      </c>
      <c r="EY23" s="53">
        <v>3</v>
      </c>
      <c r="EZ23" s="53">
        <v>12</v>
      </c>
      <c r="FA23" s="53">
        <v>21</v>
      </c>
      <c r="FB23" s="53">
        <v>30</v>
      </c>
    </row>
    <row r="24" spans="1:158" x14ac:dyDescent="0.25">
      <c r="A24" s="117"/>
      <c r="B24" t="str">
        <v>JV1</v>
      </c>
      <c r="C24" t="str">
        <v>Center</v>
      </c>
      <c r="D24" t="str">
        <v>New Jersey</v>
      </c>
      <c r="E24" s="53">
        <v>0</v>
      </c>
      <c r="F24" s="53">
        <v>0</v>
      </c>
      <c r="G24" s="53">
        <v>0</v>
      </c>
      <c r="H24" s="53">
        <v>945.11999999999989</v>
      </c>
      <c r="J24" s="53">
        <v>0</v>
      </c>
      <c r="K24" s="53">
        <v>0</v>
      </c>
      <c r="L24" s="53">
        <v>0</v>
      </c>
      <c r="M24" s="53">
        <v>166654.66800000001</v>
      </c>
      <c r="O24" s="53">
        <v>0</v>
      </c>
      <c r="P24" s="53">
        <v>0</v>
      </c>
      <c r="Q24" s="53">
        <v>0</v>
      </c>
      <c r="R24" s="53">
        <v>184268.45317333337</v>
      </c>
      <c r="T24" s="53">
        <v>0</v>
      </c>
      <c r="U24" s="53">
        <v>0</v>
      </c>
      <c r="V24" s="53">
        <v>0</v>
      </c>
      <c r="W24" s="53">
        <v>-26217.318159999999</v>
      </c>
      <c r="Y24" s="53">
        <v>0</v>
      </c>
      <c r="Z24" s="53">
        <v>0</v>
      </c>
      <c r="AA24" s="53">
        <v>0</v>
      </c>
      <c r="AB24" s="53">
        <v>136301.88</v>
      </c>
      <c r="AD24" s="53">
        <v>0</v>
      </c>
      <c r="AE24" s="53">
        <v>0</v>
      </c>
      <c r="AF24" s="53">
        <v>0</v>
      </c>
      <c r="AG24" s="53">
        <v>7991.8799999999992</v>
      </c>
      <c r="AI24" s="53">
        <v>0</v>
      </c>
      <c r="AJ24" s="53">
        <v>0</v>
      </c>
      <c r="AK24" s="53">
        <v>0</v>
      </c>
      <c r="AL24" s="53">
        <v>18993.545999999995</v>
      </c>
      <c r="AN24" s="53">
        <v>0</v>
      </c>
      <c r="AO24" s="53">
        <v>0</v>
      </c>
      <c r="AP24" s="53">
        <v>0</v>
      </c>
      <c r="AQ24" s="53">
        <v>1461.0419999999999</v>
      </c>
      <c r="AS24" s="53">
        <v>0</v>
      </c>
      <c r="AT24" s="53">
        <v>0</v>
      </c>
      <c r="AU24" s="53">
        <v>0</v>
      </c>
      <c r="AV24" s="53">
        <v>1906.3199999999997</v>
      </c>
      <c r="AX24" s="53">
        <v>0</v>
      </c>
      <c r="AY24" s="53">
        <v>0</v>
      </c>
      <c r="AZ24" s="53">
        <v>0</v>
      </c>
      <c r="BA24" s="53">
        <v>0</v>
      </c>
      <c r="BC24" s="53">
        <v>0</v>
      </c>
      <c r="BD24" s="53">
        <v>0</v>
      </c>
      <c r="BE24" s="53">
        <v>0</v>
      </c>
      <c r="BF24" s="53">
        <v>9821.092835473919</v>
      </c>
      <c r="BH24" s="53">
        <v>0</v>
      </c>
      <c r="BI24" s="53">
        <v>0</v>
      </c>
      <c r="BJ24" s="53">
        <v>0</v>
      </c>
      <c r="BK24" s="53">
        <v>51822.98333333333</v>
      </c>
      <c r="BM24" s="53">
        <v>0</v>
      </c>
      <c r="BN24" s="53">
        <v>0</v>
      </c>
      <c r="BO24" s="53">
        <v>0</v>
      </c>
      <c r="BP24" s="53">
        <v>7040.2489366809586</v>
      </c>
      <c r="BR24" s="53">
        <v>0</v>
      </c>
      <c r="BS24" s="53">
        <v>0</v>
      </c>
      <c r="BT24" s="53">
        <v>0</v>
      </c>
      <c r="BV24" s="53">
        <v>0</v>
      </c>
      <c r="BW24" s="53">
        <v>0</v>
      </c>
      <c r="BX24" s="53">
        <v>0</v>
      </c>
      <c r="BY24" s="53">
        <v>118034.8743053432</v>
      </c>
      <c r="CA24" s="53">
        <v>30000</v>
      </c>
      <c r="CB24" s="53">
        <v>76350</v>
      </c>
      <c r="CC24" s="53">
        <v>122700</v>
      </c>
      <c r="CE24" s="53">
        <v>17400</v>
      </c>
      <c r="CF24" s="53">
        <v>44544</v>
      </c>
      <c r="CG24" s="53">
        <v>71688</v>
      </c>
      <c r="CI24" s="53">
        <v>1327.5436</v>
      </c>
      <c r="CJ24" s="53">
        <v>4523.3521120000005</v>
      </c>
      <c r="CK24" s="53">
        <v>8031.0322880000003</v>
      </c>
      <c r="CM24" s="53">
        <v>15000</v>
      </c>
      <c r="CN24" s="53">
        <v>37950</v>
      </c>
      <c r="CO24" s="53">
        <v>60900</v>
      </c>
      <c r="CQ24" s="53">
        <v>8933.4999999999982</v>
      </c>
      <c r="CR24" s="53">
        <v>33263.56</v>
      </c>
      <c r="CS24" s="53">
        <v>69321.070000000007</v>
      </c>
      <c r="CU24" s="53">
        <v>12000</v>
      </c>
      <c r="CV24" s="53">
        <v>30900</v>
      </c>
      <c r="CW24" s="53">
        <v>49800</v>
      </c>
      <c r="CY24" s="53">
        <v>151234.47</v>
      </c>
      <c r="CZ24" s="53">
        <v>151234.47</v>
      </c>
      <c r="DA24" s="53">
        <v>151234.47</v>
      </c>
      <c r="DC24" s="53">
        <v>20785.663425660037</v>
      </c>
      <c r="DD24" s="53">
        <v>89632.762282236901</v>
      </c>
      <c r="DE24" s="53">
        <v>193675.418250533</v>
      </c>
      <c r="DG24" s="53">
        <v>0</v>
      </c>
      <c r="DH24" s="53">
        <v>0</v>
      </c>
      <c r="DI24" s="53">
        <v>0</v>
      </c>
      <c r="DJ24" s="53">
        <v>0</v>
      </c>
      <c r="DL24" s="53">
        <v>0</v>
      </c>
      <c r="DM24" s="53">
        <v>-115831.25106142933</v>
      </c>
      <c r="DN24" s="53">
        <v>-313755.66487338929</v>
      </c>
      <c r="DP24" s="53">
        <v>0</v>
      </c>
      <c r="DQ24" s="53">
        <v>0</v>
      </c>
      <c r="DR24" s="53">
        <v>0</v>
      </c>
      <c r="DS24" s="53" t="e">
        <v>#N/A</v>
      </c>
      <c r="DU24" s="53">
        <v>0</v>
      </c>
      <c r="DV24" s="53">
        <v>0</v>
      </c>
      <c r="DW24" s="53">
        <v>1</v>
      </c>
      <c r="DX24" s="53">
        <v>1</v>
      </c>
      <c r="DZ24" s="53">
        <v>0</v>
      </c>
      <c r="EA24" s="53">
        <v>0</v>
      </c>
      <c r="EB24" s="53">
        <v>1</v>
      </c>
      <c r="EC24" s="53">
        <v>1</v>
      </c>
      <c r="EE24" s="53">
        <v>0</v>
      </c>
      <c r="EF24" s="53">
        <v>0</v>
      </c>
      <c r="EG24" s="53">
        <v>0</v>
      </c>
      <c r="EH24" s="53">
        <v>5.6499999999999995</v>
      </c>
      <c r="EJ24" s="53">
        <v>0</v>
      </c>
      <c r="EK24" s="53">
        <v>0</v>
      </c>
      <c r="EL24" s="53">
        <v>0</v>
      </c>
      <c r="EM24" s="53">
        <v>0.86</v>
      </c>
      <c r="EO24" s="53">
        <v>0</v>
      </c>
      <c r="EP24" s="53">
        <v>0</v>
      </c>
      <c r="EQ24" s="53">
        <v>0</v>
      </c>
      <c r="ER24" s="53">
        <v>0.86</v>
      </c>
      <c r="ET24" s="53">
        <v>0</v>
      </c>
      <c r="EU24" s="53">
        <v>0</v>
      </c>
      <c r="EV24" s="53">
        <v>235166.66666666666</v>
      </c>
      <c r="EW24" s="53">
        <v>705500</v>
      </c>
      <c r="EY24" s="53">
        <v>0</v>
      </c>
      <c r="EZ24" s="53">
        <v>0</v>
      </c>
      <c r="FA24" s="53">
        <v>0</v>
      </c>
      <c r="FB24" s="53">
        <v>6</v>
      </c>
    </row>
    <row r="25" spans="1:158" x14ac:dyDescent="0.25">
      <c r="A25" s="117"/>
      <c r="B25" t="str">
        <v>JV1</v>
      </c>
      <c r="C25" t="str">
        <v>Remote</v>
      </c>
      <c r="D25" t="str">
        <v>New Jersey</v>
      </c>
      <c r="E25" s="53">
        <v>0</v>
      </c>
      <c r="F25" s="53">
        <v>0</v>
      </c>
      <c r="G25" s="53">
        <v>0</v>
      </c>
      <c r="H25" s="53">
        <v>206.50666666666666</v>
      </c>
      <c r="J25" s="53">
        <v>0</v>
      </c>
      <c r="K25" s="53">
        <v>0</v>
      </c>
      <c r="L25" s="53">
        <v>0</v>
      </c>
      <c r="M25" s="53">
        <v>37383.486666666664</v>
      </c>
      <c r="O25" s="53">
        <v>0</v>
      </c>
      <c r="P25" s="53">
        <v>0</v>
      </c>
      <c r="Q25" s="53">
        <v>0</v>
      </c>
      <c r="R25" s="53">
        <v>32897.468266666663</v>
      </c>
      <c r="T25" s="53">
        <v>0</v>
      </c>
      <c r="U25" s="53">
        <v>0</v>
      </c>
      <c r="V25" s="53">
        <v>0</v>
      </c>
      <c r="W25" s="53">
        <v>-4486.0183999999999</v>
      </c>
      <c r="Y25" s="53">
        <v>0</v>
      </c>
      <c r="Z25" s="53">
        <v>0</v>
      </c>
      <c r="AA25" s="53">
        <v>0</v>
      </c>
      <c r="AB25" s="53">
        <v>31666.093333333331</v>
      </c>
      <c r="AD25" s="53">
        <v>0</v>
      </c>
      <c r="AE25" s="53">
        <v>0</v>
      </c>
      <c r="AF25" s="53">
        <v>0</v>
      </c>
      <c r="AG25" s="53">
        <v>0</v>
      </c>
      <c r="AI25" s="53">
        <v>0</v>
      </c>
      <c r="AJ25" s="53">
        <v>0</v>
      </c>
      <c r="AK25" s="53">
        <v>0</v>
      </c>
      <c r="AL25" s="53">
        <v>4220.7879999999986</v>
      </c>
      <c r="AN25" s="53">
        <v>0</v>
      </c>
      <c r="AO25" s="53">
        <v>0</v>
      </c>
      <c r="AP25" s="53">
        <v>0</v>
      </c>
      <c r="AQ25" s="53">
        <v>649.35199999999998</v>
      </c>
      <c r="AS25" s="53">
        <v>0</v>
      </c>
      <c r="AT25" s="53">
        <v>0</v>
      </c>
      <c r="AU25" s="53">
        <v>0</v>
      </c>
      <c r="AV25" s="53">
        <v>847.25333333333322</v>
      </c>
      <c r="AX25" s="53">
        <v>0</v>
      </c>
      <c r="AY25" s="53">
        <v>0</v>
      </c>
      <c r="AZ25" s="53">
        <v>0</v>
      </c>
      <c r="BA25" s="53">
        <v>0</v>
      </c>
      <c r="BC25" s="53">
        <v>0</v>
      </c>
      <c r="BD25" s="53">
        <v>0</v>
      </c>
      <c r="BE25" s="53">
        <v>0</v>
      </c>
      <c r="BF25" s="53">
        <v>0</v>
      </c>
      <c r="BH25" s="53">
        <v>0</v>
      </c>
      <c r="BI25" s="53">
        <v>0</v>
      </c>
      <c r="BJ25" s="53">
        <v>0</v>
      </c>
      <c r="BK25" s="53">
        <v>0</v>
      </c>
      <c r="BM25" s="53">
        <v>0</v>
      </c>
      <c r="BN25" s="53">
        <v>0</v>
      </c>
      <c r="BO25" s="53">
        <v>0</v>
      </c>
      <c r="BP25" s="53">
        <v>0</v>
      </c>
      <c r="BR25" s="53">
        <v>0</v>
      </c>
      <c r="BS25" s="53">
        <v>0</v>
      </c>
      <c r="BT25" s="53">
        <v>0</v>
      </c>
      <c r="BV25" s="53">
        <v>0</v>
      </c>
      <c r="BW25" s="53">
        <v>0</v>
      </c>
      <c r="BX25" s="53">
        <v>0</v>
      </c>
      <c r="BY25" s="53">
        <v>37566.221395379776</v>
      </c>
      <c r="CA25" s="53">
        <v>0</v>
      </c>
      <c r="CB25" s="53">
        <v>0</v>
      </c>
      <c r="CC25" s="53">
        <v>0</v>
      </c>
      <c r="CE25" s="53">
        <v>0</v>
      </c>
      <c r="CF25" s="53">
        <v>0</v>
      </c>
      <c r="CG25" s="53">
        <v>0</v>
      </c>
      <c r="CI25" s="53">
        <v>1199.5064</v>
      </c>
      <c r="CJ25" s="53">
        <v>3985.3263200000001</v>
      </c>
      <c r="CK25" s="53">
        <v>6988.4051520000003</v>
      </c>
      <c r="CM25" s="53">
        <v>0</v>
      </c>
      <c r="CN25" s="53">
        <v>0</v>
      </c>
      <c r="CO25" s="53">
        <v>0</v>
      </c>
      <c r="CQ25" s="53">
        <v>5600</v>
      </c>
      <c r="CR25" s="53">
        <v>19079.3</v>
      </c>
      <c r="CS25" s="53">
        <v>37301.599999999999</v>
      </c>
      <c r="CU25" s="53">
        <v>0</v>
      </c>
      <c r="CV25" s="53">
        <v>0</v>
      </c>
      <c r="CW25" s="53">
        <v>0</v>
      </c>
      <c r="CY25" s="53">
        <v>0</v>
      </c>
      <c r="CZ25" s="53">
        <v>0</v>
      </c>
      <c r="DA25" s="53">
        <v>0</v>
      </c>
      <c r="DC25" s="53">
        <v>3685.117614301093</v>
      </c>
      <c r="DD25" s="53">
        <v>20944.707666095033</v>
      </c>
      <c r="DE25" s="53">
        <v>49769.523576338463</v>
      </c>
      <c r="DG25" s="53">
        <v>0</v>
      </c>
      <c r="DH25" s="53">
        <v>0</v>
      </c>
      <c r="DI25" s="53">
        <v>0</v>
      </c>
      <c r="DJ25" s="53">
        <v>0</v>
      </c>
      <c r="DL25" s="53">
        <v>0</v>
      </c>
      <c r="DM25" s="53">
        <v>0</v>
      </c>
      <c r="DN25" s="53">
        <v>-11287.943798999997</v>
      </c>
      <c r="DP25" s="53">
        <v>0</v>
      </c>
      <c r="DQ25" s="53">
        <v>0</v>
      </c>
      <c r="DR25" s="53">
        <v>0</v>
      </c>
      <c r="DS25" s="53" t="e">
        <v>#N/A</v>
      </c>
      <c r="DU25" s="53">
        <v>0</v>
      </c>
      <c r="DV25" s="53">
        <v>0</v>
      </c>
      <c r="DW25" s="53">
        <v>0</v>
      </c>
      <c r="DX25" s="53">
        <v>0</v>
      </c>
      <c r="DZ25" s="53">
        <v>0</v>
      </c>
      <c r="EA25" s="53">
        <v>0</v>
      </c>
      <c r="EB25" s="53">
        <v>0</v>
      </c>
      <c r="EC25" s="53">
        <v>0</v>
      </c>
      <c r="EE25" s="53">
        <v>0</v>
      </c>
      <c r="EF25" s="53">
        <v>0</v>
      </c>
      <c r="EG25" s="53">
        <v>0</v>
      </c>
      <c r="EH25" s="53">
        <v>1.36</v>
      </c>
      <c r="EJ25" s="53">
        <v>0</v>
      </c>
      <c r="EK25" s="53">
        <v>0</v>
      </c>
      <c r="EL25" s="53">
        <v>0</v>
      </c>
      <c r="EM25" s="53">
        <v>0.28000000000000003</v>
      </c>
      <c r="EO25" s="53">
        <v>0</v>
      </c>
      <c r="EP25" s="53">
        <v>0</v>
      </c>
      <c r="EQ25" s="53">
        <v>0</v>
      </c>
      <c r="ER25" s="53">
        <v>0.28000000000000003</v>
      </c>
      <c r="ET25" s="53">
        <v>0</v>
      </c>
      <c r="EU25" s="53">
        <v>0</v>
      </c>
      <c r="EV25" s="53">
        <v>0</v>
      </c>
      <c r="EW25" s="53">
        <v>0</v>
      </c>
      <c r="EY25" s="53">
        <v>0</v>
      </c>
      <c r="EZ25" s="53">
        <v>0</v>
      </c>
      <c r="FA25" s="53">
        <v>0</v>
      </c>
      <c r="FB25" s="53">
        <v>3</v>
      </c>
    </row>
    <row r="26" spans="1:158" x14ac:dyDescent="0.25">
      <c r="A26" s="117"/>
      <c r="B26" t="str">
        <v>JV1</v>
      </c>
      <c r="C26" t="str">
        <v>Center</v>
      </c>
      <c r="D26" t="str">
        <v>New Jersey</v>
      </c>
      <c r="E26" s="53">
        <v>0</v>
      </c>
      <c r="F26" s="53">
        <v>0</v>
      </c>
      <c r="G26" s="53">
        <v>315.03999999999996</v>
      </c>
      <c r="H26" s="53">
        <v>2835.3599999999997</v>
      </c>
      <c r="J26" s="53">
        <v>0</v>
      </c>
      <c r="K26" s="53">
        <v>0</v>
      </c>
      <c r="L26" s="53">
        <v>55551.556000000004</v>
      </c>
      <c r="M26" s="53">
        <v>499964.00400000002</v>
      </c>
      <c r="O26" s="53">
        <v>0</v>
      </c>
      <c r="P26" s="53">
        <v>0</v>
      </c>
      <c r="Q26" s="53">
        <v>69023.521946666675</v>
      </c>
      <c r="R26" s="53">
        <v>484399.02151999995</v>
      </c>
      <c r="T26" s="53">
        <v>0</v>
      </c>
      <c r="U26" s="53">
        <v>0</v>
      </c>
      <c r="V26" s="53">
        <v>-9775.5657199999987</v>
      </c>
      <c r="W26" s="53">
        <v>-69323.817479999998</v>
      </c>
      <c r="Y26" s="53">
        <v>0</v>
      </c>
      <c r="Z26" s="53">
        <v>0</v>
      </c>
      <c r="AA26" s="53">
        <v>45433.96</v>
      </c>
      <c r="AB26" s="53">
        <v>408905.64</v>
      </c>
      <c r="AD26" s="53">
        <v>0</v>
      </c>
      <c r="AE26" s="53">
        <v>0</v>
      </c>
      <c r="AF26" s="53">
        <v>2663.9599999999996</v>
      </c>
      <c r="AG26" s="53">
        <v>23975.64</v>
      </c>
      <c r="AI26" s="53">
        <v>0</v>
      </c>
      <c r="AJ26" s="53">
        <v>0</v>
      </c>
      <c r="AK26" s="53">
        <v>6331.181999999998</v>
      </c>
      <c r="AL26" s="53">
        <v>56980.637999999977</v>
      </c>
      <c r="AN26" s="53">
        <v>0</v>
      </c>
      <c r="AO26" s="53">
        <v>0</v>
      </c>
      <c r="AP26" s="53">
        <v>487.01399999999995</v>
      </c>
      <c r="AQ26" s="53">
        <v>4383.1260000000002</v>
      </c>
      <c r="AS26" s="53">
        <v>0</v>
      </c>
      <c r="AT26" s="53">
        <v>0</v>
      </c>
      <c r="AU26" s="53">
        <v>635.43999999999994</v>
      </c>
      <c r="AV26" s="53">
        <v>5718.9599999999991</v>
      </c>
      <c r="AX26" s="53">
        <v>0</v>
      </c>
      <c r="AY26" s="53">
        <v>0</v>
      </c>
      <c r="AZ26" s="53">
        <v>0</v>
      </c>
      <c r="BA26" s="53">
        <v>0</v>
      </c>
      <c r="BC26" s="53">
        <v>0</v>
      </c>
      <c r="BD26" s="53">
        <v>0</v>
      </c>
      <c r="BE26" s="53">
        <v>2398.3132687359994</v>
      </c>
      <c r="BF26" s="53">
        <v>21584.819418623996</v>
      </c>
      <c r="BH26" s="53">
        <v>0</v>
      </c>
      <c r="BI26" s="53">
        <v>0</v>
      </c>
      <c r="BJ26" s="53">
        <v>25911.491666666665</v>
      </c>
      <c r="BK26" s="53">
        <v>77734.474999999991</v>
      </c>
      <c r="BM26" s="53">
        <v>0</v>
      </c>
      <c r="BN26" s="53">
        <v>0</v>
      </c>
      <c r="BO26" s="53">
        <v>1719.2305095679999</v>
      </c>
      <c r="BP26" s="53">
        <v>15473.074586111999</v>
      </c>
      <c r="BR26" s="53">
        <v>0</v>
      </c>
      <c r="BS26" s="53">
        <v>0</v>
      </c>
      <c r="BT26" s="53">
        <v>0</v>
      </c>
      <c r="BV26" s="53">
        <v>0</v>
      </c>
      <c r="BW26" s="53">
        <v>0</v>
      </c>
      <c r="BX26" s="53">
        <v>44337.989634003286</v>
      </c>
      <c r="BY26" s="53">
        <v>288135.79150602955</v>
      </c>
      <c r="CA26" s="53">
        <v>60000</v>
      </c>
      <c r="CB26" s="53">
        <v>106350</v>
      </c>
      <c r="CC26" s="53">
        <v>152700</v>
      </c>
      <c r="CE26" s="53">
        <v>34800</v>
      </c>
      <c r="CF26" s="53">
        <v>61944</v>
      </c>
      <c r="CG26" s="53">
        <v>89088</v>
      </c>
      <c r="CI26" s="53">
        <v>3345.8141999999998</v>
      </c>
      <c r="CJ26" s="53">
        <v>6748.3690960000004</v>
      </c>
      <c r="CK26" s="53">
        <v>10445.274776</v>
      </c>
      <c r="CM26" s="53">
        <v>30000</v>
      </c>
      <c r="CN26" s="53">
        <v>52950</v>
      </c>
      <c r="CO26" s="53">
        <v>75900</v>
      </c>
      <c r="CQ26" s="53">
        <v>23561.499999999996</v>
      </c>
      <c r="CR26" s="53">
        <v>55709.86</v>
      </c>
      <c r="CS26" s="53">
        <v>99567.82</v>
      </c>
      <c r="CU26" s="53">
        <v>24000</v>
      </c>
      <c r="CV26" s="53">
        <v>42900</v>
      </c>
      <c r="CW26" s="53">
        <v>61800</v>
      </c>
      <c r="CY26" s="53">
        <v>151234.47</v>
      </c>
      <c r="CZ26" s="53">
        <v>151234.47</v>
      </c>
      <c r="DA26" s="53">
        <v>151234.47</v>
      </c>
      <c r="DC26" s="53">
        <v>65214.235581622168</v>
      </c>
      <c r="DD26" s="53">
        <v>164885.4835436256</v>
      </c>
      <c r="DE26" s="53">
        <v>296756.66739166435</v>
      </c>
      <c r="DG26" s="53">
        <v>0</v>
      </c>
      <c r="DH26" s="53">
        <v>0</v>
      </c>
      <c r="DI26" s="53">
        <v>0</v>
      </c>
      <c r="DJ26" s="53">
        <v>0</v>
      </c>
      <c r="DL26" s="53">
        <v>-54276.210786933363</v>
      </c>
      <c r="DM26" s="53">
        <v>-246922.98350062664</v>
      </c>
      <c r="DN26" s="53">
        <v>-428325.54836195201</v>
      </c>
      <c r="DP26" s="53">
        <v>0</v>
      </c>
      <c r="DQ26" s="53">
        <v>0</v>
      </c>
      <c r="DR26" s="53">
        <v>3882.0274377475939</v>
      </c>
      <c r="DS26" s="53" t="e">
        <v>#N/A</v>
      </c>
      <c r="DU26" s="53">
        <v>0</v>
      </c>
      <c r="DV26" s="53">
        <v>1</v>
      </c>
      <c r="DW26" s="53">
        <v>1</v>
      </c>
      <c r="DX26" s="53">
        <v>1</v>
      </c>
      <c r="DZ26" s="53">
        <v>0</v>
      </c>
      <c r="EA26" s="53">
        <v>0</v>
      </c>
      <c r="EB26" s="53">
        <v>1</v>
      </c>
      <c r="EC26" s="53">
        <v>1</v>
      </c>
      <c r="EE26" s="53">
        <v>0</v>
      </c>
      <c r="EF26" s="53">
        <v>0</v>
      </c>
      <c r="EG26" s="53">
        <v>2.8299999999999996</v>
      </c>
      <c r="EH26" s="53">
        <v>11.299999999999999</v>
      </c>
      <c r="EJ26" s="53">
        <v>0</v>
      </c>
      <c r="EK26" s="53">
        <v>0</v>
      </c>
      <c r="EL26" s="53">
        <v>0.43</v>
      </c>
      <c r="EM26" s="53">
        <v>1.72</v>
      </c>
      <c r="EO26" s="53">
        <v>0</v>
      </c>
      <c r="EP26" s="53">
        <v>0</v>
      </c>
      <c r="EQ26" s="53">
        <v>0.43</v>
      </c>
      <c r="ER26" s="53">
        <v>1.72</v>
      </c>
      <c r="ET26" s="53">
        <v>0</v>
      </c>
      <c r="EU26" s="53">
        <v>0</v>
      </c>
      <c r="EV26" s="53">
        <v>705500</v>
      </c>
      <c r="EW26" s="53">
        <v>705500</v>
      </c>
      <c r="EY26" s="53">
        <v>0</v>
      </c>
      <c r="EZ26" s="53">
        <v>0</v>
      </c>
      <c r="FA26" s="53">
        <v>3</v>
      </c>
      <c r="FB26" s="53">
        <v>12</v>
      </c>
    </row>
    <row r="27" spans="1:158" x14ac:dyDescent="0.25">
      <c r="A27" s="117"/>
      <c r="B27" t="str">
        <v>JV1</v>
      </c>
      <c r="C27" t="str">
        <v>Remote</v>
      </c>
      <c r="D27" t="str">
        <v>New Jersey</v>
      </c>
      <c r="E27" s="53">
        <v>0</v>
      </c>
      <c r="F27" s="53">
        <v>0</v>
      </c>
      <c r="G27" s="53">
        <v>0</v>
      </c>
      <c r="H27" s="53">
        <v>464.64</v>
      </c>
      <c r="J27" s="53">
        <v>0</v>
      </c>
      <c r="K27" s="53">
        <v>0</v>
      </c>
      <c r="L27" s="53">
        <v>0</v>
      </c>
      <c r="M27" s="53">
        <v>84112.845000000001</v>
      </c>
      <c r="O27" s="53">
        <v>0</v>
      </c>
      <c r="P27" s="53">
        <v>0</v>
      </c>
      <c r="Q27" s="53">
        <v>0</v>
      </c>
      <c r="R27" s="53">
        <v>74019.303599999985</v>
      </c>
      <c r="T27" s="53">
        <v>0</v>
      </c>
      <c r="U27" s="53">
        <v>0</v>
      </c>
      <c r="V27" s="53">
        <v>0</v>
      </c>
      <c r="W27" s="53">
        <v>-10093.541399999998</v>
      </c>
      <c r="Y27" s="53">
        <v>0</v>
      </c>
      <c r="Z27" s="53">
        <v>0</v>
      </c>
      <c r="AA27" s="53">
        <v>0</v>
      </c>
      <c r="AB27" s="53">
        <v>71248.709999999992</v>
      </c>
      <c r="AD27" s="53">
        <v>0</v>
      </c>
      <c r="AE27" s="53">
        <v>0</v>
      </c>
      <c r="AF27" s="53">
        <v>0</v>
      </c>
      <c r="AG27" s="53">
        <v>0</v>
      </c>
      <c r="AI27" s="53">
        <v>0</v>
      </c>
      <c r="AJ27" s="53">
        <v>0</v>
      </c>
      <c r="AK27" s="53">
        <v>0</v>
      </c>
      <c r="AL27" s="53">
        <v>9496.7729999999974</v>
      </c>
      <c r="AN27" s="53">
        <v>0</v>
      </c>
      <c r="AO27" s="53">
        <v>0</v>
      </c>
      <c r="AP27" s="53">
        <v>0</v>
      </c>
      <c r="AQ27" s="53">
        <v>1461.0419999999999</v>
      </c>
      <c r="AS27" s="53">
        <v>0</v>
      </c>
      <c r="AT27" s="53">
        <v>0</v>
      </c>
      <c r="AU27" s="53">
        <v>0</v>
      </c>
      <c r="AV27" s="53">
        <v>1906.3199999999997</v>
      </c>
      <c r="AX27" s="53">
        <v>0</v>
      </c>
      <c r="AY27" s="53">
        <v>0</v>
      </c>
      <c r="AZ27" s="53">
        <v>0</v>
      </c>
      <c r="BA27" s="53">
        <v>0</v>
      </c>
      <c r="BC27" s="53">
        <v>0</v>
      </c>
      <c r="BD27" s="53">
        <v>0</v>
      </c>
      <c r="BE27" s="53">
        <v>0</v>
      </c>
      <c r="BF27" s="53">
        <v>0</v>
      </c>
      <c r="BH27" s="53">
        <v>0</v>
      </c>
      <c r="BI27" s="53">
        <v>0</v>
      </c>
      <c r="BJ27" s="53">
        <v>0</v>
      </c>
      <c r="BK27" s="53">
        <v>0</v>
      </c>
      <c r="BM27" s="53">
        <v>0</v>
      </c>
      <c r="BN27" s="53">
        <v>0</v>
      </c>
      <c r="BO27" s="53">
        <v>0</v>
      </c>
      <c r="BP27" s="53">
        <v>0</v>
      </c>
      <c r="BR27" s="53">
        <v>0</v>
      </c>
      <c r="BS27" s="53">
        <v>0</v>
      </c>
      <c r="BT27" s="53">
        <v>0</v>
      </c>
      <c r="BV27" s="53">
        <v>0</v>
      </c>
      <c r="BW27" s="53">
        <v>0</v>
      </c>
      <c r="BX27" s="53">
        <v>0</v>
      </c>
      <c r="BY27" s="53">
        <v>67490.445039604499</v>
      </c>
      <c r="CA27" s="53">
        <v>0</v>
      </c>
      <c r="CB27" s="53">
        <v>0</v>
      </c>
      <c r="CC27" s="53">
        <v>0</v>
      </c>
      <c r="CE27" s="53">
        <v>0</v>
      </c>
      <c r="CF27" s="53">
        <v>0</v>
      </c>
      <c r="CG27" s="53">
        <v>0</v>
      </c>
      <c r="CI27" s="53">
        <v>2065.4422</v>
      </c>
      <c r="CJ27" s="53">
        <v>4924.8498159999999</v>
      </c>
      <c r="CK27" s="53">
        <v>8001.5163439999997</v>
      </c>
      <c r="CM27" s="53">
        <v>0</v>
      </c>
      <c r="CN27" s="53">
        <v>0</v>
      </c>
      <c r="CO27" s="53">
        <v>0</v>
      </c>
      <c r="CQ27" s="53">
        <v>9605</v>
      </c>
      <c r="CR27" s="53">
        <v>24568.400000000001</v>
      </c>
      <c r="CS27" s="53">
        <v>44285</v>
      </c>
      <c r="CU27" s="53">
        <v>0</v>
      </c>
      <c r="CV27" s="53">
        <v>0</v>
      </c>
      <c r="CW27" s="53">
        <v>0</v>
      </c>
      <c r="CY27" s="53">
        <v>0</v>
      </c>
      <c r="CZ27" s="53">
        <v>0</v>
      </c>
      <c r="DA27" s="53">
        <v>0</v>
      </c>
      <c r="DC27" s="53">
        <v>8445.0185898519157</v>
      </c>
      <c r="DD27" s="53">
        <v>30239.801721572585</v>
      </c>
      <c r="DE27" s="53">
        <v>63192.355142894688</v>
      </c>
      <c r="DG27" s="53">
        <v>0</v>
      </c>
      <c r="DH27" s="53">
        <v>0</v>
      </c>
      <c r="DI27" s="53">
        <v>0</v>
      </c>
      <c r="DJ27" s="53">
        <v>0</v>
      </c>
      <c r="DL27" s="53">
        <v>0</v>
      </c>
      <c r="DM27" s="53">
        <v>-1233.6550599999998</v>
      </c>
      <c r="DN27" s="53">
        <v>-18726.883810799995</v>
      </c>
      <c r="DP27" s="53">
        <v>0</v>
      </c>
      <c r="DQ27" s="53">
        <v>0</v>
      </c>
      <c r="DR27" s="53">
        <v>0</v>
      </c>
      <c r="DS27" s="53" t="e">
        <v>#N/A</v>
      </c>
      <c r="DU27" s="53">
        <v>0</v>
      </c>
      <c r="DV27" s="53">
        <v>0</v>
      </c>
      <c r="DW27" s="53">
        <v>0</v>
      </c>
      <c r="DX27" s="53">
        <v>0</v>
      </c>
      <c r="DZ27" s="53">
        <v>0</v>
      </c>
      <c r="EA27" s="53">
        <v>0</v>
      </c>
      <c r="EB27" s="53">
        <v>0</v>
      </c>
      <c r="EC27" s="53">
        <v>0</v>
      </c>
      <c r="EE27" s="53">
        <v>0</v>
      </c>
      <c r="EF27" s="53">
        <v>0</v>
      </c>
      <c r="EG27" s="53">
        <v>0</v>
      </c>
      <c r="EH27" s="53">
        <v>2.2599999999999998</v>
      </c>
      <c r="EJ27" s="53">
        <v>0</v>
      </c>
      <c r="EK27" s="53">
        <v>0</v>
      </c>
      <c r="EL27" s="53">
        <v>0</v>
      </c>
      <c r="EM27" s="53">
        <v>0.46</v>
      </c>
      <c r="EO27" s="53">
        <v>0</v>
      </c>
      <c r="EP27" s="53">
        <v>0</v>
      </c>
      <c r="EQ27" s="53">
        <v>0</v>
      </c>
      <c r="ER27" s="53">
        <v>0.46</v>
      </c>
      <c r="ET27" s="53">
        <v>0</v>
      </c>
      <c r="EU27" s="53">
        <v>0</v>
      </c>
      <c r="EV27" s="53">
        <v>0</v>
      </c>
      <c r="EW27" s="53">
        <v>0</v>
      </c>
      <c r="EY27" s="53">
        <v>0</v>
      </c>
      <c r="EZ27" s="53">
        <v>0</v>
      </c>
      <c r="FA27" s="53">
        <v>0</v>
      </c>
      <c r="FB27" s="53">
        <v>5</v>
      </c>
    </row>
    <row r="28" spans="1:158" x14ac:dyDescent="0.25">
      <c r="A28" s="117"/>
      <c r="B28" t="str">
        <v>JV1</v>
      </c>
      <c r="C28" t="str">
        <v>Center</v>
      </c>
      <c r="D28" t="str">
        <v>New Jersey</v>
      </c>
      <c r="E28" s="53">
        <v>0</v>
      </c>
      <c r="F28" s="53">
        <v>0</v>
      </c>
      <c r="G28" s="53">
        <v>1890.2399999999998</v>
      </c>
      <c r="H28" s="53">
        <v>4725.5999999999995</v>
      </c>
      <c r="J28" s="53">
        <v>0</v>
      </c>
      <c r="K28" s="53">
        <v>0</v>
      </c>
      <c r="L28" s="53">
        <v>333309.33600000001</v>
      </c>
      <c r="M28" s="53">
        <v>833273.33999999985</v>
      </c>
      <c r="O28" s="53">
        <v>0</v>
      </c>
      <c r="P28" s="53">
        <v>0</v>
      </c>
      <c r="Q28" s="53">
        <v>345734.79368</v>
      </c>
      <c r="R28" s="53">
        <v>761727.47719999985</v>
      </c>
      <c r="T28" s="53">
        <v>0</v>
      </c>
      <c r="U28" s="53">
        <v>0</v>
      </c>
      <c r="V28" s="53">
        <v>-49325.257319999997</v>
      </c>
      <c r="W28" s="53">
        <v>-109320.93779999997</v>
      </c>
      <c r="Y28" s="53">
        <v>0</v>
      </c>
      <c r="Z28" s="53">
        <v>0</v>
      </c>
      <c r="AA28" s="53">
        <v>272603.76</v>
      </c>
      <c r="AB28" s="53">
        <v>681509.39999999991</v>
      </c>
      <c r="AD28" s="53">
        <v>0</v>
      </c>
      <c r="AE28" s="53">
        <v>0</v>
      </c>
      <c r="AF28" s="53">
        <v>15983.759999999998</v>
      </c>
      <c r="AG28" s="53">
        <v>39959.399999999994</v>
      </c>
      <c r="AI28" s="53">
        <v>0</v>
      </c>
      <c r="AJ28" s="53">
        <v>0</v>
      </c>
      <c r="AK28" s="53">
        <v>37987.09199999999</v>
      </c>
      <c r="AL28" s="53">
        <v>94967.729999999967</v>
      </c>
      <c r="AN28" s="53">
        <v>0</v>
      </c>
      <c r="AO28" s="53">
        <v>0</v>
      </c>
      <c r="AP28" s="53">
        <v>2922.0839999999998</v>
      </c>
      <c r="AQ28" s="53">
        <v>7305.2099999999991</v>
      </c>
      <c r="AS28" s="53">
        <v>0</v>
      </c>
      <c r="AT28" s="53">
        <v>0</v>
      </c>
      <c r="AU28" s="53">
        <v>3812.6399999999994</v>
      </c>
      <c r="AV28" s="53">
        <v>9531.5999999999985</v>
      </c>
      <c r="AX28" s="53">
        <v>0</v>
      </c>
      <c r="AY28" s="53">
        <v>0</v>
      </c>
      <c r="AZ28" s="53">
        <v>0</v>
      </c>
      <c r="BA28" s="53">
        <v>0</v>
      </c>
      <c r="BC28" s="53">
        <v>0</v>
      </c>
      <c r="BD28" s="53">
        <v>0</v>
      </c>
      <c r="BE28" s="53">
        <v>14389.879612415996</v>
      </c>
      <c r="BF28" s="53">
        <v>35974.699031039992</v>
      </c>
      <c r="BH28" s="53">
        <v>0</v>
      </c>
      <c r="BI28" s="53">
        <v>0</v>
      </c>
      <c r="BJ28" s="53">
        <v>77734.474999999991</v>
      </c>
      <c r="BK28" s="53">
        <v>77734.474999999991</v>
      </c>
      <c r="BM28" s="53">
        <v>0</v>
      </c>
      <c r="BN28" s="53">
        <v>0</v>
      </c>
      <c r="BO28" s="53">
        <v>10315.383057407998</v>
      </c>
      <c r="BP28" s="53">
        <v>25788.45764352</v>
      </c>
      <c r="BR28" s="53">
        <v>0</v>
      </c>
      <c r="BS28" s="53">
        <v>0</v>
      </c>
      <c r="BT28" s="53">
        <v>0</v>
      </c>
      <c r="BV28" s="53">
        <v>0</v>
      </c>
      <c r="BW28" s="53">
        <v>0</v>
      </c>
      <c r="BX28" s="53">
        <v>216268.54687068638</v>
      </c>
      <c r="BY28" s="53">
        <v>409428.14744338265</v>
      </c>
      <c r="CA28" s="53">
        <v>90000</v>
      </c>
      <c r="CB28" s="53">
        <v>136350</v>
      </c>
      <c r="CC28" s="53">
        <v>182700</v>
      </c>
      <c r="CE28" s="53">
        <v>52200</v>
      </c>
      <c r="CF28" s="53">
        <v>79344</v>
      </c>
      <c r="CG28" s="53">
        <v>106488</v>
      </c>
      <c r="CI28" s="53">
        <v>5495.4913999999999</v>
      </c>
      <c r="CJ28" s="53">
        <v>9097.7843279999997</v>
      </c>
      <c r="CK28" s="53">
        <v>12994.428039999999</v>
      </c>
      <c r="CM28" s="53">
        <v>45000</v>
      </c>
      <c r="CN28" s="53">
        <v>67950</v>
      </c>
      <c r="CO28" s="53">
        <v>90900</v>
      </c>
      <c r="CQ28" s="53">
        <v>43299.499999999993</v>
      </c>
      <c r="CR28" s="53">
        <v>83255.45</v>
      </c>
      <c r="CS28" s="53">
        <v>134928.13999999998</v>
      </c>
      <c r="CU28" s="53">
        <v>36000</v>
      </c>
      <c r="CV28" s="53">
        <v>54900</v>
      </c>
      <c r="CW28" s="53">
        <v>73800</v>
      </c>
      <c r="CY28" s="53">
        <v>151234.47</v>
      </c>
      <c r="CZ28" s="53">
        <v>151234.47</v>
      </c>
      <c r="DA28" s="53">
        <v>0</v>
      </c>
      <c r="DC28" s="53">
        <v>136277.0768875785</v>
      </c>
      <c r="DD28" s="53">
        <v>266772.47395500855</v>
      </c>
      <c r="DE28" s="53">
        <v>426472.18568278989</v>
      </c>
      <c r="DG28" s="53">
        <v>0</v>
      </c>
      <c r="DH28" s="53">
        <v>0</v>
      </c>
      <c r="DI28" s="53">
        <v>0</v>
      </c>
      <c r="DJ28" s="53">
        <v>0</v>
      </c>
      <c r="DL28" s="53">
        <v>-173015.85792079996</v>
      </c>
      <c r="DM28" s="53">
        <v>-387420.59768112801</v>
      </c>
      <c r="DN28" s="53">
        <v>-524037.93733644794</v>
      </c>
      <c r="DP28" s="53">
        <v>0</v>
      </c>
      <c r="DQ28" s="53">
        <v>0</v>
      </c>
      <c r="DR28" s="53">
        <v>23292.164626485566</v>
      </c>
      <c r="DS28" s="53" t="e">
        <v>#N/A</v>
      </c>
      <c r="DU28" s="53">
        <v>0</v>
      </c>
      <c r="DV28" s="53">
        <v>1</v>
      </c>
      <c r="DW28" s="53">
        <v>1</v>
      </c>
      <c r="DX28" s="53">
        <v>1</v>
      </c>
      <c r="DZ28" s="53">
        <v>0</v>
      </c>
      <c r="EA28" s="53">
        <v>1</v>
      </c>
      <c r="EB28" s="53">
        <v>1</v>
      </c>
      <c r="EC28" s="53">
        <v>1</v>
      </c>
      <c r="EE28" s="53">
        <v>0</v>
      </c>
      <c r="EF28" s="53">
        <v>0</v>
      </c>
      <c r="EG28" s="53">
        <v>8.48</v>
      </c>
      <c r="EH28" s="53">
        <v>16.950000000000003</v>
      </c>
      <c r="EJ28" s="53">
        <v>0</v>
      </c>
      <c r="EK28" s="53">
        <v>0</v>
      </c>
      <c r="EL28" s="53">
        <v>1.29</v>
      </c>
      <c r="EM28" s="53">
        <v>2.5799999999999996</v>
      </c>
      <c r="EO28" s="53">
        <v>0</v>
      </c>
      <c r="EP28" s="53">
        <v>0</v>
      </c>
      <c r="EQ28" s="53">
        <v>1.29</v>
      </c>
      <c r="ER28" s="53">
        <v>2.5799999999999996</v>
      </c>
      <c r="ET28" s="53">
        <v>0</v>
      </c>
      <c r="EU28" s="53">
        <v>470333.33333333331</v>
      </c>
      <c r="EV28" s="53">
        <v>705500</v>
      </c>
      <c r="EW28" s="53">
        <v>235166.66666666666</v>
      </c>
      <c r="EY28" s="53">
        <v>0</v>
      </c>
      <c r="EZ28" s="53">
        <v>0</v>
      </c>
      <c r="FA28" s="53">
        <v>9</v>
      </c>
      <c r="FB28" s="53">
        <v>18</v>
      </c>
    </row>
    <row r="29" spans="1:158" x14ac:dyDescent="0.25">
      <c r="A29" s="117"/>
      <c r="B29" t="str">
        <v>JV1</v>
      </c>
      <c r="C29" t="str">
        <v>Remote</v>
      </c>
      <c r="D29" t="str">
        <v>New Jersey</v>
      </c>
      <c r="E29" s="53">
        <v>0</v>
      </c>
      <c r="F29" s="53">
        <v>0</v>
      </c>
      <c r="G29" s="53">
        <v>0</v>
      </c>
      <c r="H29" s="53">
        <v>0</v>
      </c>
      <c r="J29" s="53">
        <v>0</v>
      </c>
      <c r="K29" s="53">
        <v>0</v>
      </c>
      <c r="L29" s="53">
        <v>0</v>
      </c>
      <c r="M29" s="53">
        <v>0</v>
      </c>
      <c r="O29" s="53">
        <v>0</v>
      </c>
      <c r="P29" s="53">
        <v>0</v>
      </c>
      <c r="Q29" s="53">
        <v>0</v>
      </c>
      <c r="R29" s="53">
        <v>0</v>
      </c>
      <c r="T29" s="53">
        <v>0</v>
      </c>
      <c r="U29" s="53">
        <v>0</v>
      </c>
      <c r="V29" s="53">
        <v>0</v>
      </c>
      <c r="W29" s="53">
        <v>0</v>
      </c>
      <c r="Y29" s="53">
        <v>0</v>
      </c>
      <c r="Z29" s="53">
        <v>0</v>
      </c>
      <c r="AA29" s="53">
        <v>0</v>
      </c>
      <c r="AB29" s="53">
        <v>0</v>
      </c>
      <c r="AD29" s="53">
        <v>0</v>
      </c>
      <c r="AE29" s="53">
        <v>0</v>
      </c>
      <c r="AF29" s="53">
        <v>0</v>
      </c>
      <c r="AG29" s="53">
        <v>0</v>
      </c>
      <c r="AI29" s="53">
        <v>0</v>
      </c>
      <c r="AJ29" s="53">
        <v>0</v>
      </c>
      <c r="AK29" s="53">
        <v>0</v>
      </c>
      <c r="AL29" s="53">
        <v>0</v>
      </c>
      <c r="AN29" s="53">
        <v>0</v>
      </c>
      <c r="AO29" s="53">
        <v>0</v>
      </c>
      <c r="AP29" s="53">
        <v>0</v>
      </c>
      <c r="AQ29" s="53">
        <v>0</v>
      </c>
      <c r="AS29" s="53">
        <v>0</v>
      </c>
      <c r="AT29" s="53">
        <v>0</v>
      </c>
      <c r="AU29" s="53">
        <v>0</v>
      </c>
      <c r="AV29" s="53">
        <v>0</v>
      </c>
      <c r="AX29" s="53">
        <v>0</v>
      </c>
      <c r="AY29" s="53">
        <v>0</v>
      </c>
      <c r="AZ29" s="53">
        <v>0</v>
      </c>
      <c r="BA29" s="53">
        <v>0</v>
      </c>
      <c r="BC29" s="53">
        <v>0</v>
      </c>
      <c r="BD29" s="53">
        <v>0</v>
      </c>
      <c r="BE29" s="53">
        <v>0</v>
      </c>
      <c r="BF29" s="53">
        <v>0</v>
      </c>
      <c r="BH29" s="53">
        <v>0</v>
      </c>
      <c r="BI29" s="53">
        <v>0</v>
      </c>
      <c r="BJ29" s="53">
        <v>0</v>
      </c>
      <c r="BK29" s="53">
        <v>0</v>
      </c>
      <c r="BM29" s="53">
        <v>0</v>
      </c>
      <c r="BN29" s="53">
        <v>0</v>
      </c>
      <c r="BO29" s="53">
        <v>0</v>
      </c>
      <c r="BP29" s="53">
        <v>0</v>
      </c>
      <c r="BR29" s="53">
        <v>0</v>
      </c>
      <c r="BS29" s="53">
        <v>0</v>
      </c>
      <c r="BT29" s="53">
        <v>0</v>
      </c>
      <c r="BV29" s="53">
        <v>0</v>
      </c>
      <c r="BW29" s="53">
        <v>0</v>
      </c>
      <c r="BX29" s="53">
        <v>0</v>
      </c>
      <c r="BY29" s="53">
        <v>0</v>
      </c>
      <c r="CA29" s="53">
        <v>0</v>
      </c>
      <c r="CB29" s="53">
        <v>0</v>
      </c>
      <c r="CC29" s="53">
        <v>0</v>
      </c>
      <c r="CE29" s="53">
        <v>0</v>
      </c>
      <c r="CF29" s="53">
        <v>0</v>
      </c>
      <c r="CG29" s="53">
        <v>0</v>
      </c>
      <c r="CI29" s="53">
        <v>0</v>
      </c>
      <c r="CJ29" s="53">
        <v>1247.486656</v>
      </c>
      <c r="CK29" s="53">
        <v>4033.3065759999999</v>
      </c>
      <c r="CM29" s="53">
        <v>0</v>
      </c>
      <c r="CN29" s="53">
        <v>0</v>
      </c>
      <c r="CO29" s="53">
        <v>0</v>
      </c>
      <c r="CQ29" s="53">
        <v>0</v>
      </c>
      <c r="CR29" s="53">
        <v>5711.9999999999991</v>
      </c>
      <c r="CS29" s="53">
        <v>19191.3</v>
      </c>
      <c r="CU29" s="53">
        <v>0</v>
      </c>
      <c r="CV29" s="53">
        <v>0</v>
      </c>
      <c r="CW29" s="53">
        <v>0</v>
      </c>
      <c r="CY29" s="53">
        <v>0</v>
      </c>
      <c r="CZ29" s="53">
        <v>0</v>
      </c>
      <c r="DA29" s="53">
        <v>0</v>
      </c>
      <c r="DC29" s="53">
        <v>0</v>
      </c>
      <c r="DD29" s="53">
        <v>3547.918301102296</v>
      </c>
      <c r="DE29" s="53">
        <v>19169.712855352984</v>
      </c>
      <c r="DG29" s="53">
        <v>0</v>
      </c>
      <c r="DH29" s="53">
        <v>0</v>
      </c>
      <c r="DI29" s="53">
        <v>0</v>
      </c>
      <c r="DJ29" s="53">
        <v>0</v>
      </c>
      <c r="DL29" s="53">
        <v>0</v>
      </c>
      <c r="DM29" s="53">
        <v>0</v>
      </c>
      <c r="DN29" s="53">
        <v>0</v>
      </c>
      <c r="DP29" s="53">
        <v>0</v>
      </c>
      <c r="DQ29" s="53">
        <v>0</v>
      </c>
      <c r="DR29" s="53">
        <v>0</v>
      </c>
      <c r="DS29" s="53" t="e">
        <v>#N/A</v>
      </c>
      <c r="DU29" s="53">
        <v>0</v>
      </c>
      <c r="DV29" s="53">
        <v>0</v>
      </c>
      <c r="DW29" s="53">
        <v>0</v>
      </c>
      <c r="DX29" s="53">
        <v>0</v>
      </c>
      <c r="DZ29" s="53">
        <v>0</v>
      </c>
      <c r="EA29" s="53">
        <v>0</v>
      </c>
      <c r="EB29" s="53">
        <v>0</v>
      </c>
      <c r="EC29" s="53">
        <v>0</v>
      </c>
      <c r="EE29" s="53">
        <v>0</v>
      </c>
      <c r="EF29" s="53">
        <v>0</v>
      </c>
      <c r="EG29" s="53">
        <v>0</v>
      </c>
      <c r="EH29" s="53">
        <v>0</v>
      </c>
      <c r="EJ29" s="53">
        <v>0</v>
      </c>
      <c r="EK29" s="53">
        <v>0</v>
      </c>
      <c r="EL29" s="53">
        <v>0</v>
      </c>
      <c r="EM29" s="53">
        <v>0</v>
      </c>
      <c r="EO29" s="53">
        <v>0</v>
      </c>
      <c r="EP29" s="53">
        <v>0</v>
      </c>
      <c r="EQ29" s="53">
        <v>0</v>
      </c>
      <c r="ER29" s="53">
        <v>0</v>
      </c>
      <c r="ET29" s="53">
        <v>0</v>
      </c>
      <c r="EU29" s="53">
        <v>0</v>
      </c>
      <c r="EV29" s="53">
        <v>0</v>
      </c>
      <c r="EW29" s="53">
        <v>0</v>
      </c>
      <c r="EY29" s="53">
        <v>0</v>
      </c>
      <c r="EZ29" s="53">
        <v>0</v>
      </c>
      <c r="FA29" s="53">
        <v>0</v>
      </c>
      <c r="FB29" s="53">
        <v>0</v>
      </c>
    </row>
    <row r="30" spans="1:158" x14ac:dyDescent="0.25">
      <c r="A30" s="117"/>
      <c r="B30" t="str">
        <v>JV1</v>
      </c>
      <c r="C30" t="str">
        <v>Center</v>
      </c>
      <c r="D30" t="str">
        <v>New Jersey</v>
      </c>
      <c r="E30" s="53">
        <v>0</v>
      </c>
      <c r="F30" s="53">
        <v>0</v>
      </c>
      <c r="G30" s="53">
        <v>0</v>
      </c>
      <c r="H30" s="53">
        <v>0</v>
      </c>
      <c r="J30" s="53">
        <v>0</v>
      </c>
      <c r="K30" s="53">
        <v>0</v>
      </c>
      <c r="L30" s="53">
        <v>0</v>
      </c>
      <c r="M30" s="53">
        <v>0</v>
      </c>
      <c r="O30" s="53">
        <v>0</v>
      </c>
      <c r="P30" s="53">
        <v>0</v>
      </c>
      <c r="Q30" s="53">
        <v>0</v>
      </c>
      <c r="R30" s="53">
        <v>0</v>
      </c>
      <c r="T30" s="53">
        <v>0</v>
      </c>
      <c r="U30" s="53">
        <v>0</v>
      </c>
      <c r="V30" s="53">
        <v>0</v>
      </c>
      <c r="W30" s="53">
        <v>0</v>
      </c>
      <c r="Y30" s="53">
        <v>0</v>
      </c>
      <c r="Z30" s="53">
        <v>0</v>
      </c>
      <c r="AA30" s="53">
        <v>0</v>
      </c>
      <c r="AB30" s="53">
        <v>0</v>
      </c>
      <c r="AD30" s="53">
        <v>0</v>
      </c>
      <c r="AE30" s="53">
        <v>0</v>
      </c>
      <c r="AF30" s="53">
        <v>0</v>
      </c>
      <c r="AG30" s="53">
        <v>0</v>
      </c>
      <c r="AI30" s="53">
        <v>0</v>
      </c>
      <c r="AJ30" s="53">
        <v>0</v>
      </c>
      <c r="AK30" s="53">
        <v>0</v>
      </c>
      <c r="AL30" s="53">
        <v>0</v>
      </c>
      <c r="AN30" s="53">
        <v>0</v>
      </c>
      <c r="AO30" s="53">
        <v>0</v>
      </c>
      <c r="AP30" s="53">
        <v>0</v>
      </c>
      <c r="AQ30" s="53">
        <v>0</v>
      </c>
      <c r="AS30" s="53">
        <v>0</v>
      </c>
      <c r="AT30" s="53">
        <v>0</v>
      </c>
      <c r="AU30" s="53">
        <v>0</v>
      </c>
      <c r="AV30" s="53">
        <v>0</v>
      </c>
      <c r="AX30" s="53">
        <v>0</v>
      </c>
      <c r="AY30" s="53">
        <v>0</v>
      </c>
      <c r="AZ30" s="53">
        <v>0</v>
      </c>
      <c r="BA30" s="53">
        <v>0</v>
      </c>
      <c r="BC30" s="53">
        <v>0</v>
      </c>
      <c r="BD30" s="53">
        <v>0</v>
      </c>
      <c r="BE30" s="53">
        <v>0</v>
      </c>
      <c r="BF30" s="53">
        <v>0</v>
      </c>
      <c r="BH30" s="53">
        <v>0</v>
      </c>
      <c r="BI30" s="53">
        <v>0</v>
      </c>
      <c r="BJ30" s="53">
        <v>0</v>
      </c>
      <c r="BK30" s="53">
        <v>0</v>
      </c>
      <c r="BM30" s="53">
        <v>0</v>
      </c>
      <c r="BN30" s="53">
        <v>0</v>
      </c>
      <c r="BO30" s="53">
        <v>0</v>
      </c>
      <c r="BP30" s="53">
        <v>0</v>
      </c>
      <c r="BR30" s="53">
        <v>0</v>
      </c>
      <c r="BS30" s="53">
        <v>0</v>
      </c>
      <c r="BT30" s="53">
        <v>0</v>
      </c>
      <c r="BV30" s="53">
        <v>0</v>
      </c>
      <c r="BW30" s="53">
        <v>0</v>
      </c>
      <c r="BX30" s="53">
        <v>0</v>
      </c>
      <c r="BY30" s="53">
        <v>0</v>
      </c>
      <c r="CA30" s="53">
        <v>0</v>
      </c>
      <c r="CB30" s="53">
        <v>15450</v>
      </c>
      <c r="CC30" s="53">
        <v>61800</v>
      </c>
      <c r="CE30" s="53">
        <v>0</v>
      </c>
      <c r="CF30" s="53">
        <v>9048</v>
      </c>
      <c r="CG30" s="53">
        <v>36192</v>
      </c>
      <c r="CI30" s="53">
        <v>0</v>
      </c>
      <c r="CJ30" s="53">
        <v>378.451008</v>
      </c>
      <c r="CK30" s="53">
        <v>3479.6467679999996</v>
      </c>
      <c r="CM30" s="53">
        <v>0</v>
      </c>
      <c r="CN30" s="53">
        <v>7650</v>
      </c>
      <c r="CO30" s="53">
        <v>30600</v>
      </c>
      <c r="CQ30" s="53">
        <v>0</v>
      </c>
      <c r="CR30" s="53">
        <v>3604.6799999999994</v>
      </c>
      <c r="CS30" s="53">
        <v>24032.73</v>
      </c>
      <c r="CU30" s="53">
        <v>0</v>
      </c>
      <c r="CV30" s="53">
        <v>6300</v>
      </c>
      <c r="CW30" s="53">
        <v>25200</v>
      </c>
      <c r="CY30" s="53">
        <v>0</v>
      </c>
      <c r="CZ30" s="53">
        <v>151234.47</v>
      </c>
      <c r="DA30" s="53">
        <v>151234.47</v>
      </c>
      <c r="DC30" s="53">
        <v>0</v>
      </c>
      <c r="DD30" s="53">
        <v>7364.7243524230435</v>
      </c>
      <c r="DE30" s="53">
        <v>55750.324561233851</v>
      </c>
      <c r="DG30" s="53">
        <v>0</v>
      </c>
      <c r="DH30" s="53">
        <v>0</v>
      </c>
      <c r="DI30" s="53">
        <v>0</v>
      </c>
      <c r="DJ30" s="53">
        <v>0</v>
      </c>
      <c r="DL30" s="53">
        <v>0</v>
      </c>
      <c r="DM30" s="53">
        <v>0</v>
      </c>
      <c r="DN30" s="53">
        <v>-55904.497110541342</v>
      </c>
      <c r="DP30" s="53">
        <v>0</v>
      </c>
      <c r="DQ30" s="53">
        <v>0</v>
      </c>
      <c r="DR30" s="53">
        <v>0</v>
      </c>
      <c r="DS30" s="53" t="e">
        <v>#N/A</v>
      </c>
      <c r="DU30" s="53">
        <v>0</v>
      </c>
      <c r="DV30" s="53">
        <v>0</v>
      </c>
      <c r="DW30" s="53">
        <v>0</v>
      </c>
      <c r="DX30" s="53">
        <v>1</v>
      </c>
      <c r="DZ30" s="53">
        <v>0</v>
      </c>
      <c r="EA30" s="53">
        <v>0</v>
      </c>
      <c r="EB30" s="53">
        <v>0</v>
      </c>
      <c r="EC30" s="53">
        <v>0</v>
      </c>
      <c r="EE30" s="53">
        <v>0</v>
      </c>
      <c r="EF30" s="53">
        <v>0</v>
      </c>
      <c r="EG30" s="53">
        <v>0</v>
      </c>
      <c r="EH30" s="53">
        <v>0</v>
      </c>
      <c r="EJ30" s="53">
        <v>0</v>
      </c>
      <c r="EK30" s="53">
        <v>0</v>
      </c>
      <c r="EL30" s="53">
        <v>0</v>
      </c>
      <c r="EM30" s="53">
        <v>0</v>
      </c>
      <c r="EO30" s="53">
        <v>0</v>
      </c>
      <c r="EP30" s="53">
        <v>0</v>
      </c>
      <c r="EQ30" s="53">
        <v>0</v>
      </c>
      <c r="ER30" s="53">
        <v>0</v>
      </c>
      <c r="ET30" s="53">
        <v>0</v>
      </c>
      <c r="EU30" s="53">
        <v>0</v>
      </c>
      <c r="EV30" s="53">
        <v>0</v>
      </c>
      <c r="EW30" s="53">
        <v>0</v>
      </c>
      <c r="EY30" s="53">
        <v>0</v>
      </c>
      <c r="EZ30" s="53">
        <v>0</v>
      </c>
      <c r="FA30" s="53">
        <v>0</v>
      </c>
      <c r="FB30" s="53">
        <v>0</v>
      </c>
    </row>
    <row r="31" spans="1:158" x14ac:dyDescent="0.25">
      <c r="A31" s="117"/>
      <c r="B31" t="str">
        <v>JV1</v>
      </c>
      <c r="C31" t="str">
        <v>Remote</v>
      </c>
      <c r="D31" t="str">
        <v>New Jersey</v>
      </c>
      <c r="E31" s="53">
        <v>0</v>
      </c>
      <c r="F31" s="53">
        <v>0</v>
      </c>
      <c r="G31" s="53">
        <v>0</v>
      </c>
      <c r="H31" s="53">
        <v>0</v>
      </c>
      <c r="J31" s="53">
        <v>0</v>
      </c>
      <c r="K31" s="53">
        <v>0</v>
      </c>
      <c r="L31" s="53">
        <v>0</v>
      </c>
      <c r="M31" s="53">
        <v>0</v>
      </c>
      <c r="O31" s="53">
        <v>0</v>
      </c>
      <c r="P31" s="53">
        <v>0</v>
      </c>
      <c r="Q31" s="53">
        <v>0</v>
      </c>
      <c r="R31" s="53">
        <v>0</v>
      </c>
      <c r="T31" s="53">
        <v>0</v>
      </c>
      <c r="U31" s="53">
        <v>0</v>
      </c>
      <c r="V31" s="53">
        <v>0</v>
      </c>
      <c r="W31" s="53">
        <v>0</v>
      </c>
      <c r="Y31" s="53">
        <v>0</v>
      </c>
      <c r="Z31" s="53">
        <v>0</v>
      </c>
      <c r="AA31" s="53">
        <v>0</v>
      </c>
      <c r="AB31" s="53">
        <v>0</v>
      </c>
      <c r="AD31" s="53">
        <v>0</v>
      </c>
      <c r="AE31" s="53">
        <v>0</v>
      </c>
      <c r="AF31" s="53">
        <v>0</v>
      </c>
      <c r="AG31" s="53">
        <v>0</v>
      </c>
      <c r="AI31" s="53">
        <v>0</v>
      </c>
      <c r="AJ31" s="53">
        <v>0</v>
      </c>
      <c r="AK31" s="53">
        <v>0</v>
      </c>
      <c r="AL31" s="53">
        <v>0</v>
      </c>
      <c r="AN31" s="53">
        <v>0</v>
      </c>
      <c r="AO31" s="53">
        <v>0</v>
      </c>
      <c r="AP31" s="53">
        <v>0</v>
      </c>
      <c r="AQ31" s="53">
        <v>0</v>
      </c>
      <c r="AS31" s="53">
        <v>0</v>
      </c>
      <c r="AT31" s="53">
        <v>0</v>
      </c>
      <c r="AU31" s="53">
        <v>0</v>
      </c>
      <c r="AV31" s="53">
        <v>0</v>
      </c>
      <c r="AX31" s="53">
        <v>0</v>
      </c>
      <c r="AY31" s="53">
        <v>0</v>
      </c>
      <c r="AZ31" s="53">
        <v>0</v>
      </c>
      <c r="BA31" s="53">
        <v>0</v>
      </c>
      <c r="BC31" s="53">
        <v>0</v>
      </c>
      <c r="BD31" s="53">
        <v>0</v>
      </c>
      <c r="BE31" s="53">
        <v>0</v>
      </c>
      <c r="BF31" s="53">
        <v>0</v>
      </c>
      <c r="BH31" s="53">
        <v>0</v>
      </c>
      <c r="BI31" s="53">
        <v>0</v>
      </c>
      <c r="BJ31" s="53">
        <v>0</v>
      </c>
      <c r="BK31" s="53">
        <v>0</v>
      </c>
      <c r="BM31" s="53">
        <v>0</v>
      </c>
      <c r="BN31" s="53">
        <v>0</v>
      </c>
      <c r="BO31" s="53">
        <v>0</v>
      </c>
      <c r="BP31" s="53">
        <v>0</v>
      </c>
      <c r="BR31" s="53">
        <v>0</v>
      </c>
      <c r="BS31" s="53">
        <v>0</v>
      </c>
      <c r="BT31" s="53">
        <v>0</v>
      </c>
      <c r="BV31" s="53">
        <v>0</v>
      </c>
      <c r="BW31" s="53">
        <v>0</v>
      </c>
      <c r="BX31" s="53">
        <v>0</v>
      </c>
      <c r="BY31" s="53">
        <v>0</v>
      </c>
      <c r="CA31" s="53">
        <v>0</v>
      </c>
      <c r="CB31" s="53">
        <v>0</v>
      </c>
      <c r="CC31" s="53">
        <v>0</v>
      </c>
      <c r="CE31" s="53">
        <v>0</v>
      </c>
      <c r="CF31" s="53">
        <v>0</v>
      </c>
      <c r="CG31" s="53">
        <v>0</v>
      </c>
      <c r="CI31" s="53">
        <v>0</v>
      </c>
      <c r="CJ31" s="53">
        <v>0</v>
      </c>
      <c r="CK31" s="53">
        <v>364.434304</v>
      </c>
      <c r="CM31" s="53">
        <v>0</v>
      </c>
      <c r="CN31" s="53">
        <v>0</v>
      </c>
      <c r="CO31" s="53">
        <v>0</v>
      </c>
      <c r="CQ31" s="53">
        <v>0</v>
      </c>
      <c r="CR31" s="53">
        <v>0</v>
      </c>
      <c r="CS31" s="53">
        <v>2203.1999999999998</v>
      </c>
      <c r="CU31" s="53">
        <v>0</v>
      </c>
      <c r="CV31" s="53">
        <v>0</v>
      </c>
      <c r="CW31" s="53">
        <v>0</v>
      </c>
      <c r="CY31" s="53">
        <v>0</v>
      </c>
      <c r="CZ31" s="53">
        <v>0</v>
      </c>
      <c r="DA31" s="53">
        <v>0</v>
      </c>
      <c r="DC31" s="53">
        <v>0</v>
      </c>
      <c r="DD31" s="53">
        <v>0</v>
      </c>
      <c r="DE31" s="53">
        <v>806.25773275264532</v>
      </c>
      <c r="DG31" s="53">
        <v>0</v>
      </c>
      <c r="DH31" s="53">
        <v>0</v>
      </c>
      <c r="DI31" s="53">
        <v>0</v>
      </c>
      <c r="DJ31" s="53">
        <v>0</v>
      </c>
      <c r="DL31" s="53">
        <v>0</v>
      </c>
      <c r="DM31" s="53">
        <v>0</v>
      </c>
      <c r="DN31" s="53">
        <v>0</v>
      </c>
      <c r="DP31" s="53">
        <v>0</v>
      </c>
      <c r="DQ31" s="53">
        <v>0</v>
      </c>
      <c r="DR31" s="53">
        <v>0</v>
      </c>
      <c r="DS31" s="53" t="e">
        <v>#N/A</v>
      </c>
      <c r="DU31" s="53">
        <v>0</v>
      </c>
      <c r="DV31" s="53">
        <v>0</v>
      </c>
      <c r="DW31" s="53">
        <v>0</v>
      </c>
      <c r="DX31" s="53">
        <v>0</v>
      </c>
      <c r="DZ31" s="53">
        <v>0</v>
      </c>
      <c r="EA31" s="53">
        <v>0</v>
      </c>
      <c r="EB31" s="53">
        <v>0</v>
      </c>
      <c r="EC31" s="53">
        <v>0</v>
      </c>
      <c r="EE31" s="53">
        <v>0</v>
      </c>
      <c r="EF31" s="53">
        <v>0</v>
      </c>
      <c r="EG31" s="53">
        <v>0</v>
      </c>
      <c r="EH31" s="53">
        <v>0</v>
      </c>
      <c r="EJ31" s="53">
        <v>0</v>
      </c>
      <c r="EK31" s="53">
        <v>0</v>
      </c>
      <c r="EL31" s="53">
        <v>0</v>
      </c>
      <c r="EM31" s="53">
        <v>0</v>
      </c>
      <c r="EO31" s="53">
        <v>0</v>
      </c>
      <c r="EP31" s="53">
        <v>0</v>
      </c>
      <c r="EQ31" s="53">
        <v>0</v>
      </c>
      <c r="ER31" s="53">
        <v>0</v>
      </c>
      <c r="ET31" s="53">
        <v>0</v>
      </c>
      <c r="EU31" s="53">
        <v>0</v>
      </c>
      <c r="EV31" s="53">
        <v>0</v>
      </c>
      <c r="EW31" s="53">
        <v>0</v>
      </c>
      <c r="EY31" s="53">
        <v>0</v>
      </c>
      <c r="EZ31" s="53">
        <v>0</v>
      </c>
      <c r="FA31" s="53">
        <v>0</v>
      </c>
      <c r="FB31" s="53">
        <v>0</v>
      </c>
    </row>
    <row r="32" spans="1:158" x14ac:dyDescent="0.25">
      <c r="A32" s="117"/>
      <c r="B32" t="str">
        <v>JV1</v>
      </c>
      <c r="C32" t="str">
        <v>Center</v>
      </c>
      <c r="D32" t="str">
        <v>New Jersey</v>
      </c>
      <c r="E32" s="53">
        <v>0</v>
      </c>
      <c r="F32" s="53">
        <v>0</v>
      </c>
      <c r="G32" s="53">
        <v>0</v>
      </c>
      <c r="H32" s="53">
        <v>0</v>
      </c>
      <c r="J32" s="53">
        <v>0</v>
      </c>
      <c r="K32" s="53">
        <v>0</v>
      </c>
      <c r="L32" s="53">
        <v>0</v>
      </c>
      <c r="M32" s="53">
        <v>0</v>
      </c>
      <c r="O32" s="53">
        <v>0</v>
      </c>
      <c r="P32" s="53">
        <v>0</v>
      </c>
      <c r="Q32" s="53">
        <v>0</v>
      </c>
      <c r="R32" s="53">
        <v>0</v>
      </c>
      <c r="T32" s="53">
        <v>0</v>
      </c>
      <c r="U32" s="53">
        <v>0</v>
      </c>
      <c r="V32" s="53">
        <v>0</v>
      </c>
      <c r="W32" s="53">
        <v>0</v>
      </c>
      <c r="Y32" s="53">
        <v>0</v>
      </c>
      <c r="Z32" s="53">
        <v>0</v>
      </c>
      <c r="AA32" s="53">
        <v>0</v>
      </c>
      <c r="AB32" s="53">
        <v>0</v>
      </c>
      <c r="AD32" s="53">
        <v>0</v>
      </c>
      <c r="AE32" s="53">
        <v>0</v>
      </c>
      <c r="AF32" s="53">
        <v>0</v>
      </c>
      <c r="AG32" s="53">
        <v>0</v>
      </c>
      <c r="AI32" s="53">
        <v>0</v>
      </c>
      <c r="AJ32" s="53">
        <v>0</v>
      </c>
      <c r="AK32" s="53">
        <v>0</v>
      </c>
      <c r="AL32" s="53">
        <v>0</v>
      </c>
      <c r="AN32" s="53">
        <v>0</v>
      </c>
      <c r="AO32" s="53">
        <v>0</v>
      </c>
      <c r="AP32" s="53">
        <v>0</v>
      </c>
      <c r="AQ32" s="53">
        <v>0</v>
      </c>
      <c r="AS32" s="53">
        <v>0</v>
      </c>
      <c r="AT32" s="53">
        <v>0</v>
      </c>
      <c r="AU32" s="53">
        <v>0</v>
      </c>
      <c r="AV32" s="53">
        <v>0</v>
      </c>
      <c r="AX32" s="53">
        <v>0</v>
      </c>
      <c r="AY32" s="53">
        <v>0</v>
      </c>
      <c r="AZ32" s="53">
        <v>0</v>
      </c>
      <c r="BA32" s="53">
        <v>0</v>
      </c>
      <c r="BC32" s="53">
        <v>0</v>
      </c>
      <c r="BD32" s="53">
        <v>0</v>
      </c>
      <c r="BE32" s="53">
        <v>0</v>
      </c>
      <c r="BF32" s="53">
        <v>0</v>
      </c>
      <c r="BH32" s="53">
        <v>0</v>
      </c>
      <c r="BI32" s="53">
        <v>0</v>
      </c>
      <c r="BJ32" s="53">
        <v>0</v>
      </c>
      <c r="BK32" s="53">
        <v>0</v>
      </c>
      <c r="BM32" s="53">
        <v>0</v>
      </c>
      <c r="BN32" s="53">
        <v>0</v>
      </c>
      <c r="BO32" s="53">
        <v>0</v>
      </c>
      <c r="BP32" s="53">
        <v>0</v>
      </c>
      <c r="BR32" s="53">
        <v>0</v>
      </c>
      <c r="BS32" s="53">
        <v>0</v>
      </c>
      <c r="BT32" s="53">
        <v>0</v>
      </c>
      <c r="BV32" s="53">
        <v>0</v>
      </c>
      <c r="BW32" s="53">
        <v>0</v>
      </c>
      <c r="BX32" s="53">
        <v>0</v>
      </c>
      <c r="BY32" s="53">
        <v>0</v>
      </c>
      <c r="CA32" s="53">
        <v>0</v>
      </c>
      <c r="CB32" s="53">
        <v>0</v>
      </c>
      <c r="CC32" s="53">
        <v>0</v>
      </c>
      <c r="CE32" s="53">
        <v>0</v>
      </c>
      <c r="CF32" s="53">
        <v>0</v>
      </c>
      <c r="CG32" s="53">
        <v>0</v>
      </c>
      <c r="CI32" s="53">
        <v>0</v>
      </c>
      <c r="CJ32" s="53">
        <v>0</v>
      </c>
      <c r="CK32" s="53">
        <v>0</v>
      </c>
      <c r="CM32" s="53">
        <v>0</v>
      </c>
      <c r="CN32" s="53">
        <v>0</v>
      </c>
      <c r="CO32" s="53">
        <v>0</v>
      </c>
      <c r="CQ32" s="53">
        <v>0</v>
      </c>
      <c r="CR32" s="53">
        <v>0</v>
      </c>
      <c r="CS32" s="53">
        <v>0</v>
      </c>
      <c r="CU32" s="53">
        <v>0</v>
      </c>
      <c r="CV32" s="53">
        <v>0</v>
      </c>
      <c r="CW32" s="53">
        <v>0</v>
      </c>
      <c r="CY32" s="53">
        <v>0</v>
      </c>
      <c r="CZ32" s="53">
        <v>0</v>
      </c>
      <c r="DA32" s="53">
        <v>151234.47</v>
      </c>
      <c r="DC32" s="53">
        <v>0</v>
      </c>
      <c r="DD32" s="53">
        <v>0</v>
      </c>
      <c r="DE32" s="53">
        <v>0</v>
      </c>
      <c r="DG32" s="53">
        <v>0</v>
      </c>
      <c r="DH32" s="53">
        <v>0</v>
      </c>
      <c r="DI32" s="53">
        <v>0</v>
      </c>
      <c r="DJ32" s="53">
        <v>0</v>
      </c>
      <c r="DL32" s="53">
        <v>0</v>
      </c>
      <c r="DM32" s="53">
        <v>0</v>
      </c>
      <c r="DN32" s="53">
        <v>0</v>
      </c>
      <c r="DP32" s="53">
        <v>0</v>
      </c>
      <c r="DQ32" s="53">
        <v>0</v>
      </c>
      <c r="DR32" s="53">
        <v>0</v>
      </c>
      <c r="DS32" s="53" t="e">
        <v>#N/A</v>
      </c>
      <c r="DU32" s="53">
        <v>0</v>
      </c>
      <c r="DV32" s="53">
        <v>0</v>
      </c>
      <c r="DW32" s="53">
        <v>0</v>
      </c>
      <c r="DX32" s="53">
        <v>0</v>
      </c>
      <c r="DZ32" s="53">
        <v>0</v>
      </c>
      <c r="EA32" s="53">
        <v>0</v>
      </c>
      <c r="EB32" s="53">
        <v>0</v>
      </c>
      <c r="EC32" s="53">
        <v>0</v>
      </c>
      <c r="EE32" s="53">
        <v>0</v>
      </c>
      <c r="EF32" s="53">
        <v>0</v>
      </c>
      <c r="EG32" s="53">
        <v>0</v>
      </c>
      <c r="EH32" s="53">
        <v>0</v>
      </c>
      <c r="EJ32" s="53">
        <v>0</v>
      </c>
      <c r="EK32" s="53">
        <v>0</v>
      </c>
      <c r="EL32" s="53">
        <v>0</v>
      </c>
      <c r="EM32" s="53">
        <v>0</v>
      </c>
      <c r="EO32" s="53">
        <v>0</v>
      </c>
      <c r="EP32" s="53">
        <v>0</v>
      </c>
      <c r="EQ32" s="53">
        <v>0</v>
      </c>
      <c r="ER32" s="53">
        <v>0</v>
      </c>
      <c r="ET32" s="53">
        <v>0</v>
      </c>
      <c r="EU32" s="53">
        <v>0</v>
      </c>
      <c r="EV32" s="53">
        <v>0</v>
      </c>
      <c r="EW32" s="53">
        <v>0</v>
      </c>
      <c r="EY32" s="53">
        <v>0</v>
      </c>
      <c r="EZ32" s="53">
        <v>0</v>
      </c>
      <c r="FA32" s="53">
        <v>0</v>
      </c>
      <c r="FB32" s="53">
        <v>0</v>
      </c>
    </row>
    <row r="33" spans="1:158" x14ac:dyDescent="0.25">
      <c r="A33" s="117"/>
      <c r="B33" t="str">
        <v>JV1</v>
      </c>
      <c r="C33" t="str">
        <v>Remote</v>
      </c>
      <c r="D33" t="str">
        <v>New Jersey</v>
      </c>
      <c r="E33" s="53">
        <v>0</v>
      </c>
      <c r="F33" s="53">
        <v>0</v>
      </c>
      <c r="G33" s="53">
        <v>0</v>
      </c>
      <c r="H33" s="53">
        <v>0</v>
      </c>
      <c r="J33" s="53">
        <v>0</v>
      </c>
      <c r="K33" s="53">
        <v>0</v>
      </c>
      <c r="L33" s="53">
        <v>0</v>
      </c>
      <c r="M33" s="53">
        <v>0</v>
      </c>
      <c r="O33" s="53">
        <v>0</v>
      </c>
      <c r="P33" s="53">
        <v>0</v>
      </c>
      <c r="Q33" s="53">
        <v>0</v>
      </c>
      <c r="R33" s="53">
        <v>0</v>
      </c>
      <c r="T33" s="53">
        <v>0</v>
      </c>
      <c r="U33" s="53">
        <v>0</v>
      </c>
      <c r="V33" s="53">
        <v>0</v>
      </c>
      <c r="W33" s="53">
        <v>0</v>
      </c>
      <c r="Y33" s="53">
        <v>0</v>
      </c>
      <c r="Z33" s="53">
        <v>0</v>
      </c>
      <c r="AA33" s="53">
        <v>0</v>
      </c>
      <c r="AB33" s="53">
        <v>0</v>
      </c>
      <c r="AD33" s="53">
        <v>0</v>
      </c>
      <c r="AE33" s="53">
        <v>0</v>
      </c>
      <c r="AF33" s="53">
        <v>0</v>
      </c>
      <c r="AG33" s="53">
        <v>0</v>
      </c>
      <c r="AI33" s="53">
        <v>0</v>
      </c>
      <c r="AJ33" s="53">
        <v>0</v>
      </c>
      <c r="AK33" s="53">
        <v>0</v>
      </c>
      <c r="AL33" s="53">
        <v>0</v>
      </c>
      <c r="AN33" s="53">
        <v>0</v>
      </c>
      <c r="AO33" s="53">
        <v>0</v>
      </c>
      <c r="AP33" s="53">
        <v>0</v>
      </c>
      <c r="AQ33" s="53">
        <v>0</v>
      </c>
      <c r="AS33" s="53">
        <v>0</v>
      </c>
      <c r="AT33" s="53">
        <v>0</v>
      </c>
      <c r="AU33" s="53">
        <v>0</v>
      </c>
      <c r="AV33" s="53">
        <v>0</v>
      </c>
      <c r="AX33" s="53">
        <v>0</v>
      </c>
      <c r="AY33" s="53">
        <v>0</v>
      </c>
      <c r="AZ33" s="53">
        <v>0</v>
      </c>
      <c r="BA33" s="53">
        <v>0</v>
      </c>
      <c r="BC33" s="53">
        <v>0</v>
      </c>
      <c r="BD33" s="53">
        <v>0</v>
      </c>
      <c r="BE33" s="53">
        <v>0</v>
      </c>
      <c r="BF33" s="53">
        <v>0</v>
      </c>
      <c r="BH33" s="53">
        <v>0</v>
      </c>
      <c r="BI33" s="53">
        <v>0</v>
      </c>
      <c r="BJ33" s="53">
        <v>0</v>
      </c>
      <c r="BK33" s="53">
        <v>0</v>
      </c>
      <c r="BM33" s="53">
        <v>0</v>
      </c>
      <c r="BN33" s="53">
        <v>0</v>
      </c>
      <c r="BO33" s="53">
        <v>0</v>
      </c>
      <c r="BP33" s="53">
        <v>0</v>
      </c>
      <c r="BR33" s="53">
        <v>0</v>
      </c>
      <c r="BS33" s="53">
        <v>0</v>
      </c>
      <c r="BT33" s="53">
        <v>0</v>
      </c>
      <c r="BV33" s="53">
        <v>0</v>
      </c>
      <c r="BW33" s="53">
        <v>0</v>
      </c>
      <c r="BX33" s="53">
        <v>0</v>
      </c>
      <c r="BY33" s="53">
        <v>0</v>
      </c>
      <c r="CA33" s="53">
        <v>0</v>
      </c>
      <c r="CB33" s="53">
        <v>0</v>
      </c>
      <c r="CC33" s="53">
        <v>0</v>
      </c>
      <c r="CE33" s="53">
        <v>0</v>
      </c>
      <c r="CF33" s="53">
        <v>0</v>
      </c>
      <c r="CG33" s="53">
        <v>0</v>
      </c>
      <c r="CI33" s="53">
        <v>0</v>
      </c>
      <c r="CJ33" s="53">
        <v>0</v>
      </c>
      <c r="CK33" s="53">
        <v>0</v>
      </c>
      <c r="CM33" s="53">
        <v>0</v>
      </c>
      <c r="CN33" s="53">
        <v>0</v>
      </c>
      <c r="CO33" s="53">
        <v>0</v>
      </c>
      <c r="CQ33" s="53">
        <v>0</v>
      </c>
      <c r="CR33" s="53">
        <v>0</v>
      </c>
      <c r="CS33" s="53">
        <v>0</v>
      </c>
      <c r="CU33" s="53">
        <v>0</v>
      </c>
      <c r="CV33" s="53">
        <v>0</v>
      </c>
      <c r="CW33" s="53">
        <v>0</v>
      </c>
      <c r="CY33" s="53">
        <v>0</v>
      </c>
      <c r="CZ33" s="53">
        <v>0</v>
      </c>
      <c r="DA33" s="53">
        <v>0</v>
      </c>
      <c r="DC33" s="53">
        <v>0</v>
      </c>
      <c r="DD33" s="53">
        <v>0</v>
      </c>
      <c r="DE33" s="53">
        <v>0</v>
      </c>
      <c r="DG33" s="53">
        <v>0</v>
      </c>
      <c r="DH33" s="53">
        <v>0</v>
      </c>
      <c r="DI33" s="53">
        <v>0</v>
      </c>
      <c r="DJ33" s="53">
        <v>0</v>
      </c>
      <c r="DL33" s="53">
        <v>0</v>
      </c>
      <c r="DM33" s="53">
        <v>0</v>
      </c>
      <c r="DN33" s="53">
        <v>0</v>
      </c>
      <c r="DP33" s="53">
        <v>0</v>
      </c>
      <c r="DQ33" s="53">
        <v>0</v>
      </c>
      <c r="DR33" s="53">
        <v>0</v>
      </c>
      <c r="DS33" s="53" t="e">
        <v>#N/A</v>
      </c>
      <c r="DU33" s="53">
        <v>0</v>
      </c>
      <c r="DV33" s="53">
        <v>0</v>
      </c>
      <c r="DW33" s="53">
        <v>0</v>
      </c>
      <c r="DX33" s="53">
        <v>0</v>
      </c>
      <c r="DZ33" s="53">
        <v>0</v>
      </c>
      <c r="EA33" s="53">
        <v>0</v>
      </c>
      <c r="EB33" s="53">
        <v>0</v>
      </c>
      <c r="EC33" s="53">
        <v>0</v>
      </c>
      <c r="EE33" s="53">
        <v>0</v>
      </c>
      <c r="EF33" s="53">
        <v>0</v>
      </c>
      <c r="EG33" s="53">
        <v>0</v>
      </c>
      <c r="EH33" s="53">
        <v>0</v>
      </c>
      <c r="EJ33" s="53">
        <v>0</v>
      </c>
      <c r="EK33" s="53">
        <v>0</v>
      </c>
      <c r="EL33" s="53">
        <v>0</v>
      </c>
      <c r="EM33" s="53">
        <v>0</v>
      </c>
      <c r="EO33" s="53">
        <v>0</v>
      </c>
      <c r="EP33" s="53">
        <v>0</v>
      </c>
      <c r="EQ33" s="53">
        <v>0</v>
      </c>
      <c r="ER33" s="53">
        <v>0</v>
      </c>
      <c r="ET33" s="53">
        <v>0</v>
      </c>
      <c r="EU33" s="53">
        <v>0</v>
      </c>
      <c r="EV33" s="53">
        <v>0</v>
      </c>
      <c r="EW33" s="53">
        <v>0</v>
      </c>
      <c r="EY33" s="53">
        <v>0</v>
      </c>
      <c r="EZ33" s="53">
        <v>0</v>
      </c>
      <c r="FA33" s="53">
        <v>0</v>
      </c>
      <c r="FB33" s="53">
        <v>0</v>
      </c>
    </row>
    <row r="34" spans="1:158" x14ac:dyDescent="0.25">
      <c r="A34" s="117"/>
      <c r="B34" t="str">
        <v>JV1</v>
      </c>
      <c r="C34" t="str">
        <v>Center</v>
      </c>
      <c r="D34" t="str">
        <v>New Jersey</v>
      </c>
      <c r="E34" s="53">
        <v>0</v>
      </c>
      <c r="F34" s="53">
        <v>0</v>
      </c>
      <c r="G34" s="53">
        <v>0</v>
      </c>
      <c r="H34" s="53">
        <v>0</v>
      </c>
      <c r="J34" s="53">
        <v>0</v>
      </c>
      <c r="K34" s="53">
        <v>0</v>
      </c>
      <c r="L34" s="53">
        <v>0</v>
      </c>
      <c r="M34" s="53">
        <v>0</v>
      </c>
      <c r="O34" s="53">
        <v>0</v>
      </c>
      <c r="P34" s="53">
        <v>0</v>
      </c>
      <c r="Q34" s="53">
        <v>0</v>
      </c>
      <c r="R34" s="53">
        <v>0</v>
      </c>
      <c r="T34" s="53">
        <v>0</v>
      </c>
      <c r="U34" s="53">
        <v>0</v>
      </c>
      <c r="V34" s="53">
        <v>0</v>
      </c>
      <c r="W34" s="53">
        <v>0</v>
      </c>
      <c r="Y34" s="53">
        <v>0</v>
      </c>
      <c r="Z34" s="53">
        <v>0</v>
      </c>
      <c r="AA34" s="53">
        <v>0</v>
      </c>
      <c r="AB34" s="53">
        <v>0</v>
      </c>
      <c r="AD34" s="53">
        <v>0</v>
      </c>
      <c r="AE34" s="53">
        <v>0</v>
      </c>
      <c r="AF34" s="53">
        <v>0</v>
      </c>
      <c r="AG34" s="53">
        <v>0</v>
      </c>
      <c r="AI34" s="53">
        <v>0</v>
      </c>
      <c r="AJ34" s="53">
        <v>0</v>
      </c>
      <c r="AK34" s="53">
        <v>0</v>
      </c>
      <c r="AL34" s="53">
        <v>0</v>
      </c>
      <c r="AN34" s="53">
        <v>0</v>
      </c>
      <c r="AO34" s="53">
        <v>0</v>
      </c>
      <c r="AP34" s="53">
        <v>0</v>
      </c>
      <c r="AQ34" s="53">
        <v>0</v>
      </c>
      <c r="AS34" s="53">
        <v>0</v>
      </c>
      <c r="AT34" s="53">
        <v>0</v>
      </c>
      <c r="AU34" s="53">
        <v>0</v>
      </c>
      <c r="AV34" s="53">
        <v>0</v>
      </c>
      <c r="AX34" s="53">
        <v>0</v>
      </c>
      <c r="AY34" s="53">
        <v>0</v>
      </c>
      <c r="AZ34" s="53">
        <v>0</v>
      </c>
      <c r="BA34" s="53">
        <v>0</v>
      </c>
      <c r="BC34" s="53">
        <v>0</v>
      </c>
      <c r="BD34" s="53">
        <v>0</v>
      </c>
      <c r="BE34" s="53">
        <v>0</v>
      </c>
      <c r="BF34" s="53">
        <v>0</v>
      </c>
      <c r="BH34" s="53">
        <v>0</v>
      </c>
      <c r="BI34" s="53">
        <v>0</v>
      </c>
      <c r="BJ34" s="53">
        <v>0</v>
      </c>
      <c r="BK34" s="53">
        <v>0</v>
      </c>
      <c r="BM34" s="53">
        <v>0</v>
      </c>
      <c r="BN34" s="53">
        <v>0</v>
      </c>
      <c r="BO34" s="53">
        <v>0</v>
      </c>
      <c r="BP34" s="53">
        <v>0</v>
      </c>
      <c r="BR34" s="53">
        <v>0</v>
      </c>
      <c r="BS34" s="53">
        <v>0</v>
      </c>
      <c r="BT34" s="53">
        <v>0</v>
      </c>
      <c r="BV34" s="53">
        <v>0</v>
      </c>
      <c r="BW34" s="53">
        <v>0</v>
      </c>
      <c r="BX34" s="53">
        <v>0</v>
      </c>
      <c r="BY34" s="53">
        <v>0</v>
      </c>
      <c r="CA34" s="53">
        <v>0</v>
      </c>
      <c r="CB34" s="53">
        <v>0</v>
      </c>
      <c r="CC34" s="53">
        <v>0</v>
      </c>
      <c r="CE34" s="53">
        <v>0</v>
      </c>
      <c r="CF34" s="53">
        <v>0</v>
      </c>
      <c r="CG34" s="53">
        <v>0</v>
      </c>
      <c r="CI34" s="53">
        <v>0</v>
      </c>
      <c r="CJ34" s="53">
        <v>0</v>
      </c>
      <c r="CK34" s="53">
        <v>0</v>
      </c>
      <c r="CM34" s="53">
        <v>0</v>
      </c>
      <c r="CN34" s="53">
        <v>0</v>
      </c>
      <c r="CO34" s="53">
        <v>0</v>
      </c>
      <c r="CQ34" s="53">
        <v>0</v>
      </c>
      <c r="CR34" s="53">
        <v>0</v>
      </c>
      <c r="CS34" s="53">
        <v>0</v>
      </c>
      <c r="CU34" s="53">
        <v>0</v>
      </c>
      <c r="CV34" s="53">
        <v>0</v>
      </c>
      <c r="CW34" s="53">
        <v>0</v>
      </c>
      <c r="CY34" s="53">
        <v>0</v>
      </c>
      <c r="CZ34" s="53">
        <v>0</v>
      </c>
      <c r="DA34" s="53">
        <v>0</v>
      </c>
      <c r="DC34" s="53">
        <v>0</v>
      </c>
      <c r="DD34" s="53">
        <v>0</v>
      </c>
      <c r="DE34" s="53">
        <v>0</v>
      </c>
      <c r="DG34" s="53">
        <v>0</v>
      </c>
      <c r="DH34" s="53">
        <v>0</v>
      </c>
      <c r="DI34" s="53">
        <v>0</v>
      </c>
      <c r="DJ34" s="53">
        <v>0</v>
      </c>
      <c r="DL34" s="53">
        <v>0</v>
      </c>
      <c r="DM34" s="53">
        <v>0</v>
      </c>
      <c r="DN34" s="53">
        <v>0</v>
      </c>
      <c r="DP34" s="53">
        <v>0</v>
      </c>
      <c r="DQ34" s="53">
        <v>0</v>
      </c>
      <c r="DR34" s="53">
        <v>0</v>
      </c>
      <c r="DS34" s="53" t="e">
        <v>#N/A</v>
      </c>
      <c r="DU34" s="53">
        <v>0</v>
      </c>
      <c r="DV34" s="53">
        <v>0</v>
      </c>
      <c r="DW34" s="53">
        <v>0</v>
      </c>
      <c r="DX34" s="53">
        <v>0</v>
      </c>
      <c r="DZ34" s="53">
        <v>0</v>
      </c>
      <c r="EA34" s="53">
        <v>0</v>
      </c>
      <c r="EB34" s="53">
        <v>0</v>
      </c>
      <c r="EC34" s="53">
        <v>0</v>
      </c>
      <c r="EE34" s="53">
        <v>0</v>
      </c>
      <c r="EF34" s="53">
        <v>0</v>
      </c>
      <c r="EG34" s="53">
        <v>0</v>
      </c>
      <c r="EH34" s="53">
        <v>0</v>
      </c>
      <c r="EJ34" s="53">
        <v>0</v>
      </c>
      <c r="EK34" s="53">
        <v>0</v>
      </c>
      <c r="EL34" s="53">
        <v>0</v>
      </c>
      <c r="EM34" s="53">
        <v>0</v>
      </c>
      <c r="EO34" s="53">
        <v>0</v>
      </c>
      <c r="EP34" s="53">
        <v>0</v>
      </c>
      <c r="EQ34" s="53">
        <v>0</v>
      </c>
      <c r="ER34" s="53">
        <v>0</v>
      </c>
      <c r="ET34" s="53">
        <v>0</v>
      </c>
      <c r="EU34" s="53">
        <v>0</v>
      </c>
      <c r="EV34" s="53">
        <v>0</v>
      </c>
      <c r="EW34" s="53">
        <v>0</v>
      </c>
      <c r="EY34" s="53">
        <v>0</v>
      </c>
      <c r="EZ34" s="53">
        <v>0</v>
      </c>
      <c r="FA34" s="53">
        <v>0</v>
      </c>
      <c r="FB34" s="53">
        <v>0</v>
      </c>
    </row>
    <row r="35" spans="1:158" x14ac:dyDescent="0.25">
      <c r="B35" t="str">
        <v>JV1</v>
      </c>
      <c r="C35" t="str">
        <v>Center</v>
      </c>
      <c r="D35" t="str">
        <v>New Jersey</v>
      </c>
      <c r="E35" s="53">
        <v>0</v>
      </c>
      <c r="F35" s="53">
        <v>0</v>
      </c>
      <c r="G35" s="53">
        <v>0</v>
      </c>
      <c r="H35" s="53">
        <v>0</v>
      </c>
      <c r="J35" s="53">
        <v>0</v>
      </c>
      <c r="K35" s="53">
        <v>0</v>
      </c>
      <c r="L35" s="53">
        <v>0</v>
      </c>
      <c r="M35" s="53">
        <v>0</v>
      </c>
      <c r="O35" s="53">
        <v>0</v>
      </c>
      <c r="P35" s="53">
        <v>0</v>
      </c>
      <c r="Q35" s="53">
        <v>0</v>
      </c>
      <c r="R35" s="53">
        <v>0</v>
      </c>
      <c r="T35" s="53">
        <v>0</v>
      </c>
      <c r="U35" s="53">
        <v>0</v>
      </c>
      <c r="V35" s="53">
        <v>0</v>
      </c>
      <c r="W35" s="53">
        <v>0</v>
      </c>
      <c r="Y35" s="53">
        <v>0</v>
      </c>
      <c r="Z35" s="53">
        <v>0</v>
      </c>
      <c r="AA35" s="53">
        <v>0</v>
      </c>
      <c r="AB35" s="53">
        <v>0</v>
      </c>
      <c r="AD35" s="53">
        <v>0</v>
      </c>
      <c r="AE35" s="53">
        <v>0</v>
      </c>
      <c r="AF35" s="53">
        <v>0</v>
      </c>
      <c r="AG35" s="53">
        <v>0</v>
      </c>
      <c r="AI35" s="53">
        <v>0</v>
      </c>
      <c r="AJ35" s="53">
        <v>0</v>
      </c>
      <c r="AK35" s="53">
        <v>0</v>
      </c>
      <c r="AL35" s="53">
        <v>0</v>
      </c>
      <c r="AN35" s="53">
        <v>0</v>
      </c>
      <c r="AO35" s="53">
        <v>0</v>
      </c>
      <c r="AP35" s="53">
        <v>0</v>
      </c>
      <c r="AQ35" s="53">
        <v>0</v>
      </c>
      <c r="AS35" s="53">
        <v>0</v>
      </c>
      <c r="AT35" s="53">
        <v>0</v>
      </c>
      <c r="AU35" s="53">
        <v>0</v>
      </c>
      <c r="AV35" s="53">
        <v>0</v>
      </c>
      <c r="AX35" s="53">
        <v>0</v>
      </c>
      <c r="AY35" s="53">
        <v>0</v>
      </c>
      <c r="AZ35" s="53">
        <v>0</v>
      </c>
      <c r="BA35" s="53">
        <v>0</v>
      </c>
      <c r="BC35" s="53">
        <v>0</v>
      </c>
      <c r="BD35" s="53">
        <v>0</v>
      </c>
      <c r="BE35" s="53">
        <v>0</v>
      </c>
      <c r="BF35" s="53">
        <v>0</v>
      </c>
      <c r="BH35" s="53">
        <v>0</v>
      </c>
      <c r="BI35" s="53">
        <v>0</v>
      </c>
      <c r="BJ35" s="53">
        <v>0</v>
      </c>
      <c r="BK35" s="53">
        <v>0</v>
      </c>
      <c r="BM35" s="53">
        <v>0</v>
      </c>
      <c r="BN35" s="53">
        <v>0</v>
      </c>
      <c r="BO35" s="53">
        <v>0</v>
      </c>
      <c r="BP35" s="53">
        <v>0</v>
      </c>
      <c r="BR35" s="53">
        <v>0</v>
      </c>
      <c r="BS35" s="53">
        <v>0</v>
      </c>
      <c r="BT35" s="53">
        <v>0</v>
      </c>
      <c r="BV35" s="53">
        <v>0</v>
      </c>
      <c r="BW35" s="53">
        <v>0</v>
      </c>
      <c r="BX35" s="53">
        <v>0</v>
      </c>
      <c r="BY35" s="53">
        <v>0</v>
      </c>
      <c r="CA35" s="53">
        <v>0</v>
      </c>
      <c r="CB35" s="53">
        <v>0</v>
      </c>
      <c r="CC35" s="53">
        <v>0</v>
      </c>
      <c r="CE35" s="53">
        <v>0</v>
      </c>
      <c r="CF35" s="53">
        <v>0</v>
      </c>
      <c r="CG35" s="53">
        <v>0</v>
      </c>
      <c r="CI35" s="53">
        <v>0</v>
      </c>
      <c r="CJ35" s="53">
        <v>0</v>
      </c>
      <c r="CK35" s="53">
        <v>0</v>
      </c>
      <c r="CM35" s="53">
        <v>0</v>
      </c>
      <c r="CN35" s="53">
        <v>0</v>
      </c>
      <c r="CO35" s="53">
        <v>0</v>
      </c>
      <c r="CQ35" s="53">
        <v>0</v>
      </c>
      <c r="CR35" s="53">
        <v>0</v>
      </c>
      <c r="CS35" s="53">
        <v>0</v>
      </c>
      <c r="CU35" s="53">
        <v>0</v>
      </c>
      <c r="CV35" s="53">
        <v>0</v>
      </c>
      <c r="CW35" s="53">
        <v>0</v>
      </c>
      <c r="CY35" s="53">
        <v>0</v>
      </c>
      <c r="CZ35" s="53">
        <v>0</v>
      </c>
      <c r="DA35" s="53">
        <v>0</v>
      </c>
      <c r="DC35" s="53">
        <v>0</v>
      </c>
      <c r="DD35" s="53">
        <v>0</v>
      </c>
      <c r="DE35" s="53">
        <v>0</v>
      </c>
      <c r="DG35" s="53">
        <v>0</v>
      </c>
      <c r="DH35" s="53">
        <v>0</v>
      </c>
      <c r="DI35" s="53">
        <v>0</v>
      </c>
      <c r="DJ35" s="53">
        <v>0</v>
      </c>
      <c r="DL35" s="53">
        <v>0</v>
      </c>
      <c r="DM35" s="53">
        <v>0</v>
      </c>
      <c r="DN35" s="53">
        <v>0</v>
      </c>
      <c r="DP35" s="53">
        <v>0</v>
      </c>
      <c r="DQ35" s="53">
        <v>0</v>
      </c>
      <c r="DR35" s="53">
        <v>0</v>
      </c>
      <c r="DS35" s="53" t="e">
        <v>#N/A</v>
      </c>
      <c r="DU35" s="53">
        <v>0</v>
      </c>
      <c r="DV35" s="53">
        <v>0</v>
      </c>
      <c r="DW35" s="53">
        <v>0</v>
      </c>
      <c r="DX35" s="53">
        <v>0</v>
      </c>
      <c r="DZ35" s="53">
        <v>0</v>
      </c>
      <c r="EA35" s="53">
        <v>0</v>
      </c>
      <c r="EB35" s="53">
        <v>0</v>
      </c>
      <c r="EC35" s="53">
        <v>0</v>
      </c>
      <c r="EE35" s="53">
        <v>0</v>
      </c>
      <c r="EF35" s="53">
        <v>0</v>
      </c>
      <c r="EG35" s="53">
        <v>0</v>
      </c>
      <c r="EH35" s="53">
        <v>0</v>
      </c>
      <c r="EJ35" s="53">
        <v>0</v>
      </c>
      <c r="EK35" s="53">
        <v>0</v>
      </c>
      <c r="EL35" s="53">
        <v>0</v>
      </c>
      <c r="EM35" s="53">
        <v>0</v>
      </c>
      <c r="EO35" s="53">
        <v>0</v>
      </c>
      <c r="EP35" s="53">
        <v>0</v>
      </c>
      <c r="EQ35" s="53">
        <v>0</v>
      </c>
      <c r="ER35" s="53">
        <v>0</v>
      </c>
      <c r="ET35" s="53">
        <v>0</v>
      </c>
      <c r="EU35" s="53">
        <v>0</v>
      </c>
      <c r="EV35" s="53">
        <v>0</v>
      </c>
      <c r="EW35" s="53">
        <v>0</v>
      </c>
      <c r="EY35" s="53">
        <v>0</v>
      </c>
      <c r="EZ35" s="53">
        <v>0</v>
      </c>
      <c r="FA35" s="53">
        <v>0</v>
      </c>
      <c r="FB35" s="53">
        <v>0</v>
      </c>
    </row>
    <row r="36" spans="1:158" x14ac:dyDescent="0.25">
      <c r="B36" t="str">
        <v>JV1</v>
      </c>
      <c r="C36" t="str">
        <v>Remote</v>
      </c>
      <c r="D36" t="str">
        <v>New Jersey</v>
      </c>
      <c r="E36" s="53">
        <v>0</v>
      </c>
      <c r="F36" s="53">
        <v>0</v>
      </c>
      <c r="G36" s="53">
        <v>0</v>
      </c>
      <c r="H36" s="53">
        <v>0</v>
      </c>
      <c r="J36" s="53">
        <v>0</v>
      </c>
      <c r="K36" s="53">
        <v>0</v>
      </c>
      <c r="L36" s="53">
        <v>0</v>
      </c>
      <c r="M36" s="53">
        <v>0</v>
      </c>
      <c r="O36" s="53">
        <v>0</v>
      </c>
      <c r="P36" s="53">
        <v>0</v>
      </c>
      <c r="Q36" s="53">
        <v>0</v>
      </c>
      <c r="R36" s="53">
        <v>0</v>
      </c>
      <c r="T36" s="53">
        <v>0</v>
      </c>
      <c r="U36" s="53">
        <v>0</v>
      </c>
      <c r="V36" s="53">
        <v>0</v>
      </c>
      <c r="W36" s="53">
        <v>0</v>
      </c>
      <c r="Y36" s="53">
        <v>0</v>
      </c>
      <c r="Z36" s="53">
        <v>0</v>
      </c>
      <c r="AA36" s="53">
        <v>0</v>
      </c>
      <c r="AB36" s="53">
        <v>0</v>
      </c>
      <c r="AD36" s="53">
        <v>0</v>
      </c>
      <c r="AE36" s="53">
        <v>0</v>
      </c>
      <c r="AF36" s="53">
        <v>0</v>
      </c>
      <c r="AG36" s="53">
        <v>0</v>
      </c>
      <c r="AI36" s="53">
        <v>0</v>
      </c>
      <c r="AJ36" s="53">
        <v>0</v>
      </c>
      <c r="AK36" s="53">
        <v>0</v>
      </c>
      <c r="AL36" s="53">
        <v>0</v>
      </c>
      <c r="AN36" s="53">
        <v>0</v>
      </c>
      <c r="AO36" s="53">
        <v>0</v>
      </c>
      <c r="AP36" s="53">
        <v>0</v>
      </c>
      <c r="AQ36" s="53">
        <v>0</v>
      </c>
      <c r="AS36" s="53">
        <v>0</v>
      </c>
      <c r="AT36" s="53">
        <v>0</v>
      </c>
      <c r="AU36" s="53">
        <v>0</v>
      </c>
      <c r="AV36" s="53">
        <v>0</v>
      </c>
      <c r="AX36" s="53">
        <v>0</v>
      </c>
      <c r="AY36" s="53">
        <v>0</v>
      </c>
      <c r="AZ36" s="53">
        <v>0</v>
      </c>
      <c r="BA36" s="53">
        <v>0</v>
      </c>
      <c r="BC36" s="53">
        <v>0</v>
      </c>
      <c r="BD36" s="53">
        <v>0</v>
      </c>
      <c r="BE36" s="53">
        <v>0</v>
      </c>
      <c r="BF36" s="53">
        <v>0</v>
      </c>
      <c r="BH36" s="53">
        <v>0</v>
      </c>
      <c r="BI36" s="53">
        <v>0</v>
      </c>
      <c r="BJ36" s="53">
        <v>0</v>
      </c>
      <c r="BK36" s="53">
        <v>0</v>
      </c>
      <c r="BM36" s="53">
        <v>0</v>
      </c>
      <c r="BN36" s="53">
        <v>0</v>
      </c>
      <c r="BO36" s="53">
        <v>0</v>
      </c>
      <c r="BP36" s="53">
        <v>0</v>
      </c>
      <c r="BR36" s="53">
        <v>0</v>
      </c>
      <c r="BS36" s="53">
        <v>0</v>
      </c>
      <c r="BT36" s="53">
        <v>0</v>
      </c>
      <c r="BV36" s="53">
        <v>0</v>
      </c>
      <c r="BW36" s="53">
        <v>0</v>
      </c>
      <c r="BX36" s="53">
        <v>0</v>
      </c>
      <c r="BY36" s="53">
        <v>0</v>
      </c>
      <c r="CA36" s="53">
        <v>0</v>
      </c>
      <c r="CB36" s="53">
        <v>0</v>
      </c>
      <c r="CC36" s="53">
        <v>0</v>
      </c>
      <c r="CE36" s="53">
        <v>0</v>
      </c>
      <c r="CF36" s="53">
        <v>0</v>
      </c>
      <c r="CG36" s="53">
        <v>0</v>
      </c>
      <c r="CI36" s="53">
        <v>0</v>
      </c>
      <c r="CJ36" s="53">
        <v>0</v>
      </c>
      <c r="CK36" s="53">
        <v>0</v>
      </c>
      <c r="CM36" s="53">
        <v>0</v>
      </c>
      <c r="CN36" s="53">
        <v>0</v>
      </c>
      <c r="CO36" s="53">
        <v>0</v>
      </c>
      <c r="CQ36" s="53">
        <v>0</v>
      </c>
      <c r="CR36" s="53">
        <v>0</v>
      </c>
      <c r="CS36" s="53">
        <v>0</v>
      </c>
      <c r="CU36" s="53">
        <v>0</v>
      </c>
      <c r="CV36" s="53">
        <v>0</v>
      </c>
      <c r="CW36" s="53">
        <v>0</v>
      </c>
      <c r="CY36" s="53">
        <v>0</v>
      </c>
      <c r="CZ36" s="53">
        <v>0</v>
      </c>
      <c r="DA36" s="53">
        <v>0</v>
      </c>
      <c r="DC36" s="53">
        <v>0</v>
      </c>
      <c r="DD36" s="53">
        <v>0</v>
      </c>
      <c r="DE36" s="53">
        <v>0</v>
      </c>
      <c r="DG36" s="53">
        <v>0</v>
      </c>
      <c r="DH36" s="53">
        <v>0</v>
      </c>
      <c r="DI36" s="53">
        <v>0</v>
      </c>
      <c r="DJ36" s="53">
        <v>0</v>
      </c>
      <c r="DL36" s="53">
        <v>0</v>
      </c>
      <c r="DM36" s="53">
        <v>0</v>
      </c>
      <c r="DN36" s="53">
        <v>0</v>
      </c>
      <c r="DP36" s="53">
        <v>0</v>
      </c>
      <c r="DQ36" s="53">
        <v>0</v>
      </c>
      <c r="DR36" s="53">
        <v>0</v>
      </c>
      <c r="DS36" s="53" t="e">
        <v>#N/A</v>
      </c>
      <c r="DU36" s="53">
        <v>0</v>
      </c>
      <c r="DV36" s="53">
        <v>0</v>
      </c>
      <c r="DW36" s="53">
        <v>0</v>
      </c>
      <c r="DX36" s="53">
        <v>0</v>
      </c>
      <c r="DZ36" s="53">
        <v>0</v>
      </c>
      <c r="EA36" s="53">
        <v>0</v>
      </c>
      <c r="EB36" s="53">
        <v>0</v>
      </c>
      <c r="EC36" s="53">
        <v>0</v>
      </c>
      <c r="EE36" s="53">
        <v>0</v>
      </c>
      <c r="EF36" s="53">
        <v>0</v>
      </c>
      <c r="EG36" s="53">
        <v>0</v>
      </c>
      <c r="EH36" s="53">
        <v>0</v>
      </c>
      <c r="EJ36" s="53">
        <v>0</v>
      </c>
      <c r="EK36" s="53">
        <v>0</v>
      </c>
      <c r="EL36" s="53">
        <v>0</v>
      </c>
      <c r="EM36" s="53">
        <v>0</v>
      </c>
      <c r="EO36" s="53">
        <v>0</v>
      </c>
      <c r="EP36" s="53">
        <v>0</v>
      </c>
      <c r="EQ36" s="53">
        <v>0</v>
      </c>
      <c r="ER36" s="53">
        <v>0</v>
      </c>
      <c r="ET36" s="53">
        <v>0</v>
      </c>
      <c r="EU36" s="53">
        <v>0</v>
      </c>
      <c r="EV36" s="53">
        <v>0</v>
      </c>
      <c r="EW36" s="53">
        <v>0</v>
      </c>
      <c r="EY36" s="53">
        <v>0</v>
      </c>
      <c r="EZ36" s="53">
        <v>0</v>
      </c>
      <c r="FA36" s="53">
        <v>0</v>
      </c>
      <c r="FB36" s="53">
        <v>0</v>
      </c>
    </row>
    <row r="37" spans="1:158" x14ac:dyDescent="0.25">
      <c r="B37" t="str">
        <v>JV1</v>
      </c>
      <c r="C37" t="str">
        <v>Center</v>
      </c>
      <c r="D37" t="str">
        <v>New Jersey</v>
      </c>
      <c r="E37" s="53">
        <v>0</v>
      </c>
      <c r="F37" s="53">
        <v>0</v>
      </c>
      <c r="G37" s="53">
        <v>0</v>
      </c>
      <c r="H37" s="53">
        <v>0</v>
      </c>
      <c r="J37" s="53">
        <v>0</v>
      </c>
      <c r="K37" s="53">
        <v>0</v>
      </c>
      <c r="L37" s="53">
        <v>0</v>
      </c>
      <c r="M37" s="53">
        <v>0</v>
      </c>
      <c r="O37" s="53">
        <v>0</v>
      </c>
      <c r="P37" s="53">
        <v>0</v>
      </c>
      <c r="Q37" s="53">
        <v>0</v>
      </c>
      <c r="R37" s="53">
        <v>0</v>
      </c>
      <c r="T37" s="53">
        <v>0</v>
      </c>
      <c r="U37" s="53">
        <v>0</v>
      </c>
      <c r="V37" s="53">
        <v>0</v>
      </c>
      <c r="W37" s="53">
        <v>0</v>
      </c>
      <c r="Y37" s="53">
        <v>0</v>
      </c>
      <c r="Z37" s="53">
        <v>0</v>
      </c>
      <c r="AA37" s="53">
        <v>0</v>
      </c>
      <c r="AB37" s="53">
        <v>0</v>
      </c>
      <c r="AD37" s="53">
        <v>0</v>
      </c>
      <c r="AE37" s="53">
        <v>0</v>
      </c>
      <c r="AF37" s="53">
        <v>0</v>
      </c>
      <c r="AG37" s="53">
        <v>0</v>
      </c>
      <c r="AI37" s="53">
        <v>0</v>
      </c>
      <c r="AJ37" s="53">
        <v>0</v>
      </c>
      <c r="AK37" s="53">
        <v>0</v>
      </c>
      <c r="AL37" s="53">
        <v>0</v>
      </c>
      <c r="AN37" s="53">
        <v>0</v>
      </c>
      <c r="AO37" s="53">
        <v>0</v>
      </c>
      <c r="AP37" s="53">
        <v>0</v>
      </c>
      <c r="AQ37" s="53">
        <v>0</v>
      </c>
      <c r="AS37" s="53">
        <v>0</v>
      </c>
      <c r="AT37" s="53">
        <v>0</v>
      </c>
      <c r="AU37" s="53">
        <v>0</v>
      </c>
      <c r="AV37" s="53">
        <v>0</v>
      </c>
      <c r="AX37" s="53">
        <v>0</v>
      </c>
      <c r="AY37" s="53">
        <v>0</v>
      </c>
      <c r="AZ37" s="53">
        <v>0</v>
      </c>
      <c r="BA37" s="53">
        <v>0</v>
      </c>
      <c r="BC37" s="53">
        <v>0</v>
      </c>
      <c r="BD37" s="53">
        <v>0</v>
      </c>
      <c r="BE37" s="53">
        <v>0</v>
      </c>
      <c r="BF37" s="53">
        <v>0</v>
      </c>
      <c r="BH37" s="53">
        <v>0</v>
      </c>
      <c r="BI37" s="53">
        <v>0</v>
      </c>
      <c r="BJ37" s="53">
        <v>0</v>
      </c>
      <c r="BK37" s="53">
        <v>0</v>
      </c>
      <c r="BM37" s="53">
        <v>0</v>
      </c>
      <c r="BN37" s="53">
        <v>0</v>
      </c>
      <c r="BO37" s="53">
        <v>0</v>
      </c>
      <c r="BP37" s="53">
        <v>0</v>
      </c>
      <c r="BR37" s="53">
        <v>0</v>
      </c>
      <c r="BS37" s="53">
        <v>0</v>
      </c>
      <c r="BT37" s="53">
        <v>0</v>
      </c>
      <c r="BV37" s="53">
        <v>0</v>
      </c>
      <c r="BW37" s="53">
        <v>0</v>
      </c>
      <c r="BX37" s="53">
        <v>0</v>
      </c>
      <c r="BY37" s="53">
        <v>0</v>
      </c>
      <c r="CA37" s="53">
        <v>0</v>
      </c>
      <c r="CB37" s="53">
        <v>0</v>
      </c>
      <c r="CC37" s="53">
        <v>0</v>
      </c>
      <c r="CE37" s="53">
        <v>0</v>
      </c>
      <c r="CF37" s="53">
        <v>0</v>
      </c>
      <c r="CG37" s="53">
        <v>0</v>
      </c>
      <c r="CI37" s="53">
        <v>0</v>
      </c>
      <c r="CJ37" s="53">
        <v>0</v>
      </c>
      <c r="CK37" s="53">
        <v>0</v>
      </c>
      <c r="CM37" s="53">
        <v>0</v>
      </c>
      <c r="CN37" s="53">
        <v>0</v>
      </c>
      <c r="CO37" s="53">
        <v>0</v>
      </c>
      <c r="CQ37" s="53">
        <v>0</v>
      </c>
      <c r="CR37" s="53">
        <v>0</v>
      </c>
      <c r="CS37" s="53">
        <v>0</v>
      </c>
      <c r="CU37" s="53">
        <v>0</v>
      </c>
      <c r="CV37" s="53">
        <v>0</v>
      </c>
      <c r="CW37" s="53">
        <v>0</v>
      </c>
      <c r="CY37" s="53">
        <v>0</v>
      </c>
      <c r="CZ37" s="53">
        <v>0</v>
      </c>
      <c r="DA37" s="53">
        <v>151234.47</v>
      </c>
      <c r="DC37" s="53">
        <v>0</v>
      </c>
      <c r="DD37" s="53">
        <v>0</v>
      </c>
      <c r="DE37" s="53">
        <v>0</v>
      </c>
      <c r="DG37" s="53">
        <v>0</v>
      </c>
      <c r="DH37" s="53">
        <v>0</v>
      </c>
      <c r="DI37" s="53">
        <v>0</v>
      </c>
      <c r="DJ37" s="53">
        <v>0</v>
      </c>
      <c r="DL37" s="53">
        <v>0</v>
      </c>
      <c r="DM37" s="53">
        <v>0</v>
      </c>
      <c r="DN37" s="53">
        <v>0</v>
      </c>
      <c r="DP37" s="53">
        <v>0</v>
      </c>
      <c r="DQ37" s="53">
        <v>0</v>
      </c>
      <c r="DR37" s="53">
        <v>0</v>
      </c>
      <c r="DS37" s="53" t="e">
        <v>#N/A</v>
      </c>
      <c r="DU37" s="53">
        <v>0</v>
      </c>
      <c r="DV37" s="53">
        <v>0</v>
      </c>
      <c r="DW37" s="53">
        <v>0</v>
      </c>
      <c r="DX37" s="53">
        <v>0</v>
      </c>
      <c r="DZ37" s="53">
        <v>0</v>
      </c>
      <c r="EA37" s="53">
        <v>0</v>
      </c>
      <c r="EB37" s="53">
        <v>0</v>
      </c>
      <c r="EC37" s="53">
        <v>0</v>
      </c>
      <c r="EE37" s="53">
        <v>0</v>
      </c>
      <c r="EF37" s="53">
        <v>0</v>
      </c>
      <c r="EG37" s="53">
        <v>0</v>
      </c>
      <c r="EH37" s="53">
        <v>0</v>
      </c>
      <c r="EJ37" s="53">
        <v>0</v>
      </c>
      <c r="EK37" s="53">
        <v>0</v>
      </c>
      <c r="EL37" s="53">
        <v>0</v>
      </c>
      <c r="EM37" s="53">
        <v>0</v>
      </c>
      <c r="EO37" s="53">
        <v>0</v>
      </c>
      <c r="EP37" s="53">
        <v>0</v>
      </c>
      <c r="EQ37" s="53">
        <v>0</v>
      </c>
      <c r="ER37" s="53">
        <v>0</v>
      </c>
      <c r="ET37" s="53">
        <v>0</v>
      </c>
      <c r="EU37" s="53">
        <v>0</v>
      </c>
      <c r="EV37" s="53">
        <v>0</v>
      </c>
      <c r="EW37" s="53">
        <v>0</v>
      </c>
      <c r="EY37" s="53">
        <v>0</v>
      </c>
      <c r="EZ37" s="53">
        <v>0</v>
      </c>
      <c r="FA37" s="53">
        <v>0</v>
      </c>
      <c r="FB37" s="53">
        <v>0</v>
      </c>
    </row>
    <row r="38" spans="1:158" x14ac:dyDescent="0.25">
      <c r="B38" t="str">
        <v>JV1</v>
      </c>
      <c r="C38" t="str">
        <v>Center</v>
      </c>
      <c r="D38" t="str">
        <v>New Jersey</v>
      </c>
      <c r="E38" s="53">
        <v>0</v>
      </c>
      <c r="F38" s="53">
        <v>0</v>
      </c>
      <c r="G38" s="53">
        <v>0</v>
      </c>
      <c r="H38" s="53">
        <v>0</v>
      </c>
      <c r="J38" s="53">
        <v>0</v>
      </c>
      <c r="K38" s="53">
        <v>0</v>
      </c>
      <c r="L38" s="53">
        <v>0</v>
      </c>
      <c r="M38" s="53">
        <v>0</v>
      </c>
      <c r="O38" s="53">
        <v>0</v>
      </c>
      <c r="P38" s="53">
        <v>0</v>
      </c>
      <c r="Q38" s="53">
        <v>0</v>
      </c>
      <c r="R38" s="53">
        <v>0</v>
      </c>
      <c r="T38" s="53">
        <v>0</v>
      </c>
      <c r="U38" s="53">
        <v>0</v>
      </c>
      <c r="V38" s="53">
        <v>0</v>
      </c>
      <c r="W38" s="53">
        <v>0</v>
      </c>
      <c r="Y38" s="53">
        <v>0</v>
      </c>
      <c r="Z38" s="53">
        <v>0</v>
      </c>
      <c r="AA38" s="53">
        <v>0</v>
      </c>
      <c r="AB38" s="53">
        <v>0</v>
      </c>
      <c r="AD38" s="53">
        <v>0</v>
      </c>
      <c r="AE38" s="53">
        <v>0</v>
      </c>
      <c r="AF38" s="53">
        <v>0</v>
      </c>
      <c r="AG38" s="53">
        <v>0</v>
      </c>
      <c r="AI38" s="53">
        <v>0</v>
      </c>
      <c r="AJ38" s="53">
        <v>0</v>
      </c>
      <c r="AK38" s="53">
        <v>0</v>
      </c>
      <c r="AL38" s="53">
        <v>0</v>
      </c>
      <c r="AN38" s="53">
        <v>0</v>
      </c>
      <c r="AO38" s="53">
        <v>0</v>
      </c>
      <c r="AP38" s="53">
        <v>0</v>
      </c>
      <c r="AQ38" s="53">
        <v>0</v>
      </c>
      <c r="AS38" s="53">
        <v>0</v>
      </c>
      <c r="AT38" s="53">
        <v>0</v>
      </c>
      <c r="AU38" s="53">
        <v>0</v>
      </c>
      <c r="AV38" s="53">
        <v>0</v>
      </c>
      <c r="AX38" s="53">
        <v>0</v>
      </c>
      <c r="AY38" s="53">
        <v>0</v>
      </c>
      <c r="AZ38" s="53">
        <v>0</v>
      </c>
      <c r="BA38" s="53">
        <v>0</v>
      </c>
      <c r="BC38" s="53">
        <v>0</v>
      </c>
      <c r="BD38" s="53">
        <v>0</v>
      </c>
      <c r="BE38" s="53">
        <v>0</v>
      </c>
      <c r="BF38" s="53">
        <v>0</v>
      </c>
      <c r="BH38" s="53">
        <v>0</v>
      </c>
      <c r="BI38" s="53">
        <v>0</v>
      </c>
      <c r="BJ38" s="53">
        <v>0</v>
      </c>
      <c r="BK38" s="53">
        <v>0</v>
      </c>
      <c r="BM38" s="53">
        <v>0</v>
      </c>
      <c r="BN38" s="53">
        <v>0</v>
      </c>
      <c r="BO38" s="53">
        <v>0</v>
      </c>
      <c r="BP38" s="53">
        <v>0</v>
      </c>
      <c r="BR38" s="53">
        <v>0</v>
      </c>
      <c r="BS38" s="53">
        <v>0</v>
      </c>
      <c r="BT38" s="53">
        <v>0</v>
      </c>
      <c r="BV38" s="53">
        <v>0</v>
      </c>
      <c r="BW38" s="53">
        <v>0</v>
      </c>
      <c r="BX38" s="53">
        <v>0</v>
      </c>
      <c r="BY38" s="53">
        <v>0</v>
      </c>
      <c r="CA38" s="53">
        <v>0</v>
      </c>
      <c r="CB38" s="53">
        <v>0</v>
      </c>
      <c r="CC38" s="53">
        <v>0</v>
      </c>
      <c r="CE38" s="53">
        <v>0</v>
      </c>
      <c r="CF38" s="53">
        <v>0</v>
      </c>
      <c r="CG38" s="53">
        <v>0</v>
      </c>
      <c r="CI38" s="53">
        <v>0</v>
      </c>
      <c r="CJ38" s="53">
        <v>0</v>
      </c>
      <c r="CK38" s="53">
        <v>0</v>
      </c>
      <c r="CM38" s="53">
        <v>0</v>
      </c>
      <c r="CN38" s="53">
        <v>0</v>
      </c>
      <c r="CO38" s="53">
        <v>0</v>
      </c>
      <c r="CQ38" s="53">
        <v>0</v>
      </c>
      <c r="CR38" s="53">
        <v>0</v>
      </c>
      <c r="CS38" s="53">
        <v>0</v>
      </c>
      <c r="CU38" s="53">
        <v>0</v>
      </c>
      <c r="CV38" s="53">
        <v>0</v>
      </c>
      <c r="CW38" s="53">
        <v>0</v>
      </c>
      <c r="CY38" s="53">
        <v>0</v>
      </c>
      <c r="CZ38" s="53">
        <v>0</v>
      </c>
      <c r="DA38" s="53">
        <v>0</v>
      </c>
      <c r="DC38" s="53">
        <v>0</v>
      </c>
      <c r="DD38" s="53">
        <v>0</v>
      </c>
      <c r="DE38" s="53">
        <v>0</v>
      </c>
      <c r="DG38" s="53">
        <v>0</v>
      </c>
      <c r="DH38" s="53">
        <v>0</v>
      </c>
      <c r="DI38" s="53">
        <v>0</v>
      </c>
      <c r="DJ38" s="53">
        <v>0</v>
      </c>
      <c r="DL38" s="53">
        <v>0</v>
      </c>
      <c r="DM38" s="53">
        <v>0</v>
      </c>
      <c r="DN38" s="53">
        <v>0</v>
      </c>
      <c r="DP38" s="53">
        <v>0</v>
      </c>
      <c r="DQ38" s="53">
        <v>0</v>
      </c>
      <c r="DR38" s="53">
        <v>0</v>
      </c>
      <c r="DS38" s="53" t="e">
        <v>#N/A</v>
      </c>
      <c r="DU38" s="53">
        <v>0</v>
      </c>
      <c r="DV38" s="53">
        <v>0</v>
      </c>
      <c r="DW38" s="53">
        <v>0</v>
      </c>
      <c r="DX38" s="53">
        <v>0</v>
      </c>
      <c r="DZ38" s="53">
        <v>0</v>
      </c>
      <c r="EA38" s="53">
        <v>0</v>
      </c>
      <c r="EB38" s="53">
        <v>0</v>
      </c>
      <c r="EC38" s="53">
        <v>0</v>
      </c>
      <c r="EE38" s="53">
        <v>0</v>
      </c>
      <c r="EF38" s="53">
        <v>0</v>
      </c>
      <c r="EG38" s="53">
        <v>0</v>
      </c>
      <c r="EH38" s="53">
        <v>0</v>
      </c>
      <c r="EJ38" s="53">
        <v>0</v>
      </c>
      <c r="EK38" s="53">
        <v>0</v>
      </c>
      <c r="EL38" s="53">
        <v>0</v>
      </c>
      <c r="EM38" s="53">
        <v>0</v>
      </c>
      <c r="EO38" s="53">
        <v>0</v>
      </c>
      <c r="EP38" s="53">
        <v>0</v>
      </c>
      <c r="EQ38" s="53">
        <v>0</v>
      </c>
      <c r="ER38" s="53">
        <v>0</v>
      </c>
      <c r="ET38" s="53">
        <v>0</v>
      </c>
      <c r="EU38" s="53">
        <v>0</v>
      </c>
      <c r="EV38" s="53">
        <v>0</v>
      </c>
      <c r="EW38" s="53">
        <v>0</v>
      </c>
      <c r="EY38" s="53">
        <v>0</v>
      </c>
      <c r="EZ38" s="53">
        <v>0</v>
      </c>
      <c r="FA38" s="53">
        <v>0</v>
      </c>
      <c r="FB38" s="53">
        <v>0</v>
      </c>
    </row>
    <row r="39" spans="1:158" x14ac:dyDescent="0.25">
      <c r="B39" t="str">
        <v>JV1</v>
      </c>
      <c r="C39" t="str">
        <v>Remote</v>
      </c>
      <c r="D39" t="str">
        <v>New Jersey</v>
      </c>
      <c r="E39" s="53">
        <v>0</v>
      </c>
      <c r="F39" s="53">
        <v>0</v>
      </c>
      <c r="G39" s="53">
        <v>0</v>
      </c>
      <c r="H39" s="53">
        <v>0</v>
      </c>
      <c r="J39" s="53">
        <v>0</v>
      </c>
      <c r="K39" s="53">
        <v>0</v>
      </c>
      <c r="L39" s="53">
        <v>0</v>
      </c>
      <c r="M39" s="53">
        <v>0</v>
      </c>
      <c r="O39" s="53">
        <v>0</v>
      </c>
      <c r="P39" s="53">
        <v>0</v>
      </c>
      <c r="Q39" s="53">
        <v>0</v>
      </c>
      <c r="R39" s="53">
        <v>0</v>
      </c>
      <c r="T39" s="53">
        <v>0</v>
      </c>
      <c r="U39" s="53">
        <v>0</v>
      </c>
      <c r="V39" s="53">
        <v>0</v>
      </c>
      <c r="W39" s="53">
        <v>0</v>
      </c>
      <c r="Y39" s="53">
        <v>0</v>
      </c>
      <c r="Z39" s="53">
        <v>0</v>
      </c>
      <c r="AA39" s="53">
        <v>0</v>
      </c>
      <c r="AB39" s="53">
        <v>0</v>
      </c>
      <c r="AD39" s="53">
        <v>0</v>
      </c>
      <c r="AE39" s="53">
        <v>0</v>
      </c>
      <c r="AF39" s="53">
        <v>0</v>
      </c>
      <c r="AG39" s="53">
        <v>0</v>
      </c>
      <c r="AI39" s="53">
        <v>0</v>
      </c>
      <c r="AJ39" s="53">
        <v>0</v>
      </c>
      <c r="AK39" s="53">
        <v>0</v>
      </c>
      <c r="AL39" s="53">
        <v>0</v>
      </c>
      <c r="AN39" s="53">
        <v>0</v>
      </c>
      <c r="AO39" s="53">
        <v>0</v>
      </c>
      <c r="AP39" s="53">
        <v>0</v>
      </c>
      <c r="AQ39" s="53">
        <v>0</v>
      </c>
      <c r="AS39" s="53">
        <v>0</v>
      </c>
      <c r="AT39" s="53">
        <v>0</v>
      </c>
      <c r="AU39" s="53">
        <v>0</v>
      </c>
      <c r="AV39" s="53">
        <v>0</v>
      </c>
      <c r="AX39" s="53">
        <v>0</v>
      </c>
      <c r="AY39" s="53">
        <v>0</v>
      </c>
      <c r="AZ39" s="53">
        <v>0</v>
      </c>
      <c r="BA39" s="53">
        <v>0</v>
      </c>
      <c r="BC39" s="53">
        <v>0</v>
      </c>
      <c r="BD39" s="53">
        <v>0</v>
      </c>
      <c r="BE39" s="53">
        <v>0</v>
      </c>
      <c r="BF39" s="53">
        <v>0</v>
      </c>
      <c r="BH39" s="53">
        <v>0</v>
      </c>
      <c r="BI39" s="53">
        <v>0</v>
      </c>
      <c r="BJ39" s="53">
        <v>0</v>
      </c>
      <c r="BK39" s="53">
        <v>0</v>
      </c>
      <c r="BM39" s="53">
        <v>0</v>
      </c>
      <c r="BN39" s="53">
        <v>0</v>
      </c>
      <c r="BO39" s="53">
        <v>0</v>
      </c>
      <c r="BP39" s="53">
        <v>0</v>
      </c>
      <c r="BR39" s="53">
        <v>0</v>
      </c>
      <c r="BS39" s="53">
        <v>0</v>
      </c>
      <c r="BT39" s="53">
        <v>0</v>
      </c>
      <c r="BV39" s="53">
        <v>0</v>
      </c>
      <c r="BW39" s="53">
        <v>0</v>
      </c>
      <c r="BX39" s="53">
        <v>0</v>
      </c>
      <c r="BY39" s="53">
        <v>0</v>
      </c>
      <c r="CA39" s="53">
        <v>0</v>
      </c>
      <c r="CB39" s="53">
        <v>0</v>
      </c>
      <c r="CC39" s="53">
        <v>0</v>
      </c>
      <c r="CE39" s="53">
        <v>0</v>
      </c>
      <c r="CF39" s="53">
        <v>0</v>
      </c>
      <c r="CG39" s="53">
        <v>0</v>
      </c>
      <c r="CI39" s="53">
        <v>0</v>
      </c>
      <c r="CJ39" s="53">
        <v>0</v>
      </c>
      <c r="CK39" s="53">
        <v>0</v>
      </c>
      <c r="CM39" s="53">
        <v>0</v>
      </c>
      <c r="CN39" s="53">
        <v>0</v>
      </c>
      <c r="CO39" s="53">
        <v>0</v>
      </c>
      <c r="CQ39" s="53">
        <v>0</v>
      </c>
      <c r="CR39" s="53">
        <v>0</v>
      </c>
      <c r="CS39" s="53">
        <v>0</v>
      </c>
      <c r="CU39" s="53">
        <v>0</v>
      </c>
      <c r="CV39" s="53">
        <v>0</v>
      </c>
      <c r="CW39" s="53">
        <v>0</v>
      </c>
      <c r="CY39" s="53">
        <v>0</v>
      </c>
      <c r="CZ39" s="53">
        <v>0</v>
      </c>
      <c r="DA39" s="53">
        <v>0</v>
      </c>
      <c r="DC39" s="53">
        <v>0</v>
      </c>
      <c r="DD39" s="53">
        <v>0</v>
      </c>
      <c r="DE39" s="53">
        <v>0</v>
      </c>
      <c r="DG39" s="53">
        <v>0</v>
      </c>
      <c r="DH39" s="53">
        <v>0</v>
      </c>
      <c r="DI39" s="53">
        <v>0</v>
      </c>
      <c r="DJ39" s="53">
        <v>0</v>
      </c>
      <c r="DL39" s="53">
        <v>0</v>
      </c>
      <c r="DM39" s="53">
        <v>0</v>
      </c>
      <c r="DN39" s="53">
        <v>0</v>
      </c>
      <c r="DP39" s="53">
        <v>0</v>
      </c>
      <c r="DQ39" s="53">
        <v>0</v>
      </c>
      <c r="DR39" s="53">
        <v>0</v>
      </c>
      <c r="DS39" s="53" t="e">
        <v>#N/A</v>
      </c>
      <c r="DU39" s="53">
        <v>0</v>
      </c>
      <c r="DV39" s="53">
        <v>0</v>
      </c>
      <c r="DW39" s="53">
        <v>0</v>
      </c>
      <c r="DX39" s="53">
        <v>0</v>
      </c>
      <c r="DZ39" s="53">
        <v>0</v>
      </c>
      <c r="EA39" s="53">
        <v>0</v>
      </c>
      <c r="EB39" s="53">
        <v>0</v>
      </c>
      <c r="EC39" s="53">
        <v>0</v>
      </c>
      <c r="EE39" s="53">
        <v>0</v>
      </c>
      <c r="EF39" s="53">
        <v>0</v>
      </c>
      <c r="EG39" s="53">
        <v>0</v>
      </c>
      <c r="EH39" s="53">
        <v>0</v>
      </c>
      <c r="EJ39" s="53">
        <v>0</v>
      </c>
      <c r="EK39" s="53">
        <v>0</v>
      </c>
      <c r="EL39" s="53">
        <v>0</v>
      </c>
      <c r="EM39" s="53">
        <v>0</v>
      </c>
      <c r="EO39" s="53">
        <v>0</v>
      </c>
      <c r="EP39" s="53">
        <v>0</v>
      </c>
      <c r="EQ39" s="53">
        <v>0</v>
      </c>
      <c r="ER39" s="53">
        <v>0</v>
      </c>
      <c r="ET39" s="53">
        <v>0</v>
      </c>
      <c r="EU39" s="53">
        <v>0</v>
      </c>
      <c r="EV39" s="53">
        <v>0</v>
      </c>
      <c r="EW39" s="53">
        <v>0</v>
      </c>
      <c r="EY39" s="53">
        <v>0</v>
      </c>
      <c r="EZ39" s="53">
        <v>0</v>
      </c>
      <c r="FA39" s="53">
        <v>0</v>
      </c>
      <c r="FB39" s="53">
        <v>0</v>
      </c>
    </row>
    <row r="40" spans="1:158" x14ac:dyDescent="0.25">
      <c r="B40" t="str">
        <v>JV1</v>
      </c>
      <c r="C40" t="str">
        <v>Center</v>
      </c>
      <c r="D40" t="str">
        <v>New Jersey</v>
      </c>
      <c r="E40" s="53">
        <v>0</v>
      </c>
      <c r="F40" s="53">
        <v>0</v>
      </c>
      <c r="G40" s="53">
        <v>0</v>
      </c>
      <c r="H40" s="53">
        <v>0</v>
      </c>
      <c r="J40" s="53">
        <v>0</v>
      </c>
      <c r="K40" s="53">
        <v>0</v>
      </c>
      <c r="L40" s="53">
        <v>0</v>
      </c>
      <c r="M40" s="53">
        <v>0</v>
      </c>
      <c r="O40" s="53">
        <v>0</v>
      </c>
      <c r="P40" s="53">
        <v>0</v>
      </c>
      <c r="Q40" s="53">
        <v>0</v>
      </c>
      <c r="R40" s="53">
        <v>0</v>
      </c>
      <c r="T40" s="53">
        <v>0</v>
      </c>
      <c r="U40" s="53">
        <v>0</v>
      </c>
      <c r="V40" s="53">
        <v>0</v>
      </c>
      <c r="W40" s="53">
        <v>0</v>
      </c>
      <c r="Y40" s="53">
        <v>0</v>
      </c>
      <c r="Z40" s="53">
        <v>0</v>
      </c>
      <c r="AA40" s="53">
        <v>0</v>
      </c>
      <c r="AB40" s="53">
        <v>0</v>
      </c>
      <c r="AD40" s="53">
        <v>0</v>
      </c>
      <c r="AE40" s="53">
        <v>0</v>
      </c>
      <c r="AF40" s="53">
        <v>0</v>
      </c>
      <c r="AG40" s="53">
        <v>0</v>
      </c>
      <c r="AI40" s="53">
        <v>0</v>
      </c>
      <c r="AJ40" s="53">
        <v>0</v>
      </c>
      <c r="AK40" s="53">
        <v>0</v>
      </c>
      <c r="AL40" s="53">
        <v>0</v>
      </c>
      <c r="AN40" s="53">
        <v>0</v>
      </c>
      <c r="AO40" s="53">
        <v>0</v>
      </c>
      <c r="AP40" s="53">
        <v>0</v>
      </c>
      <c r="AQ40" s="53">
        <v>0</v>
      </c>
      <c r="AS40" s="53">
        <v>0</v>
      </c>
      <c r="AT40" s="53">
        <v>0</v>
      </c>
      <c r="AU40" s="53">
        <v>0</v>
      </c>
      <c r="AV40" s="53">
        <v>0</v>
      </c>
      <c r="AX40" s="53">
        <v>0</v>
      </c>
      <c r="AY40" s="53">
        <v>0</v>
      </c>
      <c r="AZ40" s="53">
        <v>0</v>
      </c>
      <c r="BA40" s="53">
        <v>0</v>
      </c>
      <c r="BC40" s="53">
        <v>0</v>
      </c>
      <c r="BD40" s="53">
        <v>0</v>
      </c>
      <c r="BE40" s="53">
        <v>0</v>
      </c>
      <c r="BF40" s="53">
        <v>0</v>
      </c>
      <c r="BH40" s="53">
        <v>0</v>
      </c>
      <c r="BI40" s="53">
        <v>0</v>
      </c>
      <c r="BJ40" s="53">
        <v>0</v>
      </c>
      <c r="BK40" s="53">
        <v>0</v>
      </c>
      <c r="BM40" s="53">
        <v>0</v>
      </c>
      <c r="BN40" s="53">
        <v>0</v>
      </c>
      <c r="BO40" s="53">
        <v>0</v>
      </c>
      <c r="BP40" s="53">
        <v>0</v>
      </c>
      <c r="BR40" s="53">
        <v>0</v>
      </c>
      <c r="BS40" s="53">
        <v>0</v>
      </c>
      <c r="BT40" s="53">
        <v>0</v>
      </c>
      <c r="BV40" s="53">
        <v>0</v>
      </c>
      <c r="BW40" s="53">
        <v>0</v>
      </c>
      <c r="BX40" s="53">
        <v>0</v>
      </c>
      <c r="BY40" s="53">
        <v>0</v>
      </c>
      <c r="CA40" s="53">
        <v>0</v>
      </c>
      <c r="CB40" s="53">
        <v>0</v>
      </c>
      <c r="CC40" s="53">
        <v>0</v>
      </c>
      <c r="CE40" s="53">
        <v>0</v>
      </c>
      <c r="CF40" s="53">
        <v>0</v>
      </c>
      <c r="CG40" s="53">
        <v>0</v>
      </c>
      <c r="CI40" s="53">
        <v>0</v>
      </c>
      <c r="CJ40" s="53">
        <v>0</v>
      </c>
      <c r="CK40" s="53">
        <v>0</v>
      </c>
      <c r="CM40" s="53">
        <v>0</v>
      </c>
      <c r="CN40" s="53">
        <v>0</v>
      </c>
      <c r="CO40" s="53">
        <v>0</v>
      </c>
      <c r="CQ40" s="53">
        <v>0</v>
      </c>
      <c r="CR40" s="53">
        <v>0</v>
      </c>
      <c r="CS40" s="53">
        <v>0</v>
      </c>
      <c r="CU40" s="53">
        <v>0</v>
      </c>
      <c r="CV40" s="53">
        <v>0</v>
      </c>
      <c r="CW40" s="53">
        <v>0</v>
      </c>
      <c r="CY40" s="53">
        <v>0</v>
      </c>
      <c r="CZ40" s="53">
        <v>0</v>
      </c>
      <c r="DA40" s="53">
        <v>0</v>
      </c>
      <c r="DC40" s="53">
        <v>0</v>
      </c>
      <c r="DD40" s="53">
        <v>0</v>
      </c>
      <c r="DE40" s="53">
        <v>0</v>
      </c>
      <c r="DG40" s="53">
        <v>0</v>
      </c>
      <c r="DH40" s="53">
        <v>0</v>
      </c>
      <c r="DI40" s="53">
        <v>0</v>
      </c>
      <c r="DJ40" s="53">
        <v>0</v>
      </c>
      <c r="DL40" s="53">
        <v>0</v>
      </c>
      <c r="DM40" s="53">
        <v>0</v>
      </c>
      <c r="DN40" s="53">
        <v>0</v>
      </c>
      <c r="DP40" s="53">
        <v>0</v>
      </c>
      <c r="DQ40" s="53">
        <v>0</v>
      </c>
      <c r="DR40" s="53">
        <v>0</v>
      </c>
      <c r="DS40" s="53" t="e">
        <v>#N/A</v>
      </c>
      <c r="DU40" s="53">
        <v>0</v>
      </c>
      <c r="DV40" s="53">
        <v>0</v>
      </c>
      <c r="DW40" s="53">
        <v>0</v>
      </c>
      <c r="DX40" s="53">
        <v>0</v>
      </c>
      <c r="DZ40" s="53">
        <v>0</v>
      </c>
      <c r="EA40" s="53">
        <v>0</v>
      </c>
      <c r="EB40" s="53">
        <v>0</v>
      </c>
      <c r="EC40" s="53">
        <v>0</v>
      </c>
      <c r="EE40" s="53">
        <v>0</v>
      </c>
      <c r="EF40" s="53">
        <v>0</v>
      </c>
      <c r="EG40" s="53">
        <v>0</v>
      </c>
      <c r="EH40" s="53">
        <v>0</v>
      </c>
      <c r="EJ40" s="53">
        <v>0</v>
      </c>
      <c r="EK40" s="53">
        <v>0</v>
      </c>
      <c r="EL40" s="53">
        <v>0</v>
      </c>
      <c r="EM40" s="53">
        <v>0</v>
      </c>
      <c r="EO40" s="53">
        <v>0</v>
      </c>
      <c r="EP40" s="53">
        <v>0</v>
      </c>
      <c r="EQ40" s="53">
        <v>0</v>
      </c>
      <c r="ER40" s="53">
        <v>0</v>
      </c>
      <c r="ET40" s="53">
        <v>0</v>
      </c>
      <c r="EU40" s="53">
        <v>0</v>
      </c>
      <c r="EV40" s="53">
        <v>0</v>
      </c>
      <c r="EW40" s="53">
        <v>0</v>
      </c>
      <c r="EY40" s="53">
        <v>0</v>
      </c>
      <c r="EZ40" s="53">
        <v>0</v>
      </c>
      <c r="FA40" s="53">
        <v>0</v>
      </c>
      <c r="FB40" s="53">
        <v>0</v>
      </c>
    </row>
    <row r="41" spans="1:158" x14ac:dyDescent="0.25">
      <c r="B41" t="str">
        <v>JV1</v>
      </c>
      <c r="C41" t="str">
        <v>Remote</v>
      </c>
      <c r="D41" t="str">
        <v>New Jersey</v>
      </c>
      <c r="E41" s="53">
        <v>0</v>
      </c>
      <c r="F41" s="53">
        <v>0</v>
      </c>
      <c r="G41" s="53">
        <v>0</v>
      </c>
      <c r="H41" s="53">
        <v>0</v>
      </c>
      <c r="J41" s="53">
        <v>0</v>
      </c>
      <c r="K41" s="53">
        <v>0</v>
      </c>
      <c r="L41" s="53">
        <v>0</v>
      </c>
      <c r="M41" s="53">
        <v>0</v>
      </c>
      <c r="O41" s="53">
        <v>0</v>
      </c>
      <c r="P41" s="53">
        <v>0</v>
      </c>
      <c r="Q41" s="53">
        <v>0</v>
      </c>
      <c r="R41" s="53">
        <v>0</v>
      </c>
      <c r="T41" s="53">
        <v>0</v>
      </c>
      <c r="U41" s="53">
        <v>0</v>
      </c>
      <c r="V41" s="53">
        <v>0</v>
      </c>
      <c r="W41" s="53">
        <v>0</v>
      </c>
      <c r="Y41" s="53">
        <v>0</v>
      </c>
      <c r="Z41" s="53">
        <v>0</v>
      </c>
      <c r="AA41" s="53">
        <v>0</v>
      </c>
      <c r="AB41" s="53">
        <v>0</v>
      </c>
      <c r="AD41" s="53">
        <v>0</v>
      </c>
      <c r="AE41" s="53">
        <v>0</v>
      </c>
      <c r="AF41" s="53">
        <v>0</v>
      </c>
      <c r="AG41" s="53">
        <v>0</v>
      </c>
      <c r="AI41" s="53">
        <v>0</v>
      </c>
      <c r="AJ41" s="53">
        <v>0</v>
      </c>
      <c r="AK41" s="53">
        <v>0</v>
      </c>
      <c r="AL41" s="53">
        <v>0</v>
      </c>
      <c r="AN41" s="53">
        <v>0</v>
      </c>
      <c r="AO41" s="53">
        <v>0</v>
      </c>
      <c r="AP41" s="53">
        <v>0</v>
      </c>
      <c r="AQ41" s="53">
        <v>0</v>
      </c>
      <c r="AS41" s="53">
        <v>0</v>
      </c>
      <c r="AT41" s="53">
        <v>0</v>
      </c>
      <c r="AU41" s="53">
        <v>0</v>
      </c>
      <c r="AV41" s="53">
        <v>0</v>
      </c>
      <c r="AX41" s="53">
        <v>0</v>
      </c>
      <c r="AY41" s="53">
        <v>0</v>
      </c>
      <c r="AZ41" s="53">
        <v>0</v>
      </c>
      <c r="BA41" s="53">
        <v>0</v>
      </c>
      <c r="BC41" s="53">
        <v>0</v>
      </c>
      <c r="BD41" s="53">
        <v>0</v>
      </c>
      <c r="BE41" s="53">
        <v>0</v>
      </c>
      <c r="BF41" s="53">
        <v>0</v>
      </c>
      <c r="BH41" s="53">
        <v>0</v>
      </c>
      <c r="BI41" s="53">
        <v>0</v>
      </c>
      <c r="BJ41" s="53">
        <v>0</v>
      </c>
      <c r="BK41" s="53">
        <v>0</v>
      </c>
      <c r="BM41" s="53">
        <v>0</v>
      </c>
      <c r="BN41" s="53">
        <v>0</v>
      </c>
      <c r="BO41" s="53">
        <v>0</v>
      </c>
      <c r="BP41" s="53">
        <v>0</v>
      </c>
      <c r="BR41" s="53">
        <v>0</v>
      </c>
      <c r="BS41" s="53">
        <v>0</v>
      </c>
      <c r="BT41" s="53">
        <v>0</v>
      </c>
      <c r="BV41" s="53">
        <v>0</v>
      </c>
      <c r="BW41" s="53">
        <v>0</v>
      </c>
      <c r="BX41" s="53">
        <v>0</v>
      </c>
      <c r="BY41" s="53">
        <v>0</v>
      </c>
      <c r="CA41" s="53">
        <v>0</v>
      </c>
      <c r="CB41" s="53">
        <v>0</v>
      </c>
      <c r="CC41" s="53">
        <v>0</v>
      </c>
      <c r="CE41" s="53">
        <v>0</v>
      </c>
      <c r="CF41" s="53">
        <v>0</v>
      </c>
      <c r="CG41" s="53">
        <v>0</v>
      </c>
      <c r="CI41" s="53">
        <v>0</v>
      </c>
      <c r="CJ41" s="53">
        <v>0</v>
      </c>
      <c r="CK41" s="53">
        <v>0</v>
      </c>
      <c r="CM41" s="53">
        <v>0</v>
      </c>
      <c r="CN41" s="53">
        <v>0</v>
      </c>
      <c r="CO41" s="53">
        <v>0</v>
      </c>
      <c r="CQ41" s="53">
        <v>0</v>
      </c>
      <c r="CR41" s="53">
        <v>0</v>
      </c>
      <c r="CS41" s="53">
        <v>0</v>
      </c>
      <c r="CU41" s="53">
        <v>0</v>
      </c>
      <c r="CV41" s="53">
        <v>0</v>
      </c>
      <c r="CW41" s="53">
        <v>0</v>
      </c>
      <c r="CY41" s="53">
        <v>0</v>
      </c>
      <c r="CZ41" s="53">
        <v>0</v>
      </c>
      <c r="DA41" s="53">
        <v>0</v>
      </c>
      <c r="DC41" s="53">
        <v>0</v>
      </c>
      <c r="DD41" s="53">
        <v>0</v>
      </c>
      <c r="DE41" s="53">
        <v>0</v>
      </c>
      <c r="DG41" s="53">
        <v>0</v>
      </c>
      <c r="DH41" s="53">
        <v>0</v>
      </c>
      <c r="DI41" s="53">
        <v>0</v>
      </c>
      <c r="DJ41" s="53">
        <v>0</v>
      </c>
      <c r="DL41" s="53">
        <v>0</v>
      </c>
      <c r="DM41" s="53">
        <v>0</v>
      </c>
      <c r="DN41" s="53">
        <v>0</v>
      </c>
      <c r="DP41" s="53">
        <v>0</v>
      </c>
      <c r="DQ41" s="53">
        <v>0</v>
      </c>
      <c r="DR41" s="53">
        <v>0</v>
      </c>
      <c r="DS41" s="53" t="e">
        <v>#N/A</v>
      </c>
      <c r="DU41" s="53">
        <v>0</v>
      </c>
      <c r="DV41" s="53">
        <v>0</v>
      </c>
      <c r="DW41" s="53">
        <v>0</v>
      </c>
      <c r="DX41" s="53">
        <v>0</v>
      </c>
      <c r="DZ41" s="53">
        <v>0</v>
      </c>
      <c r="EA41" s="53">
        <v>0</v>
      </c>
      <c r="EB41" s="53">
        <v>0</v>
      </c>
      <c r="EC41" s="53">
        <v>0</v>
      </c>
      <c r="EE41" s="53">
        <v>0</v>
      </c>
      <c r="EF41" s="53">
        <v>0</v>
      </c>
      <c r="EG41" s="53">
        <v>0</v>
      </c>
      <c r="EH41" s="53">
        <v>0</v>
      </c>
      <c r="EJ41" s="53">
        <v>0</v>
      </c>
      <c r="EK41" s="53">
        <v>0</v>
      </c>
      <c r="EL41" s="53">
        <v>0</v>
      </c>
      <c r="EM41" s="53">
        <v>0</v>
      </c>
      <c r="EO41" s="53">
        <v>0</v>
      </c>
      <c r="EP41" s="53">
        <v>0</v>
      </c>
      <c r="EQ41" s="53">
        <v>0</v>
      </c>
      <c r="ER41" s="53">
        <v>0</v>
      </c>
      <c r="ET41" s="53">
        <v>0</v>
      </c>
      <c r="EU41" s="53">
        <v>0</v>
      </c>
      <c r="EV41" s="53">
        <v>0</v>
      </c>
      <c r="EW41" s="53">
        <v>0</v>
      </c>
      <c r="EY41" s="53">
        <v>0</v>
      </c>
      <c r="EZ41" s="53">
        <v>0</v>
      </c>
      <c r="FA41" s="53">
        <v>0</v>
      </c>
      <c r="FB41" s="53">
        <v>0</v>
      </c>
    </row>
    <row r="42" spans="1:158" x14ac:dyDescent="0.25">
      <c r="B42" t="str">
        <v>JV1</v>
      </c>
      <c r="C42" t="str">
        <v>Center</v>
      </c>
      <c r="D42" t="str">
        <v>New Jersey</v>
      </c>
      <c r="E42" s="53">
        <v>0</v>
      </c>
      <c r="F42" s="53">
        <v>0</v>
      </c>
      <c r="G42" s="53">
        <v>0</v>
      </c>
      <c r="H42" s="53">
        <v>0</v>
      </c>
      <c r="J42" s="53">
        <v>0</v>
      </c>
      <c r="K42" s="53">
        <v>0</v>
      </c>
      <c r="L42" s="53">
        <v>0</v>
      </c>
      <c r="M42" s="53">
        <v>0</v>
      </c>
      <c r="O42" s="53">
        <v>0</v>
      </c>
      <c r="P42" s="53">
        <v>0</v>
      </c>
      <c r="Q42" s="53">
        <v>0</v>
      </c>
      <c r="R42" s="53">
        <v>0</v>
      </c>
      <c r="T42" s="53">
        <v>0</v>
      </c>
      <c r="U42" s="53">
        <v>0</v>
      </c>
      <c r="V42" s="53">
        <v>0</v>
      </c>
      <c r="W42" s="53">
        <v>0</v>
      </c>
      <c r="Y42" s="53">
        <v>0</v>
      </c>
      <c r="Z42" s="53">
        <v>0</v>
      </c>
      <c r="AA42" s="53">
        <v>0</v>
      </c>
      <c r="AB42" s="53">
        <v>0</v>
      </c>
      <c r="AD42" s="53">
        <v>0</v>
      </c>
      <c r="AE42" s="53">
        <v>0</v>
      </c>
      <c r="AF42" s="53">
        <v>0</v>
      </c>
      <c r="AG42" s="53">
        <v>0</v>
      </c>
      <c r="AI42" s="53">
        <v>0</v>
      </c>
      <c r="AJ42" s="53">
        <v>0</v>
      </c>
      <c r="AK42" s="53">
        <v>0</v>
      </c>
      <c r="AL42" s="53">
        <v>0</v>
      </c>
      <c r="AN42" s="53">
        <v>0</v>
      </c>
      <c r="AO42" s="53">
        <v>0</v>
      </c>
      <c r="AP42" s="53">
        <v>0</v>
      </c>
      <c r="AQ42" s="53">
        <v>0</v>
      </c>
      <c r="AS42" s="53">
        <v>0</v>
      </c>
      <c r="AT42" s="53">
        <v>0</v>
      </c>
      <c r="AU42" s="53">
        <v>0</v>
      </c>
      <c r="AV42" s="53">
        <v>0</v>
      </c>
      <c r="AX42" s="53">
        <v>0</v>
      </c>
      <c r="AY42" s="53">
        <v>0</v>
      </c>
      <c r="AZ42" s="53">
        <v>0</v>
      </c>
      <c r="BA42" s="53">
        <v>0</v>
      </c>
      <c r="BC42" s="53">
        <v>0</v>
      </c>
      <c r="BD42" s="53">
        <v>0</v>
      </c>
      <c r="BE42" s="53">
        <v>0</v>
      </c>
      <c r="BF42" s="53">
        <v>0</v>
      </c>
      <c r="BH42" s="53">
        <v>0</v>
      </c>
      <c r="BI42" s="53">
        <v>0</v>
      </c>
      <c r="BJ42" s="53">
        <v>0</v>
      </c>
      <c r="BK42" s="53">
        <v>0</v>
      </c>
      <c r="BM42" s="53">
        <v>0</v>
      </c>
      <c r="BN42" s="53">
        <v>0</v>
      </c>
      <c r="BO42" s="53">
        <v>0</v>
      </c>
      <c r="BP42" s="53">
        <v>0</v>
      </c>
      <c r="BR42" s="53">
        <v>0</v>
      </c>
      <c r="BS42" s="53">
        <v>0</v>
      </c>
      <c r="BT42" s="53">
        <v>0</v>
      </c>
      <c r="BV42" s="53">
        <v>0</v>
      </c>
      <c r="BW42" s="53">
        <v>0</v>
      </c>
      <c r="BX42" s="53">
        <v>0</v>
      </c>
      <c r="BY42" s="53">
        <v>0</v>
      </c>
      <c r="CA42" s="53">
        <v>0</v>
      </c>
      <c r="CB42" s="53">
        <v>0</v>
      </c>
      <c r="CC42" s="53">
        <v>0</v>
      </c>
      <c r="CE42" s="53">
        <v>0</v>
      </c>
      <c r="CF42" s="53">
        <v>0</v>
      </c>
      <c r="CG42" s="53">
        <v>0</v>
      </c>
      <c r="CI42" s="53">
        <v>0</v>
      </c>
      <c r="CJ42" s="53">
        <v>0</v>
      </c>
      <c r="CK42" s="53">
        <v>0</v>
      </c>
      <c r="CM42" s="53">
        <v>0</v>
      </c>
      <c r="CN42" s="53">
        <v>0</v>
      </c>
      <c r="CO42" s="53">
        <v>0</v>
      </c>
      <c r="CQ42" s="53">
        <v>0</v>
      </c>
      <c r="CR42" s="53">
        <v>0</v>
      </c>
      <c r="CS42" s="53">
        <v>0</v>
      </c>
      <c r="CU42" s="53">
        <v>0</v>
      </c>
      <c r="CV42" s="53">
        <v>0</v>
      </c>
      <c r="CW42" s="53">
        <v>0</v>
      </c>
      <c r="CY42" s="53">
        <v>0</v>
      </c>
      <c r="CZ42" s="53">
        <v>0</v>
      </c>
      <c r="DA42" s="53">
        <v>0</v>
      </c>
      <c r="DC42" s="53">
        <v>0</v>
      </c>
      <c r="DD42" s="53">
        <v>0</v>
      </c>
      <c r="DE42" s="53">
        <v>0</v>
      </c>
      <c r="DG42" s="53">
        <v>0</v>
      </c>
      <c r="DH42" s="53">
        <v>0</v>
      </c>
      <c r="DI42" s="53">
        <v>0</v>
      </c>
      <c r="DJ42" s="53">
        <v>0</v>
      </c>
      <c r="DL42" s="53">
        <v>0</v>
      </c>
      <c r="DM42" s="53">
        <v>0</v>
      </c>
      <c r="DN42" s="53">
        <v>0</v>
      </c>
      <c r="DP42" s="53">
        <v>0</v>
      </c>
      <c r="DQ42" s="53">
        <v>0</v>
      </c>
      <c r="DR42" s="53">
        <v>0</v>
      </c>
      <c r="DS42" s="53" t="e">
        <v>#N/A</v>
      </c>
      <c r="DU42" s="53">
        <v>0</v>
      </c>
      <c r="DV42" s="53">
        <v>0</v>
      </c>
      <c r="DW42" s="53">
        <v>0</v>
      </c>
      <c r="DX42" s="53">
        <v>0</v>
      </c>
      <c r="DZ42" s="53">
        <v>0</v>
      </c>
      <c r="EA42" s="53">
        <v>0</v>
      </c>
      <c r="EB42" s="53">
        <v>0</v>
      </c>
      <c r="EC42" s="53">
        <v>0</v>
      </c>
      <c r="EE42" s="53">
        <v>0</v>
      </c>
      <c r="EF42" s="53">
        <v>0</v>
      </c>
      <c r="EG42" s="53">
        <v>0</v>
      </c>
      <c r="EH42" s="53">
        <v>0</v>
      </c>
      <c r="EJ42" s="53">
        <v>0</v>
      </c>
      <c r="EK42" s="53">
        <v>0</v>
      </c>
      <c r="EL42" s="53">
        <v>0</v>
      </c>
      <c r="EM42" s="53">
        <v>0</v>
      </c>
      <c r="EO42" s="53">
        <v>0</v>
      </c>
      <c r="EP42" s="53">
        <v>0</v>
      </c>
      <c r="EQ42" s="53">
        <v>0</v>
      </c>
      <c r="ER42" s="53">
        <v>0</v>
      </c>
      <c r="ET42" s="53">
        <v>0</v>
      </c>
      <c r="EU42" s="53">
        <v>0</v>
      </c>
      <c r="EV42" s="53">
        <v>0</v>
      </c>
      <c r="EW42" s="53">
        <v>0</v>
      </c>
      <c r="EY42" s="53">
        <v>0</v>
      </c>
      <c r="EZ42" s="53">
        <v>0</v>
      </c>
      <c r="FA42" s="53">
        <v>0</v>
      </c>
      <c r="FB42" s="53">
        <v>0</v>
      </c>
    </row>
    <row r="43" spans="1:158" x14ac:dyDescent="0.25">
      <c r="B43" t="str">
        <v>JV1</v>
      </c>
      <c r="C43" t="str">
        <v>Center</v>
      </c>
      <c r="D43" t="str">
        <v>New Jersey</v>
      </c>
      <c r="E43" s="53">
        <v>0</v>
      </c>
      <c r="F43" s="53">
        <v>0</v>
      </c>
      <c r="G43" s="53">
        <v>0</v>
      </c>
      <c r="H43" s="53">
        <v>0</v>
      </c>
      <c r="J43" s="53">
        <v>0</v>
      </c>
      <c r="K43" s="53">
        <v>0</v>
      </c>
      <c r="L43" s="53">
        <v>0</v>
      </c>
      <c r="M43" s="53">
        <v>0</v>
      </c>
      <c r="O43" s="53">
        <v>0</v>
      </c>
      <c r="P43" s="53">
        <v>0</v>
      </c>
      <c r="Q43" s="53">
        <v>0</v>
      </c>
      <c r="R43" s="53">
        <v>0</v>
      </c>
      <c r="T43" s="53">
        <v>0</v>
      </c>
      <c r="U43" s="53">
        <v>0</v>
      </c>
      <c r="V43" s="53">
        <v>0</v>
      </c>
      <c r="W43" s="53">
        <v>0</v>
      </c>
      <c r="Y43" s="53">
        <v>0</v>
      </c>
      <c r="Z43" s="53">
        <v>0</v>
      </c>
      <c r="AA43" s="53">
        <v>0</v>
      </c>
      <c r="AB43" s="53">
        <v>0</v>
      </c>
      <c r="AD43" s="53">
        <v>0</v>
      </c>
      <c r="AE43" s="53">
        <v>0</v>
      </c>
      <c r="AF43" s="53">
        <v>0</v>
      </c>
      <c r="AG43" s="53">
        <v>0</v>
      </c>
      <c r="AI43" s="53">
        <v>0</v>
      </c>
      <c r="AJ43" s="53">
        <v>0</v>
      </c>
      <c r="AK43" s="53">
        <v>0</v>
      </c>
      <c r="AL43" s="53">
        <v>0</v>
      </c>
      <c r="AN43" s="53">
        <v>0</v>
      </c>
      <c r="AO43" s="53">
        <v>0</v>
      </c>
      <c r="AP43" s="53">
        <v>0</v>
      </c>
      <c r="AQ43" s="53">
        <v>0</v>
      </c>
      <c r="AS43" s="53">
        <v>0</v>
      </c>
      <c r="AT43" s="53">
        <v>0</v>
      </c>
      <c r="AU43" s="53">
        <v>0</v>
      </c>
      <c r="AV43" s="53">
        <v>0</v>
      </c>
      <c r="AX43" s="53">
        <v>0</v>
      </c>
      <c r="AY43" s="53">
        <v>0</v>
      </c>
      <c r="AZ43" s="53">
        <v>0</v>
      </c>
      <c r="BA43" s="53">
        <v>0</v>
      </c>
      <c r="BC43" s="53">
        <v>0</v>
      </c>
      <c r="BD43" s="53">
        <v>0</v>
      </c>
      <c r="BE43" s="53">
        <v>0</v>
      </c>
      <c r="BF43" s="53">
        <v>0</v>
      </c>
      <c r="BH43" s="53">
        <v>0</v>
      </c>
      <c r="BI43" s="53">
        <v>0</v>
      </c>
      <c r="BJ43" s="53">
        <v>0</v>
      </c>
      <c r="BK43" s="53">
        <v>0</v>
      </c>
      <c r="BM43" s="53">
        <v>0</v>
      </c>
      <c r="BN43" s="53">
        <v>0</v>
      </c>
      <c r="BO43" s="53">
        <v>0</v>
      </c>
      <c r="BP43" s="53">
        <v>0</v>
      </c>
      <c r="BR43" s="53">
        <v>0</v>
      </c>
      <c r="BS43" s="53">
        <v>0</v>
      </c>
      <c r="BT43" s="53">
        <v>0</v>
      </c>
      <c r="BV43" s="53">
        <v>0</v>
      </c>
      <c r="BW43" s="53">
        <v>0</v>
      </c>
      <c r="BX43" s="53">
        <v>0</v>
      </c>
      <c r="BY43" s="53">
        <v>0</v>
      </c>
      <c r="CA43" s="53">
        <v>0</v>
      </c>
      <c r="CB43" s="53">
        <v>0</v>
      </c>
      <c r="CC43" s="53">
        <v>0</v>
      </c>
      <c r="CE43" s="53">
        <v>0</v>
      </c>
      <c r="CF43" s="53">
        <v>0</v>
      </c>
      <c r="CG43" s="53">
        <v>0</v>
      </c>
      <c r="CI43" s="53">
        <v>0</v>
      </c>
      <c r="CJ43" s="53">
        <v>0</v>
      </c>
      <c r="CK43" s="53">
        <v>0</v>
      </c>
      <c r="CM43" s="53">
        <v>0</v>
      </c>
      <c r="CN43" s="53">
        <v>0</v>
      </c>
      <c r="CO43" s="53">
        <v>0</v>
      </c>
      <c r="CQ43" s="53">
        <v>0</v>
      </c>
      <c r="CR43" s="53">
        <v>0</v>
      </c>
      <c r="CS43" s="53">
        <v>0</v>
      </c>
      <c r="CU43" s="53">
        <v>0</v>
      </c>
      <c r="CV43" s="53">
        <v>0</v>
      </c>
      <c r="CW43" s="53">
        <v>0</v>
      </c>
      <c r="CY43" s="53">
        <v>0</v>
      </c>
      <c r="CZ43" s="53">
        <v>0</v>
      </c>
      <c r="DA43" s="53">
        <v>0</v>
      </c>
      <c r="DC43" s="53">
        <v>0</v>
      </c>
      <c r="DD43" s="53">
        <v>0</v>
      </c>
      <c r="DE43" s="53">
        <v>0</v>
      </c>
      <c r="DG43" s="53">
        <v>0</v>
      </c>
      <c r="DH43" s="53">
        <v>0</v>
      </c>
      <c r="DI43" s="53">
        <v>0</v>
      </c>
      <c r="DJ43" s="53">
        <v>0</v>
      </c>
      <c r="DL43" s="53">
        <v>0</v>
      </c>
      <c r="DM43" s="53">
        <v>0</v>
      </c>
      <c r="DN43" s="53">
        <v>0</v>
      </c>
      <c r="DP43" s="53">
        <v>0</v>
      </c>
      <c r="DQ43" s="53">
        <v>0</v>
      </c>
      <c r="DR43" s="53">
        <v>0</v>
      </c>
      <c r="DS43" s="53" t="e">
        <v>#N/A</v>
      </c>
      <c r="DU43" s="53">
        <v>0</v>
      </c>
      <c r="DV43" s="53">
        <v>0</v>
      </c>
      <c r="DW43" s="53">
        <v>0</v>
      </c>
      <c r="DX43" s="53">
        <v>0</v>
      </c>
      <c r="DZ43" s="53">
        <v>0</v>
      </c>
      <c r="EA43" s="53">
        <v>0</v>
      </c>
      <c r="EB43" s="53">
        <v>0</v>
      </c>
      <c r="EC43" s="53">
        <v>0</v>
      </c>
      <c r="EE43" s="53">
        <v>0</v>
      </c>
      <c r="EF43" s="53">
        <v>0</v>
      </c>
      <c r="EG43" s="53">
        <v>0</v>
      </c>
      <c r="EH43" s="53">
        <v>0</v>
      </c>
      <c r="EJ43" s="53">
        <v>0</v>
      </c>
      <c r="EK43" s="53">
        <v>0</v>
      </c>
      <c r="EL43" s="53">
        <v>0</v>
      </c>
      <c r="EM43" s="53">
        <v>0</v>
      </c>
      <c r="EO43" s="53">
        <v>0</v>
      </c>
      <c r="EP43" s="53">
        <v>0</v>
      </c>
      <c r="EQ43" s="53">
        <v>0</v>
      </c>
      <c r="ER43" s="53">
        <v>0</v>
      </c>
      <c r="ET43" s="53">
        <v>0</v>
      </c>
      <c r="EU43" s="53">
        <v>0</v>
      </c>
      <c r="EV43" s="53">
        <v>0</v>
      </c>
      <c r="EW43" s="53">
        <v>0</v>
      </c>
      <c r="EY43" s="53">
        <v>0</v>
      </c>
      <c r="EZ43" s="53">
        <v>0</v>
      </c>
      <c r="FA43" s="53">
        <v>0</v>
      </c>
      <c r="FB43" s="53">
        <v>0</v>
      </c>
    </row>
    <row r="44" spans="1:158" x14ac:dyDescent="0.25">
      <c r="B44" t="str">
        <v>JV1</v>
      </c>
      <c r="C44" t="str">
        <v>Center</v>
      </c>
      <c r="D44" t="str">
        <v>New Jersey</v>
      </c>
      <c r="E44" s="53">
        <v>0</v>
      </c>
      <c r="F44" s="53">
        <v>0</v>
      </c>
      <c r="G44" s="53">
        <v>0</v>
      </c>
      <c r="H44" s="53">
        <v>0</v>
      </c>
      <c r="J44" s="53">
        <v>0</v>
      </c>
      <c r="K44" s="53">
        <v>0</v>
      </c>
      <c r="L44" s="53">
        <v>0</v>
      </c>
      <c r="M44" s="53">
        <v>0</v>
      </c>
      <c r="O44" s="53">
        <v>0</v>
      </c>
      <c r="P44" s="53">
        <v>0</v>
      </c>
      <c r="Q44" s="53">
        <v>0</v>
      </c>
      <c r="R44" s="53">
        <v>0</v>
      </c>
      <c r="T44" s="53">
        <v>0</v>
      </c>
      <c r="U44" s="53">
        <v>0</v>
      </c>
      <c r="V44" s="53">
        <v>0</v>
      </c>
      <c r="W44" s="53">
        <v>0</v>
      </c>
      <c r="Y44" s="53">
        <v>0</v>
      </c>
      <c r="Z44" s="53">
        <v>0</v>
      </c>
      <c r="AA44" s="53">
        <v>0</v>
      </c>
      <c r="AB44" s="53">
        <v>0</v>
      </c>
      <c r="AD44" s="53">
        <v>0</v>
      </c>
      <c r="AE44" s="53">
        <v>0</v>
      </c>
      <c r="AF44" s="53">
        <v>0</v>
      </c>
      <c r="AG44" s="53">
        <v>0</v>
      </c>
      <c r="AI44" s="53">
        <v>0</v>
      </c>
      <c r="AJ44" s="53">
        <v>0</v>
      </c>
      <c r="AK44" s="53">
        <v>0</v>
      </c>
      <c r="AL44" s="53">
        <v>0</v>
      </c>
      <c r="AN44" s="53">
        <v>0</v>
      </c>
      <c r="AO44" s="53">
        <v>0</v>
      </c>
      <c r="AP44" s="53">
        <v>0</v>
      </c>
      <c r="AQ44" s="53">
        <v>0</v>
      </c>
      <c r="AS44" s="53">
        <v>0</v>
      </c>
      <c r="AT44" s="53">
        <v>0</v>
      </c>
      <c r="AU44" s="53">
        <v>0</v>
      </c>
      <c r="AV44" s="53">
        <v>0</v>
      </c>
      <c r="AX44" s="53">
        <v>0</v>
      </c>
      <c r="AY44" s="53">
        <v>0</v>
      </c>
      <c r="AZ44" s="53">
        <v>0</v>
      </c>
      <c r="BA44" s="53">
        <v>0</v>
      </c>
      <c r="BC44" s="53">
        <v>0</v>
      </c>
      <c r="BD44" s="53">
        <v>0</v>
      </c>
      <c r="BE44" s="53">
        <v>0</v>
      </c>
      <c r="BF44" s="53">
        <v>0</v>
      </c>
      <c r="BH44" s="53">
        <v>0</v>
      </c>
      <c r="BI44" s="53">
        <v>0</v>
      </c>
      <c r="BJ44" s="53">
        <v>0</v>
      </c>
      <c r="BK44" s="53">
        <v>0</v>
      </c>
      <c r="BM44" s="53">
        <v>0</v>
      </c>
      <c r="BN44" s="53">
        <v>0</v>
      </c>
      <c r="BO44" s="53">
        <v>0</v>
      </c>
      <c r="BP44" s="53">
        <v>0</v>
      </c>
      <c r="BR44" s="53">
        <v>0</v>
      </c>
      <c r="BS44" s="53">
        <v>0</v>
      </c>
      <c r="BT44" s="53">
        <v>0</v>
      </c>
      <c r="BV44" s="53">
        <v>0</v>
      </c>
      <c r="BW44" s="53">
        <v>0</v>
      </c>
      <c r="BX44" s="53">
        <v>0</v>
      </c>
      <c r="BY44" s="53">
        <v>0</v>
      </c>
      <c r="CA44" s="53">
        <v>0</v>
      </c>
      <c r="CB44" s="53">
        <v>0</v>
      </c>
      <c r="CC44" s="53">
        <v>0</v>
      </c>
      <c r="CE44" s="53">
        <v>0</v>
      </c>
      <c r="CF44" s="53">
        <v>0</v>
      </c>
      <c r="CG44" s="53">
        <v>0</v>
      </c>
      <c r="CI44" s="53">
        <v>0</v>
      </c>
      <c r="CJ44" s="53">
        <v>0</v>
      </c>
      <c r="CK44" s="53">
        <v>0</v>
      </c>
      <c r="CM44" s="53">
        <v>0</v>
      </c>
      <c r="CN44" s="53">
        <v>0</v>
      </c>
      <c r="CO44" s="53">
        <v>0</v>
      </c>
      <c r="CQ44" s="53">
        <v>0</v>
      </c>
      <c r="CR44" s="53">
        <v>0</v>
      </c>
      <c r="CS44" s="53">
        <v>0</v>
      </c>
      <c r="CU44" s="53">
        <v>0</v>
      </c>
      <c r="CV44" s="53">
        <v>0</v>
      </c>
      <c r="CW44" s="53">
        <v>0</v>
      </c>
      <c r="CY44" s="53">
        <v>0</v>
      </c>
      <c r="CZ44" s="53">
        <v>0</v>
      </c>
      <c r="DA44" s="53">
        <v>0</v>
      </c>
      <c r="DC44" s="53">
        <v>0</v>
      </c>
      <c r="DD44" s="53">
        <v>0</v>
      </c>
      <c r="DE44" s="53">
        <v>0</v>
      </c>
      <c r="DG44" s="53">
        <v>0</v>
      </c>
      <c r="DH44" s="53">
        <v>0</v>
      </c>
      <c r="DI44" s="53">
        <v>0</v>
      </c>
      <c r="DJ44" s="53">
        <v>0</v>
      </c>
      <c r="DL44" s="53">
        <v>0</v>
      </c>
      <c r="DM44" s="53">
        <v>0</v>
      </c>
      <c r="DN44" s="53">
        <v>0</v>
      </c>
      <c r="DP44" s="53">
        <v>0</v>
      </c>
      <c r="DQ44" s="53">
        <v>0</v>
      </c>
      <c r="DR44" s="53">
        <v>0</v>
      </c>
      <c r="DS44" s="53" t="e">
        <v>#N/A</v>
      </c>
      <c r="DU44" s="53">
        <v>0</v>
      </c>
      <c r="DV44" s="53">
        <v>0</v>
      </c>
      <c r="DW44" s="53">
        <v>0</v>
      </c>
      <c r="DX44" s="53">
        <v>0</v>
      </c>
      <c r="DZ44" s="53">
        <v>0</v>
      </c>
      <c r="EA44" s="53">
        <v>0</v>
      </c>
      <c r="EB44" s="53">
        <v>0</v>
      </c>
      <c r="EC44" s="53">
        <v>0</v>
      </c>
      <c r="EE44" s="53">
        <v>0</v>
      </c>
      <c r="EF44" s="53">
        <v>0</v>
      </c>
      <c r="EG44" s="53">
        <v>0</v>
      </c>
      <c r="EH44" s="53">
        <v>0</v>
      </c>
      <c r="EJ44" s="53">
        <v>0</v>
      </c>
      <c r="EK44" s="53">
        <v>0</v>
      </c>
      <c r="EL44" s="53">
        <v>0</v>
      </c>
      <c r="EM44" s="53">
        <v>0</v>
      </c>
      <c r="EO44" s="53">
        <v>0</v>
      </c>
      <c r="EP44" s="53">
        <v>0</v>
      </c>
      <c r="EQ44" s="53">
        <v>0</v>
      </c>
      <c r="ER44" s="53">
        <v>0</v>
      </c>
      <c r="ET44" s="53">
        <v>0</v>
      </c>
      <c r="EU44" s="53">
        <v>0</v>
      </c>
      <c r="EV44" s="53">
        <v>0</v>
      </c>
      <c r="EW44" s="53">
        <v>0</v>
      </c>
      <c r="EY44" s="53">
        <v>0</v>
      </c>
      <c r="EZ44" s="53">
        <v>0</v>
      </c>
      <c r="FA44" s="53">
        <v>0</v>
      </c>
      <c r="FB44" s="53">
        <v>0</v>
      </c>
    </row>
    <row r="45" spans="1:158" x14ac:dyDescent="0.25">
      <c r="B45" t="str">
        <v>JV1</v>
      </c>
      <c r="C45" t="str">
        <v>Remote</v>
      </c>
      <c r="D45" t="str">
        <v>New Jersey</v>
      </c>
      <c r="E45" s="53">
        <v>0</v>
      </c>
      <c r="F45" s="53">
        <v>0</v>
      </c>
      <c r="G45" s="53">
        <v>0</v>
      </c>
      <c r="H45" s="53">
        <v>0</v>
      </c>
      <c r="J45" s="53">
        <v>0</v>
      </c>
      <c r="K45" s="53">
        <v>0</v>
      </c>
      <c r="L45" s="53">
        <v>0</v>
      </c>
      <c r="M45" s="53">
        <v>0</v>
      </c>
      <c r="O45" s="53">
        <v>0</v>
      </c>
      <c r="P45" s="53">
        <v>0</v>
      </c>
      <c r="Q45" s="53">
        <v>0</v>
      </c>
      <c r="R45" s="53">
        <v>0</v>
      </c>
      <c r="T45" s="53">
        <v>0</v>
      </c>
      <c r="U45" s="53">
        <v>0</v>
      </c>
      <c r="V45" s="53">
        <v>0</v>
      </c>
      <c r="W45" s="53">
        <v>0</v>
      </c>
      <c r="Y45" s="53">
        <v>0</v>
      </c>
      <c r="Z45" s="53">
        <v>0</v>
      </c>
      <c r="AA45" s="53">
        <v>0</v>
      </c>
      <c r="AB45" s="53">
        <v>0</v>
      </c>
      <c r="AD45" s="53">
        <v>0</v>
      </c>
      <c r="AE45" s="53">
        <v>0</v>
      </c>
      <c r="AF45" s="53">
        <v>0</v>
      </c>
      <c r="AG45" s="53">
        <v>0</v>
      </c>
      <c r="AI45" s="53">
        <v>0</v>
      </c>
      <c r="AJ45" s="53">
        <v>0</v>
      </c>
      <c r="AK45" s="53">
        <v>0</v>
      </c>
      <c r="AL45" s="53">
        <v>0</v>
      </c>
      <c r="AN45" s="53">
        <v>0</v>
      </c>
      <c r="AO45" s="53">
        <v>0</v>
      </c>
      <c r="AP45" s="53">
        <v>0</v>
      </c>
      <c r="AQ45" s="53">
        <v>0</v>
      </c>
      <c r="AS45" s="53">
        <v>0</v>
      </c>
      <c r="AT45" s="53">
        <v>0</v>
      </c>
      <c r="AU45" s="53">
        <v>0</v>
      </c>
      <c r="AV45" s="53">
        <v>0</v>
      </c>
      <c r="AX45" s="53">
        <v>0</v>
      </c>
      <c r="AY45" s="53">
        <v>0</v>
      </c>
      <c r="AZ45" s="53">
        <v>0</v>
      </c>
      <c r="BA45" s="53">
        <v>0</v>
      </c>
      <c r="BC45" s="53">
        <v>0</v>
      </c>
      <c r="BD45" s="53">
        <v>0</v>
      </c>
      <c r="BE45" s="53">
        <v>0</v>
      </c>
      <c r="BF45" s="53">
        <v>0</v>
      </c>
      <c r="BH45" s="53">
        <v>0</v>
      </c>
      <c r="BI45" s="53">
        <v>0</v>
      </c>
      <c r="BJ45" s="53">
        <v>0</v>
      </c>
      <c r="BK45" s="53">
        <v>0</v>
      </c>
      <c r="BM45" s="53">
        <v>0</v>
      </c>
      <c r="BN45" s="53">
        <v>0</v>
      </c>
      <c r="BO45" s="53">
        <v>0</v>
      </c>
      <c r="BP45" s="53">
        <v>0</v>
      </c>
      <c r="BR45" s="53">
        <v>0</v>
      </c>
      <c r="BS45" s="53">
        <v>0</v>
      </c>
      <c r="BT45" s="53">
        <v>0</v>
      </c>
      <c r="BV45" s="53">
        <v>0</v>
      </c>
      <c r="BW45" s="53">
        <v>0</v>
      </c>
      <c r="BX45" s="53">
        <v>0</v>
      </c>
      <c r="BY45" s="53">
        <v>0</v>
      </c>
      <c r="CA45" s="53">
        <v>0</v>
      </c>
      <c r="CB45" s="53">
        <v>0</v>
      </c>
      <c r="CC45" s="53">
        <v>0</v>
      </c>
      <c r="CE45" s="53">
        <v>0</v>
      </c>
      <c r="CF45" s="53">
        <v>0</v>
      </c>
      <c r="CG45" s="53">
        <v>0</v>
      </c>
      <c r="CI45" s="53">
        <v>0</v>
      </c>
      <c r="CJ45" s="53">
        <v>0</v>
      </c>
      <c r="CK45" s="53">
        <v>0</v>
      </c>
      <c r="CM45" s="53">
        <v>0</v>
      </c>
      <c r="CN45" s="53">
        <v>0</v>
      </c>
      <c r="CO45" s="53">
        <v>0</v>
      </c>
      <c r="CQ45" s="53">
        <v>0</v>
      </c>
      <c r="CR45" s="53">
        <v>0</v>
      </c>
      <c r="CS45" s="53">
        <v>0</v>
      </c>
      <c r="CU45" s="53">
        <v>0</v>
      </c>
      <c r="CV45" s="53">
        <v>0</v>
      </c>
      <c r="CW45" s="53">
        <v>0</v>
      </c>
      <c r="CY45" s="53">
        <v>0</v>
      </c>
      <c r="CZ45" s="53">
        <v>0</v>
      </c>
      <c r="DA45" s="53">
        <v>0</v>
      </c>
      <c r="DC45" s="53">
        <v>0</v>
      </c>
      <c r="DD45" s="53">
        <v>0</v>
      </c>
      <c r="DE45" s="53">
        <v>0</v>
      </c>
      <c r="DG45" s="53">
        <v>0</v>
      </c>
      <c r="DH45" s="53">
        <v>0</v>
      </c>
      <c r="DI45" s="53">
        <v>0</v>
      </c>
      <c r="DJ45" s="53">
        <v>0</v>
      </c>
      <c r="DL45" s="53">
        <v>0</v>
      </c>
      <c r="DM45" s="53">
        <v>0</v>
      </c>
      <c r="DN45" s="53">
        <v>0</v>
      </c>
      <c r="DP45" s="53">
        <v>0</v>
      </c>
      <c r="DQ45" s="53">
        <v>0</v>
      </c>
      <c r="DR45" s="53">
        <v>0</v>
      </c>
      <c r="DS45" s="53" t="e">
        <v>#N/A</v>
      </c>
      <c r="DU45" s="53">
        <v>0</v>
      </c>
      <c r="DV45" s="53">
        <v>0</v>
      </c>
      <c r="DW45" s="53">
        <v>0</v>
      </c>
      <c r="DX45" s="53">
        <v>0</v>
      </c>
      <c r="DZ45" s="53">
        <v>0</v>
      </c>
      <c r="EA45" s="53">
        <v>0</v>
      </c>
      <c r="EB45" s="53">
        <v>0</v>
      </c>
      <c r="EC45" s="53">
        <v>0</v>
      </c>
      <c r="EE45" s="53">
        <v>0</v>
      </c>
      <c r="EF45" s="53">
        <v>0</v>
      </c>
      <c r="EG45" s="53">
        <v>0</v>
      </c>
      <c r="EH45" s="53">
        <v>0</v>
      </c>
      <c r="EJ45" s="53">
        <v>0</v>
      </c>
      <c r="EK45" s="53">
        <v>0</v>
      </c>
      <c r="EL45" s="53">
        <v>0</v>
      </c>
      <c r="EM45" s="53">
        <v>0</v>
      </c>
      <c r="EO45" s="53">
        <v>0</v>
      </c>
      <c r="EP45" s="53">
        <v>0</v>
      </c>
      <c r="EQ45" s="53">
        <v>0</v>
      </c>
      <c r="ER45" s="53">
        <v>0</v>
      </c>
      <c r="ET45" s="53">
        <v>0</v>
      </c>
      <c r="EU45" s="53">
        <v>0</v>
      </c>
      <c r="EV45" s="53">
        <v>0</v>
      </c>
      <c r="EW45" s="53">
        <v>0</v>
      </c>
      <c r="EY45" s="53">
        <v>0</v>
      </c>
      <c r="EZ45" s="53">
        <v>0</v>
      </c>
      <c r="FA45" s="53">
        <v>0</v>
      </c>
      <c r="FB45" s="53">
        <v>0</v>
      </c>
    </row>
    <row r="46" spans="1:158" x14ac:dyDescent="0.25">
      <c r="B46" t="str">
        <v>JV2</v>
      </c>
      <c r="C46" t="str">
        <v>Center</v>
      </c>
      <c r="D46" t="str">
        <v>Maryland</v>
      </c>
      <c r="E46" s="53">
        <v>0</v>
      </c>
      <c r="F46" s="53">
        <v>0</v>
      </c>
      <c r="G46" s="53">
        <v>2835.3599999999997</v>
      </c>
      <c r="H46" s="53">
        <v>4410.5599999999995</v>
      </c>
      <c r="J46" s="53">
        <v>0</v>
      </c>
      <c r="K46" s="53">
        <v>0</v>
      </c>
      <c r="L46" s="53">
        <v>282538.90594799997</v>
      </c>
      <c r="M46" s="53">
        <v>439504.96480799996</v>
      </c>
      <c r="O46" s="53">
        <v>0</v>
      </c>
      <c r="P46" s="53">
        <v>0</v>
      </c>
      <c r="Q46" s="53">
        <v>300132.26469823997</v>
      </c>
      <c r="R46" s="53">
        <v>430743.87041504006</v>
      </c>
      <c r="T46" s="53">
        <v>0</v>
      </c>
      <c r="U46" s="53">
        <v>0</v>
      </c>
      <c r="V46" s="53">
        <v>-42772.58340576</v>
      </c>
      <c r="W46" s="53">
        <v>-61608.510468959998</v>
      </c>
      <c r="Y46" s="53">
        <v>0</v>
      </c>
      <c r="Z46" s="53">
        <v>0</v>
      </c>
      <c r="AA46" s="53">
        <v>205012.70618400001</v>
      </c>
      <c r="AB46" s="53">
        <v>318908.654064</v>
      </c>
      <c r="AD46" s="53">
        <v>0</v>
      </c>
      <c r="AE46" s="53">
        <v>0</v>
      </c>
      <c r="AF46" s="53">
        <v>13533.346943999997</v>
      </c>
      <c r="AG46" s="53">
        <v>21051.873023999997</v>
      </c>
      <c r="AI46" s="53">
        <v>0</v>
      </c>
      <c r="AJ46" s="53">
        <v>0</v>
      </c>
      <c r="AK46" s="53">
        <v>55912.556231999988</v>
      </c>
      <c r="AL46" s="53">
        <v>86975.087471999999</v>
      </c>
      <c r="AN46" s="53">
        <v>0</v>
      </c>
      <c r="AO46" s="53">
        <v>0</v>
      </c>
      <c r="AP46" s="53">
        <v>2345.675436</v>
      </c>
      <c r="AQ46" s="53">
        <v>3648.8284559999997</v>
      </c>
      <c r="AS46" s="53">
        <v>0</v>
      </c>
      <c r="AT46" s="53">
        <v>0</v>
      </c>
      <c r="AU46" s="53">
        <v>5734.6211520000006</v>
      </c>
      <c r="AV46" s="53">
        <v>8920.5217920000014</v>
      </c>
      <c r="AX46" s="53">
        <v>0</v>
      </c>
      <c r="AY46" s="53">
        <v>0</v>
      </c>
      <c r="AZ46" s="53">
        <v>0</v>
      </c>
      <c r="BA46" s="53">
        <v>0</v>
      </c>
      <c r="BC46" s="53">
        <v>0</v>
      </c>
      <c r="BD46" s="53">
        <v>0</v>
      </c>
      <c r="BE46" s="53">
        <v>13656.443327999999</v>
      </c>
      <c r="BF46" s="53">
        <v>21243.356287999995</v>
      </c>
      <c r="BH46" s="53">
        <v>0</v>
      </c>
      <c r="BI46" s="53">
        <v>0</v>
      </c>
      <c r="BJ46" s="53">
        <v>73899.28909999998</v>
      </c>
      <c r="BK46" s="53">
        <v>73899.28909999998</v>
      </c>
      <c r="BM46" s="53">
        <v>0</v>
      </c>
      <c r="BN46" s="53">
        <v>0</v>
      </c>
      <c r="BO46" s="53">
        <v>11452.098797568</v>
      </c>
      <c r="BP46" s="53">
        <v>17814.375907327998</v>
      </c>
      <c r="BR46" s="53">
        <v>0</v>
      </c>
      <c r="BS46" s="53">
        <v>0</v>
      </c>
      <c r="BT46" s="53">
        <v>0</v>
      </c>
      <c r="BV46" s="53">
        <v>0</v>
      </c>
      <c r="BW46" s="53">
        <v>0</v>
      </c>
      <c r="BX46" s="53">
        <v>250454.95731602958</v>
      </c>
      <c r="BY46" s="53">
        <v>336105.91466937936</v>
      </c>
      <c r="CA46" s="53">
        <v>85754.22</v>
      </c>
      <c r="CB46" s="53">
        <v>129917.64330000003</v>
      </c>
      <c r="CC46" s="53">
        <v>174081.06660000005</v>
      </c>
      <c r="CE46" s="53">
        <v>34200</v>
      </c>
      <c r="CF46" s="53">
        <v>51984</v>
      </c>
      <c r="CG46" s="53">
        <v>69768</v>
      </c>
      <c r="CI46" s="53">
        <v>7186.9301999999998</v>
      </c>
      <c r="CJ46" s="53">
        <v>11388.437224000001</v>
      </c>
      <c r="CK46" s="53">
        <v>15768.657224</v>
      </c>
      <c r="CM46" s="53">
        <v>25500</v>
      </c>
      <c r="CN46" s="53">
        <v>38505</v>
      </c>
      <c r="CO46" s="53">
        <v>51510</v>
      </c>
      <c r="CQ46" s="53">
        <v>36632.5</v>
      </c>
      <c r="CR46" s="53">
        <v>65465.35</v>
      </c>
      <c r="CS46" s="53">
        <v>102274.6</v>
      </c>
      <c r="CU46" s="53">
        <v>34500</v>
      </c>
      <c r="CV46" s="53">
        <v>52612.5</v>
      </c>
      <c r="CW46" s="53">
        <v>70725</v>
      </c>
      <c r="CY46" s="53">
        <v>126877.11</v>
      </c>
      <c r="CZ46" s="53">
        <v>126877.11</v>
      </c>
      <c r="DA46" s="53">
        <v>0</v>
      </c>
      <c r="DC46" s="53">
        <v>92142.691987354003</v>
      </c>
      <c r="DD46" s="53">
        <v>164022.47461642962</v>
      </c>
      <c r="DE46" s="53">
        <v>251681.49362049229</v>
      </c>
      <c r="DG46" s="53">
        <v>0</v>
      </c>
      <c r="DH46" s="53">
        <v>0</v>
      </c>
      <c r="DI46" s="53">
        <v>0</v>
      </c>
      <c r="DJ46" s="53">
        <v>0</v>
      </c>
      <c r="DL46" s="53">
        <v>-86396.647222080021</v>
      </c>
      <c r="DM46" s="53">
        <v>-198741.13601742312</v>
      </c>
      <c r="DN46" s="53">
        <v>-275988.97779010393</v>
      </c>
      <c r="DP46" s="53">
        <v>0</v>
      </c>
      <c r="DQ46" s="53">
        <v>0</v>
      </c>
      <c r="DR46" s="53">
        <v>34938.246939728349</v>
      </c>
      <c r="DS46" s="53" t="e">
        <v>#N/A</v>
      </c>
      <c r="DU46" s="53">
        <v>0</v>
      </c>
      <c r="DV46" s="53">
        <v>1</v>
      </c>
      <c r="DW46" s="53">
        <v>1</v>
      </c>
      <c r="DX46" s="53">
        <v>1</v>
      </c>
      <c r="DZ46" s="53">
        <v>0</v>
      </c>
      <c r="EA46" s="53">
        <v>1</v>
      </c>
      <c r="EB46" s="53">
        <v>1</v>
      </c>
      <c r="EC46" s="53">
        <v>1</v>
      </c>
      <c r="EE46" s="53">
        <v>0</v>
      </c>
      <c r="EF46" s="53">
        <v>0</v>
      </c>
      <c r="EG46" s="53">
        <v>8.48</v>
      </c>
      <c r="EH46" s="53">
        <v>16</v>
      </c>
      <c r="EJ46" s="53">
        <v>0</v>
      </c>
      <c r="EK46" s="53">
        <v>0</v>
      </c>
      <c r="EL46" s="53">
        <v>1.29</v>
      </c>
      <c r="EM46" s="53">
        <v>2.4299999999999997</v>
      </c>
      <c r="EO46" s="53">
        <v>0</v>
      </c>
      <c r="EP46" s="53">
        <v>0</v>
      </c>
      <c r="EQ46" s="53">
        <v>1.29</v>
      </c>
      <c r="ER46" s="53">
        <v>2.4299999999999997</v>
      </c>
      <c r="ET46" s="53">
        <v>0</v>
      </c>
      <c r="EU46" s="53">
        <v>262280</v>
      </c>
      <c r="EV46" s="53">
        <v>393420</v>
      </c>
      <c r="EW46" s="53">
        <v>131140</v>
      </c>
      <c r="EY46" s="53">
        <v>0</v>
      </c>
      <c r="EZ46" s="53">
        <v>0</v>
      </c>
      <c r="FA46" s="53">
        <v>9</v>
      </c>
      <c r="FB46" s="53">
        <v>17</v>
      </c>
    </row>
    <row r="47" spans="1:158" x14ac:dyDescent="0.25">
      <c r="B47" t="str">
        <v>JV2</v>
      </c>
      <c r="C47" t="str">
        <v>Remote</v>
      </c>
      <c r="D47" t="str">
        <v>Maryland</v>
      </c>
      <c r="E47" s="53">
        <v>671.14666666666665</v>
      </c>
      <c r="F47" s="53">
        <v>1755.3066666666668</v>
      </c>
      <c r="G47" s="53">
        <v>2839.4666666666662</v>
      </c>
      <c r="H47" s="53">
        <v>3923.626666666667</v>
      </c>
      <c r="J47" s="53">
        <v>68799.334422</v>
      </c>
      <c r="K47" s="53">
        <v>179936.72079599995</v>
      </c>
      <c r="L47" s="53">
        <v>291074.10716999997</v>
      </c>
      <c r="M47" s="53">
        <v>402211.49354399991</v>
      </c>
      <c r="O47" s="53">
        <v>60543.414291359994</v>
      </c>
      <c r="P47" s="53">
        <v>158344.31430048001</v>
      </c>
      <c r="Q47" s="53">
        <v>256145.21430959995</v>
      </c>
      <c r="R47" s="53">
        <v>353946.11431871995</v>
      </c>
      <c r="T47" s="53">
        <v>-8255.9201306399991</v>
      </c>
      <c r="U47" s="53">
        <v>-21592.406495520001</v>
      </c>
      <c r="V47" s="53">
        <v>-34928.892860399996</v>
      </c>
      <c r="W47" s="53">
        <v>-48265.37922527999</v>
      </c>
      <c r="Y47" s="53">
        <v>51598.315781999991</v>
      </c>
      <c r="Z47" s="53">
        <v>134949.44127599997</v>
      </c>
      <c r="AA47" s="53">
        <v>218300.56676999998</v>
      </c>
      <c r="AB47" s="53">
        <v>301651.69226399995</v>
      </c>
      <c r="AD47" s="53">
        <v>0</v>
      </c>
      <c r="AE47" s="53">
        <v>0</v>
      </c>
      <c r="AF47" s="53">
        <v>0</v>
      </c>
      <c r="AG47" s="53">
        <v>0</v>
      </c>
      <c r="AI47" s="53">
        <v>13460.430204</v>
      </c>
      <c r="AJ47" s="53">
        <v>35204.202072</v>
      </c>
      <c r="AK47" s="53">
        <v>56947.973939999996</v>
      </c>
      <c r="AL47" s="53">
        <v>78691.745808000007</v>
      </c>
      <c r="AN47" s="53">
        <v>1129.3992840000001</v>
      </c>
      <c r="AO47" s="53">
        <v>2953.8135119999997</v>
      </c>
      <c r="AP47" s="53">
        <v>4778.2277400000003</v>
      </c>
      <c r="AQ47" s="53">
        <v>6602.6419679999999</v>
      </c>
      <c r="AS47" s="53">
        <v>2611.1891519999999</v>
      </c>
      <c r="AT47" s="53">
        <v>6829.2639359999994</v>
      </c>
      <c r="AU47" s="53">
        <v>11047.33872</v>
      </c>
      <c r="AV47" s="53">
        <v>15265.413503999996</v>
      </c>
      <c r="AX47" s="53">
        <v>0</v>
      </c>
      <c r="AY47" s="53">
        <v>0</v>
      </c>
      <c r="AZ47" s="53">
        <v>0</v>
      </c>
      <c r="BA47" s="53">
        <v>0</v>
      </c>
      <c r="BC47" s="53">
        <v>0</v>
      </c>
      <c r="BD47" s="53">
        <v>0</v>
      </c>
      <c r="BE47" s="53">
        <v>0</v>
      </c>
      <c r="BF47" s="53">
        <v>0</v>
      </c>
      <c r="BH47" s="53">
        <v>0</v>
      </c>
      <c r="BI47" s="53">
        <v>0</v>
      </c>
      <c r="BJ47" s="53">
        <v>0</v>
      </c>
      <c r="BK47" s="53">
        <v>0</v>
      </c>
      <c r="BM47" s="53">
        <v>0</v>
      </c>
      <c r="BN47" s="53">
        <v>0</v>
      </c>
      <c r="BO47" s="53">
        <v>0</v>
      </c>
      <c r="BP47" s="53">
        <v>0</v>
      </c>
      <c r="BR47" s="53">
        <v>0</v>
      </c>
      <c r="BS47" s="53">
        <v>0</v>
      </c>
      <c r="BT47" s="53">
        <v>0</v>
      </c>
      <c r="BV47" s="53">
        <v>72977.963601650932</v>
      </c>
      <c r="BW47" s="53">
        <v>130197.63566350586</v>
      </c>
      <c r="BX47" s="53">
        <v>178825.81412536078</v>
      </c>
      <c r="BY47" s="53">
        <v>223802.54845388237</v>
      </c>
      <c r="CA47" s="53">
        <v>0</v>
      </c>
      <c r="CB47" s="53">
        <v>0</v>
      </c>
      <c r="CC47" s="53">
        <v>0</v>
      </c>
      <c r="CE47" s="53">
        <v>0</v>
      </c>
      <c r="CF47" s="53">
        <v>0</v>
      </c>
      <c r="CG47" s="53">
        <v>0</v>
      </c>
      <c r="CI47" s="53">
        <v>11617.691200000001</v>
      </c>
      <c r="CJ47" s="53">
        <v>12644.279992</v>
      </c>
      <c r="CK47" s="53">
        <v>13014.913992</v>
      </c>
      <c r="CM47" s="53">
        <v>0</v>
      </c>
      <c r="CN47" s="53">
        <v>0</v>
      </c>
      <c r="CO47" s="53">
        <v>0</v>
      </c>
      <c r="CQ47" s="53">
        <v>53795</v>
      </c>
      <c r="CR47" s="53">
        <v>65388.9</v>
      </c>
      <c r="CS47" s="53">
        <v>73376.950000000012</v>
      </c>
      <c r="CU47" s="53">
        <v>0</v>
      </c>
      <c r="CV47" s="53">
        <v>0</v>
      </c>
      <c r="CW47" s="53">
        <v>0</v>
      </c>
      <c r="CY47" s="53">
        <v>0</v>
      </c>
      <c r="CZ47" s="53">
        <v>0</v>
      </c>
      <c r="DA47" s="53">
        <v>0</v>
      </c>
      <c r="DC47" s="53">
        <v>116632.72246342036</v>
      </c>
      <c r="DD47" s="53">
        <v>147402.86496051279</v>
      </c>
      <c r="DE47" s="53">
        <v>159730.70532347786</v>
      </c>
      <c r="DG47" s="53">
        <v>0</v>
      </c>
      <c r="DH47" s="53">
        <v>0</v>
      </c>
      <c r="DI47" s="53">
        <v>0</v>
      </c>
      <c r="DJ47" s="53">
        <v>0</v>
      </c>
      <c r="DL47" s="53">
        <v>-50996.183576183998</v>
      </c>
      <c r="DM47" s="53">
        <v>-90116.543579831981</v>
      </c>
      <c r="DN47" s="53">
        <v>-143096.68827048672</v>
      </c>
      <c r="DP47" s="53">
        <v>9199.7385836862013</v>
      </c>
      <c r="DQ47" s="53">
        <v>21896.379801946441</v>
      </c>
      <c r="DR47" s="53">
        <v>34988.850649345164</v>
      </c>
      <c r="DS47" s="53" t="e">
        <v>#N/A</v>
      </c>
      <c r="DU47" s="53">
        <v>0</v>
      </c>
      <c r="DV47" s="53">
        <v>0</v>
      </c>
      <c r="DW47" s="53">
        <v>0</v>
      </c>
      <c r="DX47" s="53">
        <v>0</v>
      </c>
      <c r="DZ47" s="53">
        <v>0</v>
      </c>
      <c r="EA47" s="53">
        <v>0</v>
      </c>
      <c r="EB47" s="53">
        <v>0</v>
      </c>
      <c r="EC47" s="53">
        <v>0</v>
      </c>
      <c r="EE47" s="53">
        <v>3.1599999999999997</v>
      </c>
      <c r="EF47" s="53">
        <v>6.3199999999999994</v>
      </c>
      <c r="EG47" s="53">
        <v>9.48</v>
      </c>
      <c r="EH47" s="53">
        <v>12.629999999999999</v>
      </c>
      <c r="EJ47" s="53">
        <v>1</v>
      </c>
      <c r="EK47" s="53">
        <v>2</v>
      </c>
      <c r="EL47" s="53">
        <v>3</v>
      </c>
      <c r="EM47" s="53">
        <v>4</v>
      </c>
      <c r="EO47" s="53">
        <v>1</v>
      </c>
      <c r="EP47" s="53">
        <v>2</v>
      </c>
      <c r="EQ47" s="53">
        <v>3</v>
      </c>
      <c r="ER47" s="53">
        <v>4</v>
      </c>
      <c r="ET47" s="53">
        <v>0</v>
      </c>
      <c r="EU47" s="53">
        <v>0</v>
      </c>
      <c r="EV47" s="53">
        <v>0</v>
      </c>
      <c r="EW47" s="53">
        <v>0</v>
      </c>
      <c r="EY47" s="53">
        <v>7</v>
      </c>
      <c r="EZ47" s="53">
        <v>14</v>
      </c>
      <c r="FA47" s="53">
        <v>21</v>
      </c>
      <c r="FB47" s="53">
        <v>28</v>
      </c>
    </row>
    <row r="48" spans="1:158" x14ac:dyDescent="0.25">
      <c r="B48" t="str">
        <v>JV2</v>
      </c>
      <c r="C48" t="str">
        <v>Center</v>
      </c>
      <c r="D48" t="str">
        <v>Maryland</v>
      </c>
      <c r="E48" s="53">
        <v>0</v>
      </c>
      <c r="F48" s="53">
        <v>0</v>
      </c>
      <c r="G48" s="53">
        <v>0</v>
      </c>
      <c r="H48" s="53">
        <v>0</v>
      </c>
      <c r="J48" s="53">
        <v>0</v>
      </c>
      <c r="K48" s="53">
        <v>0</v>
      </c>
      <c r="L48" s="53">
        <v>0</v>
      </c>
      <c r="M48" s="53">
        <v>0</v>
      </c>
      <c r="O48" s="53">
        <v>0</v>
      </c>
      <c r="P48" s="53">
        <v>0</v>
      </c>
      <c r="Q48" s="53">
        <v>0</v>
      </c>
      <c r="R48" s="53">
        <v>0</v>
      </c>
      <c r="T48" s="53">
        <v>0</v>
      </c>
      <c r="U48" s="53">
        <v>0</v>
      </c>
      <c r="V48" s="53">
        <v>0</v>
      </c>
      <c r="W48" s="53">
        <v>0</v>
      </c>
      <c r="Y48" s="53">
        <v>0</v>
      </c>
      <c r="Z48" s="53">
        <v>0</v>
      </c>
      <c r="AA48" s="53">
        <v>0</v>
      </c>
      <c r="AB48" s="53">
        <v>0</v>
      </c>
      <c r="AD48" s="53">
        <v>0</v>
      </c>
      <c r="AE48" s="53">
        <v>0</v>
      </c>
      <c r="AF48" s="53">
        <v>0</v>
      </c>
      <c r="AG48" s="53">
        <v>0</v>
      </c>
      <c r="AI48" s="53">
        <v>0</v>
      </c>
      <c r="AJ48" s="53">
        <v>0</v>
      </c>
      <c r="AK48" s="53">
        <v>0</v>
      </c>
      <c r="AL48" s="53">
        <v>0</v>
      </c>
      <c r="AN48" s="53">
        <v>0</v>
      </c>
      <c r="AO48" s="53">
        <v>0</v>
      </c>
      <c r="AP48" s="53">
        <v>0</v>
      </c>
      <c r="AQ48" s="53">
        <v>0</v>
      </c>
      <c r="AS48" s="53">
        <v>0</v>
      </c>
      <c r="AT48" s="53">
        <v>0</v>
      </c>
      <c r="AU48" s="53">
        <v>0</v>
      </c>
      <c r="AV48" s="53">
        <v>0</v>
      </c>
      <c r="AX48" s="53">
        <v>0</v>
      </c>
      <c r="AY48" s="53">
        <v>0</v>
      </c>
      <c r="AZ48" s="53">
        <v>0</v>
      </c>
      <c r="BA48" s="53">
        <v>0</v>
      </c>
      <c r="BC48" s="53">
        <v>0</v>
      </c>
      <c r="BD48" s="53">
        <v>0</v>
      </c>
      <c r="BE48" s="53">
        <v>0</v>
      </c>
      <c r="BF48" s="53">
        <v>0</v>
      </c>
      <c r="BH48" s="53">
        <v>0</v>
      </c>
      <c r="BI48" s="53">
        <v>0</v>
      </c>
      <c r="BJ48" s="53">
        <v>0</v>
      </c>
      <c r="BK48" s="53">
        <v>0</v>
      </c>
      <c r="BM48" s="53">
        <v>0</v>
      </c>
      <c r="BN48" s="53">
        <v>0</v>
      </c>
      <c r="BO48" s="53">
        <v>0</v>
      </c>
      <c r="BP48" s="53">
        <v>0</v>
      </c>
      <c r="BR48" s="53">
        <v>0</v>
      </c>
      <c r="BS48" s="53">
        <v>0</v>
      </c>
      <c r="BT48" s="53">
        <v>0</v>
      </c>
      <c r="BV48" s="53">
        <v>0</v>
      </c>
      <c r="BW48" s="53">
        <v>0</v>
      </c>
      <c r="BX48" s="53">
        <v>0</v>
      </c>
      <c r="BY48" s="53">
        <v>0</v>
      </c>
      <c r="CA48" s="53">
        <v>0</v>
      </c>
      <c r="CB48" s="53">
        <v>0</v>
      </c>
      <c r="CC48" s="53">
        <v>0</v>
      </c>
      <c r="CE48" s="53">
        <v>0</v>
      </c>
      <c r="CF48" s="53">
        <v>0</v>
      </c>
      <c r="CG48" s="53">
        <v>0</v>
      </c>
      <c r="CI48" s="53">
        <v>0</v>
      </c>
      <c r="CJ48" s="53">
        <v>0</v>
      </c>
      <c r="CK48" s="53">
        <v>0</v>
      </c>
      <c r="CM48" s="53">
        <v>0</v>
      </c>
      <c r="CN48" s="53">
        <v>0</v>
      </c>
      <c r="CO48" s="53">
        <v>0</v>
      </c>
      <c r="CQ48" s="53">
        <v>0</v>
      </c>
      <c r="CR48" s="53">
        <v>0</v>
      </c>
      <c r="CS48" s="53">
        <v>0</v>
      </c>
      <c r="CU48" s="53">
        <v>0</v>
      </c>
      <c r="CV48" s="53">
        <v>0</v>
      </c>
      <c r="CW48" s="53">
        <v>0</v>
      </c>
      <c r="CY48" s="53">
        <v>0</v>
      </c>
      <c r="CZ48" s="53">
        <v>0</v>
      </c>
      <c r="DA48" s="53">
        <v>126877.11</v>
      </c>
      <c r="DC48" s="53">
        <v>0</v>
      </c>
      <c r="DD48" s="53">
        <v>0</v>
      </c>
      <c r="DE48" s="53">
        <v>0</v>
      </c>
      <c r="DG48" s="53">
        <v>0</v>
      </c>
      <c r="DH48" s="53">
        <v>0</v>
      </c>
      <c r="DI48" s="53">
        <v>0</v>
      </c>
      <c r="DJ48" s="53">
        <v>0</v>
      </c>
      <c r="DL48" s="53">
        <v>0</v>
      </c>
      <c r="DM48" s="53">
        <v>0</v>
      </c>
      <c r="DN48" s="53">
        <v>0</v>
      </c>
      <c r="DP48" s="53">
        <v>0</v>
      </c>
      <c r="DQ48" s="53">
        <v>0</v>
      </c>
      <c r="DR48" s="53">
        <v>0</v>
      </c>
      <c r="DS48" s="53" t="e">
        <v>#N/A</v>
      </c>
      <c r="DU48" s="53">
        <v>0</v>
      </c>
      <c r="DV48" s="53">
        <v>0</v>
      </c>
      <c r="DW48" s="53">
        <v>0</v>
      </c>
      <c r="DX48" s="53">
        <v>0</v>
      </c>
      <c r="DZ48" s="53">
        <v>0</v>
      </c>
      <c r="EA48" s="53">
        <v>0</v>
      </c>
      <c r="EB48" s="53">
        <v>0</v>
      </c>
      <c r="EC48" s="53">
        <v>0</v>
      </c>
      <c r="EE48" s="53">
        <v>0</v>
      </c>
      <c r="EF48" s="53">
        <v>0</v>
      </c>
      <c r="EG48" s="53">
        <v>0</v>
      </c>
      <c r="EH48" s="53">
        <v>0</v>
      </c>
      <c r="EJ48" s="53">
        <v>0</v>
      </c>
      <c r="EK48" s="53">
        <v>0</v>
      </c>
      <c r="EL48" s="53">
        <v>0</v>
      </c>
      <c r="EM48" s="53">
        <v>0</v>
      </c>
      <c r="EO48" s="53">
        <v>0</v>
      </c>
      <c r="EP48" s="53">
        <v>0</v>
      </c>
      <c r="EQ48" s="53">
        <v>0</v>
      </c>
      <c r="ER48" s="53">
        <v>0</v>
      </c>
      <c r="ET48" s="53">
        <v>0</v>
      </c>
      <c r="EU48" s="53">
        <v>0</v>
      </c>
      <c r="EV48" s="53">
        <v>0</v>
      </c>
      <c r="EW48" s="53">
        <v>0</v>
      </c>
      <c r="EY48" s="53">
        <v>0</v>
      </c>
      <c r="EZ48" s="53">
        <v>0</v>
      </c>
      <c r="FA48" s="53">
        <v>0</v>
      </c>
      <c r="FB48" s="53">
        <v>0</v>
      </c>
    </row>
    <row r="49" spans="2:158" x14ac:dyDescent="0.25">
      <c r="B49" t="str">
        <v>JV2</v>
      </c>
      <c r="C49" t="str">
        <v>Center</v>
      </c>
      <c r="D49" t="str">
        <v>Maryland</v>
      </c>
      <c r="E49" s="53">
        <v>0</v>
      </c>
      <c r="F49" s="53">
        <v>0</v>
      </c>
      <c r="G49" s="53">
        <v>0</v>
      </c>
      <c r="H49" s="53">
        <v>0</v>
      </c>
      <c r="J49" s="53">
        <v>0</v>
      </c>
      <c r="K49" s="53">
        <v>0</v>
      </c>
      <c r="L49" s="53">
        <v>0</v>
      </c>
      <c r="M49" s="53">
        <v>0</v>
      </c>
      <c r="O49" s="53">
        <v>0</v>
      </c>
      <c r="P49" s="53">
        <v>0</v>
      </c>
      <c r="Q49" s="53">
        <v>0</v>
      </c>
      <c r="R49" s="53">
        <v>0</v>
      </c>
      <c r="T49" s="53">
        <v>0</v>
      </c>
      <c r="U49" s="53">
        <v>0</v>
      </c>
      <c r="V49" s="53">
        <v>0</v>
      </c>
      <c r="W49" s="53">
        <v>0</v>
      </c>
      <c r="Y49" s="53">
        <v>0</v>
      </c>
      <c r="Z49" s="53">
        <v>0</v>
      </c>
      <c r="AA49" s="53">
        <v>0</v>
      </c>
      <c r="AB49" s="53">
        <v>0</v>
      </c>
      <c r="AD49" s="53">
        <v>0</v>
      </c>
      <c r="AE49" s="53">
        <v>0</v>
      </c>
      <c r="AF49" s="53">
        <v>0</v>
      </c>
      <c r="AG49" s="53">
        <v>0</v>
      </c>
      <c r="AI49" s="53">
        <v>0</v>
      </c>
      <c r="AJ49" s="53">
        <v>0</v>
      </c>
      <c r="AK49" s="53">
        <v>0</v>
      </c>
      <c r="AL49" s="53">
        <v>0</v>
      </c>
      <c r="AN49" s="53">
        <v>0</v>
      </c>
      <c r="AO49" s="53">
        <v>0</v>
      </c>
      <c r="AP49" s="53">
        <v>0</v>
      </c>
      <c r="AQ49" s="53">
        <v>0</v>
      </c>
      <c r="AS49" s="53">
        <v>0</v>
      </c>
      <c r="AT49" s="53">
        <v>0</v>
      </c>
      <c r="AU49" s="53">
        <v>0</v>
      </c>
      <c r="AV49" s="53">
        <v>0</v>
      </c>
      <c r="AX49" s="53">
        <v>0</v>
      </c>
      <c r="AY49" s="53">
        <v>0</v>
      </c>
      <c r="AZ49" s="53">
        <v>0</v>
      </c>
      <c r="BA49" s="53">
        <v>0</v>
      </c>
      <c r="BC49" s="53">
        <v>0</v>
      </c>
      <c r="BD49" s="53">
        <v>0</v>
      </c>
      <c r="BE49" s="53">
        <v>0</v>
      </c>
      <c r="BF49" s="53">
        <v>0</v>
      </c>
      <c r="BH49" s="53">
        <v>0</v>
      </c>
      <c r="BI49" s="53">
        <v>0</v>
      </c>
      <c r="BJ49" s="53">
        <v>0</v>
      </c>
      <c r="BK49" s="53">
        <v>0</v>
      </c>
      <c r="BM49" s="53">
        <v>0</v>
      </c>
      <c r="BN49" s="53">
        <v>0</v>
      </c>
      <c r="BO49" s="53">
        <v>0</v>
      </c>
      <c r="BP49" s="53">
        <v>0</v>
      </c>
      <c r="BR49" s="53">
        <v>0</v>
      </c>
      <c r="BS49" s="53">
        <v>0</v>
      </c>
      <c r="BT49" s="53">
        <v>0</v>
      </c>
      <c r="BV49" s="53">
        <v>0</v>
      </c>
      <c r="BW49" s="53">
        <v>0</v>
      </c>
      <c r="BX49" s="53">
        <v>0</v>
      </c>
      <c r="BY49" s="53">
        <v>0</v>
      </c>
      <c r="CA49" s="53">
        <v>0</v>
      </c>
      <c r="CB49" s="53">
        <v>0</v>
      </c>
      <c r="CC49" s="53">
        <v>0</v>
      </c>
      <c r="CE49" s="53">
        <v>0</v>
      </c>
      <c r="CF49" s="53">
        <v>0</v>
      </c>
      <c r="CG49" s="53">
        <v>0</v>
      </c>
      <c r="CI49" s="53">
        <v>0</v>
      </c>
      <c r="CJ49" s="53">
        <v>0</v>
      </c>
      <c r="CK49" s="53">
        <v>0</v>
      </c>
      <c r="CM49" s="53">
        <v>0</v>
      </c>
      <c r="CN49" s="53">
        <v>0</v>
      </c>
      <c r="CO49" s="53">
        <v>0</v>
      </c>
      <c r="CQ49" s="53">
        <v>0</v>
      </c>
      <c r="CR49" s="53">
        <v>0</v>
      </c>
      <c r="CS49" s="53">
        <v>0</v>
      </c>
      <c r="CU49" s="53">
        <v>0</v>
      </c>
      <c r="CV49" s="53">
        <v>0</v>
      </c>
      <c r="CW49" s="53">
        <v>0</v>
      </c>
      <c r="CY49" s="53">
        <v>0</v>
      </c>
      <c r="CZ49" s="53">
        <v>0</v>
      </c>
      <c r="DA49" s="53">
        <v>0</v>
      </c>
      <c r="DC49" s="53">
        <v>0</v>
      </c>
      <c r="DD49" s="53">
        <v>0</v>
      </c>
      <c r="DE49" s="53">
        <v>0</v>
      </c>
      <c r="DG49" s="53">
        <v>0</v>
      </c>
      <c r="DH49" s="53">
        <v>0</v>
      </c>
      <c r="DI49" s="53">
        <v>0</v>
      </c>
      <c r="DJ49" s="53">
        <v>0</v>
      </c>
      <c r="DL49" s="53">
        <v>0</v>
      </c>
      <c r="DM49" s="53">
        <v>0</v>
      </c>
      <c r="DN49" s="53">
        <v>0</v>
      </c>
      <c r="DP49" s="53">
        <v>0</v>
      </c>
      <c r="DQ49" s="53">
        <v>0</v>
      </c>
      <c r="DR49" s="53">
        <v>0</v>
      </c>
      <c r="DS49" s="53" t="e">
        <v>#N/A</v>
      </c>
      <c r="DU49" s="53">
        <v>0</v>
      </c>
      <c r="DV49" s="53">
        <v>0</v>
      </c>
      <c r="DW49" s="53">
        <v>0</v>
      </c>
      <c r="DX49" s="53">
        <v>0</v>
      </c>
      <c r="DZ49" s="53">
        <v>0</v>
      </c>
      <c r="EA49" s="53">
        <v>0</v>
      </c>
      <c r="EB49" s="53">
        <v>0</v>
      </c>
      <c r="EC49" s="53">
        <v>0</v>
      </c>
      <c r="EE49" s="53">
        <v>0</v>
      </c>
      <c r="EF49" s="53">
        <v>0</v>
      </c>
      <c r="EG49" s="53">
        <v>0</v>
      </c>
      <c r="EH49" s="53">
        <v>0</v>
      </c>
      <c r="EJ49" s="53">
        <v>0</v>
      </c>
      <c r="EK49" s="53">
        <v>0</v>
      </c>
      <c r="EL49" s="53">
        <v>0</v>
      </c>
      <c r="EM49" s="53">
        <v>0</v>
      </c>
      <c r="EO49" s="53">
        <v>0</v>
      </c>
      <c r="EP49" s="53">
        <v>0</v>
      </c>
      <c r="EQ49" s="53">
        <v>0</v>
      </c>
      <c r="ER49" s="53">
        <v>0</v>
      </c>
      <c r="ET49" s="53">
        <v>0</v>
      </c>
      <c r="EU49" s="53">
        <v>0</v>
      </c>
      <c r="EV49" s="53">
        <v>0</v>
      </c>
      <c r="EW49" s="53">
        <v>0</v>
      </c>
      <c r="EY49" s="53">
        <v>0</v>
      </c>
      <c r="EZ49" s="53">
        <v>0</v>
      </c>
      <c r="FA49" s="53">
        <v>0</v>
      </c>
      <c r="FB49" s="53">
        <v>0</v>
      </c>
    </row>
    <row r="50" spans="2:158" x14ac:dyDescent="0.25">
      <c r="B50" t="str">
        <v>JV2</v>
      </c>
      <c r="C50" t="str">
        <v>Center</v>
      </c>
      <c r="D50" t="str">
        <v>North Carolina</v>
      </c>
      <c r="E50" s="53">
        <v>0</v>
      </c>
      <c r="F50" s="53">
        <v>315.03999999999996</v>
      </c>
      <c r="G50" s="53">
        <v>2835.3599999999997</v>
      </c>
      <c r="H50" s="53">
        <v>5670.7199999999993</v>
      </c>
      <c r="J50" s="53">
        <v>0</v>
      </c>
      <c r="K50" s="53">
        <v>30952.996875199991</v>
      </c>
      <c r="L50" s="53">
        <v>278576.9718768</v>
      </c>
      <c r="M50" s="53">
        <v>557153.9437536</v>
      </c>
      <c r="O50" s="53">
        <v>0</v>
      </c>
      <c r="P50" s="53">
        <v>44017.006823509328</v>
      </c>
      <c r="Q50" s="53">
        <v>270691.88557158399</v>
      </c>
      <c r="R50" s="53">
        <v>478653.18322316802</v>
      </c>
      <c r="T50" s="53">
        <v>0</v>
      </c>
      <c r="U50" s="53">
        <v>-6565.7499850239983</v>
      </c>
      <c r="V50" s="53">
        <v>-41983.407705215992</v>
      </c>
      <c r="W50" s="53">
        <v>-75412.644330431998</v>
      </c>
      <c r="Y50" s="53">
        <v>0</v>
      </c>
      <c r="Z50" s="53">
        <v>21550.246660799996</v>
      </c>
      <c r="AA50" s="53">
        <v>193952.21994719998</v>
      </c>
      <c r="AB50" s="53">
        <v>387904.43989439995</v>
      </c>
      <c r="AD50" s="53">
        <v>0</v>
      </c>
      <c r="AE50" s="53">
        <v>4131.8263999999999</v>
      </c>
      <c r="AF50" s="53">
        <v>37186.437599999997</v>
      </c>
      <c r="AG50" s="53">
        <v>74372.875199999995</v>
      </c>
      <c r="AI50" s="53">
        <v>0</v>
      </c>
      <c r="AJ50" s="53">
        <v>4549.9253904000007</v>
      </c>
      <c r="AK50" s="53">
        <v>40949.328513600005</v>
      </c>
      <c r="AL50" s="53">
        <v>81898.65702720001</v>
      </c>
      <c r="AN50" s="53">
        <v>0</v>
      </c>
      <c r="AO50" s="53">
        <v>257.444568</v>
      </c>
      <c r="AP50" s="53">
        <v>2317.0011119999999</v>
      </c>
      <c r="AQ50" s="53">
        <v>4634.0022239999998</v>
      </c>
      <c r="AS50" s="53">
        <v>0</v>
      </c>
      <c r="AT50" s="53">
        <v>463.553856</v>
      </c>
      <c r="AU50" s="53">
        <v>4171.9847040000004</v>
      </c>
      <c r="AV50" s="53">
        <v>8343.9694080000008</v>
      </c>
      <c r="AX50" s="53">
        <v>0</v>
      </c>
      <c r="AY50" s="53">
        <v>0</v>
      </c>
      <c r="AZ50" s="53">
        <v>0</v>
      </c>
      <c r="BA50" s="53">
        <v>0</v>
      </c>
      <c r="BC50" s="53">
        <v>0</v>
      </c>
      <c r="BD50" s="53">
        <v>1661.2971935999999</v>
      </c>
      <c r="BE50" s="53">
        <v>14951.6747424</v>
      </c>
      <c r="BF50" s="53">
        <v>29903.349484800001</v>
      </c>
      <c r="BH50" s="53">
        <v>0</v>
      </c>
      <c r="BI50" s="53">
        <v>23761.586333333333</v>
      </c>
      <c r="BJ50" s="53">
        <v>71284.758999999991</v>
      </c>
      <c r="BK50" s="53">
        <v>71284.758999999991</v>
      </c>
      <c r="BM50" s="53">
        <v>0</v>
      </c>
      <c r="BN50" s="53">
        <v>974.64780441600021</v>
      </c>
      <c r="BO50" s="53">
        <v>8771.830239744002</v>
      </c>
      <c r="BP50" s="53">
        <v>17543.660479488</v>
      </c>
      <c r="BR50" s="53">
        <v>0</v>
      </c>
      <c r="BS50" s="53">
        <v>0</v>
      </c>
      <c r="BT50" s="53">
        <v>0</v>
      </c>
      <c r="BV50" s="53">
        <v>0</v>
      </c>
      <c r="BW50" s="53">
        <v>40072.159524003298</v>
      </c>
      <c r="BX50" s="53">
        <v>243866.24238269625</v>
      </c>
      <c r="BY50" s="53">
        <v>387363.38809872593</v>
      </c>
      <c r="CA50" s="53">
        <v>46991</v>
      </c>
      <c r="CB50" s="53">
        <v>67734.17</v>
      </c>
      <c r="CC50" s="53">
        <v>81764.34</v>
      </c>
      <c r="CE50" s="53">
        <v>39200</v>
      </c>
      <c r="CF50" s="53">
        <v>56672</v>
      </c>
      <c r="CG50" s="53">
        <v>68544</v>
      </c>
      <c r="CI50" s="53">
        <v>6617.5015999999996</v>
      </c>
      <c r="CJ50" s="53">
        <v>10314.407279999999</v>
      </c>
      <c r="CK50" s="53">
        <v>13952.281072</v>
      </c>
      <c r="CM50" s="53">
        <v>42000</v>
      </c>
      <c r="CN50" s="53">
        <v>60360</v>
      </c>
      <c r="CO50" s="53">
        <v>72720</v>
      </c>
      <c r="CQ50" s="53">
        <v>55079.499999999993</v>
      </c>
      <c r="CR50" s="53">
        <v>98937.459999999992</v>
      </c>
      <c r="CS50" s="53">
        <v>150988.87</v>
      </c>
      <c r="CU50" s="53">
        <v>33250</v>
      </c>
      <c r="CV50" s="53">
        <v>48212.5</v>
      </c>
      <c r="CW50" s="53">
        <v>58425</v>
      </c>
      <c r="CY50" s="53">
        <v>104139</v>
      </c>
      <c r="CZ50" s="53">
        <v>104139</v>
      </c>
      <c r="DA50" s="53">
        <v>0</v>
      </c>
      <c r="DC50" s="53">
        <v>100378.51531341753</v>
      </c>
      <c r="DD50" s="53">
        <v>176491.32920744488</v>
      </c>
      <c r="DE50" s="53">
        <v>259065.44047875208</v>
      </c>
      <c r="DG50" s="53">
        <v>0</v>
      </c>
      <c r="DH50" s="53">
        <v>0</v>
      </c>
      <c r="DI50" s="53">
        <v>0</v>
      </c>
      <c r="DJ50" s="53">
        <v>0</v>
      </c>
      <c r="DL50" s="53">
        <v>-121719.24844780628</v>
      </c>
      <c r="DM50" s="53">
        <v>-218230.63036975672</v>
      </c>
      <c r="DN50" s="53">
        <v>-301352.61380829744</v>
      </c>
      <c r="DP50" s="53">
        <v>0</v>
      </c>
      <c r="DQ50" s="53">
        <v>3929.9318026889159</v>
      </c>
      <c r="DR50" s="53">
        <v>34938.246939728349</v>
      </c>
      <c r="DS50" s="53" t="e">
        <v>#N/A</v>
      </c>
      <c r="DU50" s="53">
        <v>1</v>
      </c>
      <c r="DV50" s="53">
        <v>1</v>
      </c>
      <c r="DW50" s="53">
        <v>1</v>
      </c>
      <c r="DX50" s="53">
        <v>1</v>
      </c>
      <c r="DZ50" s="53">
        <v>0</v>
      </c>
      <c r="EA50" s="53">
        <v>1</v>
      </c>
      <c r="EB50" s="53">
        <v>1</v>
      </c>
      <c r="EC50" s="53">
        <v>1</v>
      </c>
      <c r="EE50" s="53">
        <v>0</v>
      </c>
      <c r="EF50" s="53">
        <v>2.8299999999999996</v>
      </c>
      <c r="EG50" s="53">
        <v>11.299999999999999</v>
      </c>
      <c r="EH50" s="53">
        <v>19.770000000000003</v>
      </c>
      <c r="EJ50" s="53">
        <v>0</v>
      </c>
      <c r="EK50" s="53">
        <v>0.43</v>
      </c>
      <c r="EL50" s="53">
        <v>1.72</v>
      </c>
      <c r="EM50" s="53">
        <v>3</v>
      </c>
      <c r="EO50" s="53">
        <v>0</v>
      </c>
      <c r="EP50" s="53">
        <v>0.43</v>
      </c>
      <c r="EQ50" s="53">
        <v>1.72</v>
      </c>
      <c r="ER50" s="53">
        <v>3</v>
      </c>
      <c r="ET50" s="53">
        <v>0</v>
      </c>
      <c r="EU50" s="53">
        <v>393420</v>
      </c>
      <c r="EV50" s="53">
        <v>393420</v>
      </c>
      <c r="EW50" s="53">
        <v>0</v>
      </c>
      <c r="EY50" s="53">
        <v>0</v>
      </c>
      <c r="EZ50" s="53">
        <v>3</v>
      </c>
      <c r="FA50" s="53">
        <v>12</v>
      </c>
      <c r="FB50" s="53">
        <v>21</v>
      </c>
    </row>
    <row r="51" spans="2:158" x14ac:dyDescent="0.25">
      <c r="B51" t="str">
        <v>JV2</v>
      </c>
      <c r="C51" t="str">
        <v>Center</v>
      </c>
      <c r="D51" t="str">
        <v>North Carolina</v>
      </c>
      <c r="E51" s="53">
        <v>0</v>
      </c>
      <c r="F51" s="53">
        <v>0</v>
      </c>
      <c r="G51" s="53">
        <v>0</v>
      </c>
      <c r="H51" s="53">
        <v>1575.1999999999998</v>
      </c>
      <c r="J51" s="53">
        <v>0</v>
      </c>
      <c r="K51" s="53">
        <v>0</v>
      </c>
      <c r="L51" s="53">
        <v>0</v>
      </c>
      <c r="M51" s="53">
        <v>154764.98437600001</v>
      </c>
      <c r="O51" s="53">
        <v>0</v>
      </c>
      <c r="P51" s="53">
        <v>0</v>
      </c>
      <c r="Q51" s="53">
        <v>0</v>
      </c>
      <c r="R51" s="53">
        <v>115534.05425088</v>
      </c>
      <c r="T51" s="53">
        <v>0</v>
      </c>
      <c r="U51" s="53">
        <v>0</v>
      </c>
      <c r="V51" s="53">
        <v>0</v>
      </c>
      <c r="W51" s="53">
        <v>-18571.798125119996</v>
      </c>
      <c r="Y51" s="53">
        <v>0</v>
      </c>
      <c r="Z51" s="53">
        <v>0</v>
      </c>
      <c r="AA51" s="53">
        <v>0</v>
      </c>
      <c r="AB51" s="53">
        <v>107751.23330399999</v>
      </c>
      <c r="AD51" s="53">
        <v>0</v>
      </c>
      <c r="AE51" s="53">
        <v>0</v>
      </c>
      <c r="AF51" s="53">
        <v>0</v>
      </c>
      <c r="AG51" s="53">
        <v>20659.131999999998</v>
      </c>
      <c r="AI51" s="53">
        <v>0</v>
      </c>
      <c r="AJ51" s="53">
        <v>0</v>
      </c>
      <c r="AK51" s="53">
        <v>0</v>
      </c>
      <c r="AL51" s="53">
        <v>22749.626951999999</v>
      </c>
      <c r="AN51" s="53">
        <v>0</v>
      </c>
      <c r="AO51" s="53">
        <v>0</v>
      </c>
      <c r="AP51" s="53">
        <v>0</v>
      </c>
      <c r="AQ51" s="53">
        <v>1287.2228399999999</v>
      </c>
      <c r="AS51" s="53">
        <v>0</v>
      </c>
      <c r="AT51" s="53">
        <v>0</v>
      </c>
      <c r="AU51" s="53">
        <v>0</v>
      </c>
      <c r="AV51" s="53">
        <v>2317.76928</v>
      </c>
      <c r="AX51" s="53">
        <v>0</v>
      </c>
      <c r="AY51" s="53">
        <v>0</v>
      </c>
      <c r="AZ51" s="53">
        <v>0</v>
      </c>
      <c r="BA51" s="53">
        <v>0</v>
      </c>
      <c r="BC51" s="53">
        <v>0</v>
      </c>
      <c r="BD51" s="53">
        <v>0</v>
      </c>
      <c r="BE51" s="53">
        <v>0</v>
      </c>
      <c r="BF51" s="53">
        <v>0</v>
      </c>
      <c r="BH51" s="53">
        <v>0</v>
      </c>
      <c r="BI51" s="53">
        <v>0</v>
      </c>
      <c r="BJ51" s="53">
        <v>0</v>
      </c>
      <c r="BK51" s="53">
        <v>0</v>
      </c>
      <c r="BM51" s="53">
        <v>0</v>
      </c>
      <c r="BN51" s="53">
        <v>0</v>
      </c>
      <c r="BO51" s="53">
        <v>0</v>
      </c>
      <c r="BP51" s="53">
        <v>0</v>
      </c>
      <c r="BR51" s="53">
        <v>0</v>
      </c>
      <c r="BS51" s="53">
        <v>0</v>
      </c>
      <c r="BT51" s="53">
        <v>0</v>
      </c>
      <c r="BV51" s="53">
        <v>0</v>
      </c>
      <c r="BW51" s="53">
        <v>0</v>
      </c>
      <c r="BX51" s="53">
        <v>0</v>
      </c>
      <c r="BY51" s="53">
        <v>125649.45095334978</v>
      </c>
      <c r="CA51" s="53">
        <v>20139</v>
      </c>
      <c r="CB51" s="53">
        <v>40882.17</v>
      </c>
      <c r="CC51" s="53">
        <v>61625.34</v>
      </c>
      <c r="CE51" s="53">
        <v>13800</v>
      </c>
      <c r="CF51" s="53">
        <v>28152</v>
      </c>
      <c r="CG51" s="53">
        <v>42504</v>
      </c>
      <c r="CI51" s="53">
        <v>2277.7144000000003</v>
      </c>
      <c r="CJ51" s="53">
        <v>5522.5813760000001</v>
      </c>
      <c r="CK51" s="53">
        <v>9047.782432</v>
      </c>
      <c r="CM51" s="53">
        <v>13500</v>
      </c>
      <c r="CN51" s="53">
        <v>27270</v>
      </c>
      <c r="CO51" s="53">
        <v>41040</v>
      </c>
      <c r="CQ51" s="53">
        <v>13272.5</v>
      </c>
      <c r="CR51" s="53">
        <v>39112.67</v>
      </c>
      <c r="CS51" s="53">
        <v>75809.209999999992</v>
      </c>
      <c r="CU51" s="53">
        <v>11850</v>
      </c>
      <c r="CV51" s="53">
        <v>24292.5</v>
      </c>
      <c r="CW51" s="53">
        <v>36735</v>
      </c>
      <c r="CY51" s="53">
        <v>103139</v>
      </c>
      <c r="CZ51" s="53">
        <v>103139</v>
      </c>
      <c r="DA51" s="53">
        <v>103139</v>
      </c>
      <c r="DC51" s="53">
        <v>13217.346020187266</v>
      </c>
      <c r="DD51" s="53">
        <v>48970.658589224498</v>
      </c>
      <c r="DE51" s="53">
        <v>100662.30917392317</v>
      </c>
      <c r="DG51" s="53">
        <v>0</v>
      </c>
      <c r="DH51" s="53">
        <v>0</v>
      </c>
      <c r="DI51" s="53">
        <v>0</v>
      </c>
      <c r="DJ51" s="53">
        <v>0</v>
      </c>
      <c r="DL51" s="53">
        <v>0</v>
      </c>
      <c r="DM51" s="53">
        <v>-85012.267798882502</v>
      </c>
      <c r="DN51" s="53">
        <v>-177929.37558961025</v>
      </c>
      <c r="DP51" s="53">
        <v>0</v>
      </c>
      <c r="DQ51" s="53">
        <v>0</v>
      </c>
      <c r="DR51" s="53">
        <v>0</v>
      </c>
      <c r="DS51" s="53" t="e">
        <v>#N/A</v>
      </c>
      <c r="DU51" s="53">
        <v>0</v>
      </c>
      <c r="DV51" s="53">
        <v>0</v>
      </c>
      <c r="DW51" s="53">
        <v>0</v>
      </c>
      <c r="DX51" s="53">
        <v>0</v>
      </c>
      <c r="DZ51" s="53">
        <v>0</v>
      </c>
      <c r="EA51" s="53">
        <v>0</v>
      </c>
      <c r="EB51" s="53">
        <v>0</v>
      </c>
      <c r="EC51" s="53">
        <v>0</v>
      </c>
      <c r="EE51" s="53">
        <v>0</v>
      </c>
      <c r="EF51" s="53">
        <v>0</v>
      </c>
      <c r="EG51" s="53">
        <v>0</v>
      </c>
      <c r="EH51" s="53">
        <v>7.5299999999999994</v>
      </c>
      <c r="EJ51" s="53">
        <v>0</v>
      </c>
      <c r="EK51" s="53">
        <v>0</v>
      </c>
      <c r="EL51" s="53">
        <v>0</v>
      </c>
      <c r="EM51" s="53">
        <v>1.1499999999999999</v>
      </c>
      <c r="EO51" s="53">
        <v>0</v>
      </c>
      <c r="EP51" s="53">
        <v>0</v>
      </c>
      <c r="EQ51" s="53">
        <v>0</v>
      </c>
      <c r="ER51" s="53">
        <v>1.1499999999999999</v>
      </c>
      <c r="ET51" s="53">
        <v>0</v>
      </c>
      <c r="EU51" s="53">
        <v>0</v>
      </c>
      <c r="EV51" s="53">
        <v>302413.33333333331</v>
      </c>
      <c r="EW51" s="53">
        <v>453620</v>
      </c>
      <c r="EY51" s="53">
        <v>0</v>
      </c>
      <c r="EZ51" s="53">
        <v>0</v>
      </c>
      <c r="FA51" s="53">
        <v>0</v>
      </c>
      <c r="FB51" s="53">
        <v>8</v>
      </c>
    </row>
    <row r="52" spans="2:158" x14ac:dyDescent="0.25">
      <c r="B52" t="str">
        <v>JV2</v>
      </c>
      <c r="C52" t="str">
        <v>Center</v>
      </c>
      <c r="D52" t="str">
        <v>North Carolina</v>
      </c>
      <c r="E52" s="53">
        <v>0</v>
      </c>
      <c r="F52" s="53">
        <v>0</v>
      </c>
      <c r="G52" s="53">
        <v>0</v>
      </c>
      <c r="H52" s="53">
        <v>0</v>
      </c>
      <c r="J52" s="53">
        <v>0</v>
      </c>
      <c r="K52" s="53">
        <v>0</v>
      </c>
      <c r="L52" s="53">
        <v>0</v>
      </c>
      <c r="M52" s="53">
        <v>0</v>
      </c>
      <c r="O52" s="53">
        <v>0</v>
      </c>
      <c r="P52" s="53">
        <v>0</v>
      </c>
      <c r="Q52" s="53">
        <v>0</v>
      </c>
      <c r="R52" s="53">
        <v>0</v>
      </c>
      <c r="T52" s="53">
        <v>0</v>
      </c>
      <c r="U52" s="53">
        <v>0</v>
      </c>
      <c r="V52" s="53">
        <v>0</v>
      </c>
      <c r="W52" s="53">
        <v>0</v>
      </c>
      <c r="Y52" s="53">
        <v>0</v>
      </c>
      <c r="Z52" s="53">
        <v>0</v>
      </c>
      <c r="AA52" s="53">
        <v>0</v>
      </c>
      <c r="AB52" s="53">
        <v>0</v>
      </c>
      <c r="AD52" s="53">
        <v>0</v>
      </c>
      <c r="AE52" s="53">
        <v>0</v>
      </c>
      <c r="AF52" s="53">
        <v>0</v>
      </c>
      <c r="AG52" s="53">
        <v>0</v>
      </c>
      <c r="AI52" s="53">
        <v>0</v>
      </c>
      <c r="AJ52" s="53">
        <v>0</v>
      </c>
      <c r="AK52" s="53">
        <v>0</v>
      </c>
      <c r="AL52" s="53">
        <v>0</v>
      </c>
      <c r="AN52" s="53">
        <v>0</v>
      </c>
      <c r="AO52" s="53">
        <v>0</v>
      </c>
      <c r="AP52" s="53">
        <v>0</v>
      </c>
      <c r="AQ52" s="53">
        <v>0</v>
      </c>
      <c r="AS52" s="53">
        <v>0</v>
      </c>
      <c r="AT52" s="53">
        <v>0</v>
      </c>
      <c r="AU52" s="53">
        <v>0</v>
      </c>
      <c r="AV52" s="53">
        <v>0</v>
      </c>
      <c r="AX52" s="53">
        <v>0</v>
      </c>
      <c r="AY52" s="53">
        <v>0</v>
      </c>
      <c r="AZ52" s="53">
        <v>0</v>
      </c>
      <c r="BA52" s="53">
        <v>0</v>
      </c>
      <c r="BC52" s="53">
        <v>0</v>
      </c>
      <c r="BD52" s="53">
        <v>0</v>
      </c>
      <c r="BE52" s="53">
        <v>0</v>
      </c>
      <c r="BF52" s="53">
        <v>0</v>
      </c>
      <c r="BH52" s="53">
        <v>0</v>
      </c>
      <c r="BI52" s="53">
        <v>0</v>
      </c>
      <c r="BJ52" s="53">
        <v>0</v>
      </c>
      <c r="BK52" s="53">
        <v>0</v>
      </c>
      <c r="BM52" s="53">
        <v>0</v>
      </c>
      <c r="BN52" s="53">
        <v>0</v>
      </c>
      <c r="BO52" s="53">
        <v>0</v>
      </c>
      <c r="BP52" s="53">
        <v>0</v>
      </c>
      <c r="BR52" s="53">
        <v>0</v>
      </c>
      <c r="BS52" s="53">
        <v>0</v>
      </c>
      <c r="BT52" s="53">
        <v>0</v>
      </c>
      <c r="BV52" s="53">
        <v>0</v>
      </c>
      <c r="BW52" s="53">
        <v>0</v>
      </c>
      <c r="BX52" s="53">
        <v>0</v>
      </c>
      <c r="BY52" s="53">
        <v>0</v>
      </c>
      <c r="CA52" s="53">
        <v>0</v>
      </c>
      <c r="CB52" s="53">
        <v>0</v>
      </c>
      <c r="CC52" s="53">
        <v>0</v>
      </c>
      <c r="CE52" s="53">
        <v>0</v>
      </c>
      <c r="CF52" s="53">
        <v>0</v>
      </c>
      <c r="CG52" s="53">
        <v>0</v>
      </c>
      <c r="CI52" s="53">
        <v>0</v>
      </c>
      <c r="CJ52" s="53">
        <v>0</v>
      </c>
      <c r="CK52" s="53">
        <v>0</v>
      </c>
      <c r="CM52" s="53">
        <v>0</v>
      </c>
      <c r="CN52" s="53">
        <v>0</v>
      </c>
      <c r="CO52" s="53">
        <v>0</v>
      </c>
      <c r="CQ52" s="53">
        <v>0</v>
      </c>
      <c r="CR52" s="53">
        <v>0</v>
      </c>
      <c r="CS52" s="53">
        <v>0</v>
      </c>
      <c r="CU52" s="53">
        <v>0</v>
      </c>
      <c r="CV52" s="53">
        <v>0</v>
      </c>
      <c r="CW52" s="53">
        <v>0</v>
      </c>
      <c r="CY52" s="53">
        <v>0</v>
      </c>
      <c r="CZ52" s="53">
        <v>0</v>
      </c>
      <c r="DA52" s="53">
        <v>104139</v>
      </c>
      <c r="DC52" s="53">
        <v>0</v>
      </c>
      <c r="DD52" s="53">
        <v>0</v>
      </c>
      <c r="DE52" s="53">
        <v>0</v>
      </c>
      <c r="DG52" s="53">
        <v>0</v>
      </c>
      <c r="DH52" s="53">
        <v>0</v>
      </c>
      <c r="DI52" s="53">
        <v>0</v>
      </c>
      <c r="DJ52" s="53">
        <v>0</v>
      </c>
      <c r="DL52" s="53">
        <v>0</v>
      </c>
      <c r="DM52" s="53">
        <v>0</v>
      </c>
      <c r="DN52" s="53">
        <v>0</v>
      </c>
      <c r="DP52" s="53">
        <v>0</v>
      </c>
      <c r="DQ52" s="53">
        <v>0</v>
      </c>
      <c r="DR52" s="53">
        <v>0</v>
      </c>
      <c r="DS52" s="53" t="e">
        <v>#N/A</v>
      </c>
      <c r="DU52" s="53">
        <v>0</v>
      </c>
      <c r="DV52" s="53">
        <v>0</v>
      </c>
      <c r="DW52" s="53">
        <v>0</v>
      </c>
      <c r="DX52" s="53">
        <v>0</v>
      </c>
      <c r="DZ52" s="53">
        <v>0</v>
      </c>
      <c r="EA52" s="53">
        <v>0</v>
      </c>
      <c r="EB52" s="53">
        <v>0</v>
      </c>
      <c r="EC52" s="53">
        <v>0</v>
      </c>
      <c r="EE52" s="53">
        <v>0</v>
      </c>
      <c r="EF52" s="53">
        <v>0</v>
      </c>
      <c r="EG52" s="53">
        <v>0</v>
      </c>
      <c r="EH52" s="53">
        <v>0</v>
      </c>
      <c r="EJ52" s="53">
        <v>0</v>
      </c>
      <c r="EK52" s="53">
        <v>0</v>
      </c>
      <c r="EL52" s="53">
        <v>0</v>
      </c>
      <c r="EM52" s="53">
        <v>0</v>
      </c>
      <c r="EO52" s="53">
        <v>0</v>
      </c>
      <c r="EP52" s="53">
        <v>0</v>
      </c>
      <c r="EQ52" s="53">
        <v>0</v>
      </c>
      <c r="ER52" s="53">
        <v>0</v>
      </c>
      <c r="ET52" s="53">
        <v>0</v>
      </c>
      <c r="EU52" s="53">
        <v>0</v>
      </c>
      <c r="EV52" s="53">
        <v>0</v>
      </c>
      <c r="EW52" s="53">
        <v>0</v>
      </c>
      <c r="EY52" s="53">
        <v>0</v>
      </c>
      <c r="EZ52" s="53">
        <v>0</v>
      </c>
      <c r="FA52" s="53">
        <v>0</v>
      </c>
      <c r="FB52" s="53">
        <v>0</v>
      </c>
    </row>
    <row r="53" spans="2:158" x14ac:dyDescent="0.25">
      <c r="B53" t="str">
        <v>JV2</v>
      </c>
      <c r="C53" t="str">
        <v>Remote</v>
      </c>
      <c r="D53" t="str">
        <v>Arizona</v>
      </c>
      <c r="E53" s="53">
        <v>464.64</v>
      </c>
      <c r="F53" s="53">
        <v>1290.6666666666665</v>
      </c>
      <c r="G53" s="53">
        <v>2168.3200000000002</v>
      </c>
      <c r="H53" s="53">
        <v>2942.72</v>
      </c>
      <c r="J53" s="53">
        <v>48211.689515999991</v>
      </c>
      <c r="K53" s="53">
        <v>133921.35976666663</v>
      </c>
      <c r="L53" s="53">
        <v>224987.88440799998</v>
      </c>
      <c r="M53" s="53">
        <v>305340.70026799996</v>
      </c>
      <c r="O53" s="53">
        <v>42426.286774079985</v>
      </c>
      <c r="P53" s="53">
        <v>117850.79659466664</v>
      </c>
      <c r="Q53" s="53">
        <v>197989.33827903998</v>
      </c>
      <c r="R53" s="53">
        <v>268699.81623583991</v>
      </c>
      <c r="T53" s="53">
        <v>-5785.4027419199983</v>
      </c>
      <c r="U53" s="53">
        <v>-16070.563171999995</v>
      </c>
      <c r="V53" s="53">
        <v>-26998.546128959995</v>
      </c>
      <c r="W53" s="53">
        <v>-36640.884032159993</v>
      </c>
      <c r="Y53" s="53">
        <v>37734.412949999991</v>
      </c>
      <c r="Z53" s="53">
        <v>104817.81374999997</v>
      </c>
      <c r="AA53" s="53">
        <v>176093.92709999997</v>
      </c>
      <c r="AB53" s="53">
        <v>238984.61534999995</v>
      </c>
      <c r="AD53" s="53">
        <v>0</v>
      </c>
      <c r="AE53" s="53">
        <v>0</v>
      </c>
      <c r="AF53" s="53">
        <v>0</v>
      </c>
      <c r="AG53" s="53">
        <v>0</v>
      </c>
      <c r="AI53" s="53">
        <v>7619.7993299999998</v>
      </c>
      <c r="AJ53" s="53">
        <v>21166.109249999998</v>
      </c>
      <c r="AK53" s="53">
        <v>35559.063539999996</v>
      </c>
      <c r="AL53" s="53">
        <v>48258.729090000001</v>
      </c>
      <c r="AN53" s="53">
        <v>1172.27682</v>
      </c>
      <c r="AO53" s="53">
        <v>3256.3244999999997</v>
      </c>
      <c r="AP53" s="53">
        <v>5470.6251599999996</v>
      </c>
      <c r="AQ53" s="53">
        <v>7424.41986</v>
      </c>
      <c r="AS53" s="53">
        <v>1685.2004159999999</v>
      </c>
      <c r="AT53" s="53">
        <v>4681.112266666667</v>
      </c>
      <c r="AU53" s="53">
        <v>7864.2686079999994</v>
      </c>
      <c r="AV53" s="53">
        <v>10672.935967999998</v>
      </c>
      <c r="AX53" s="53">
        <v>0</v>
      </c>
      <c r="AY53" s="53">
        <v>0</v>
      </c>
      <c r="AZ53" s="53">
        <v>0</v>
      </c>
      <c r="BA53" s="53">
        <v>0</v>
      </c>
      <c r="BC53" s="53">
        <v>0</v>
      </c>
      <c r="BD53" s="53">
        <v>0</v>
      </c>
      <c r="BE53" s="53">
        <v>0</v>
      </c>
      <c r="BF53" s="53">
        <v>0</v>
      </c>
      <c r="BH53" s="53">
        <v>0</v>
      </c>
      <c r="BI53" s="53">
        <v>0</v>
      </c>
      <c r="BJ53" s="53">
        <v>0</v>
      </c>
      <c r="BK53" s="53">
        <v>0</v>
      </c>
      <c r="BM53" s="53">
        <v>0</v>
      </c>
      <c r="BN53" s="53">
        <v>0</v>
      </c>
      <c r="BO53" s="53">
        <v>0</v>
      </c>
      <c r="BP53" s="53">
        <v>0</v>
      </c>
      <c r="BR53" s="53">
        <v>0</v>
      </c>
      <c r="BS53" s="53">
        <v>0</v>
      </c>
      <c r="BT53" s="53">
        <v>0</v>
      </c>
      <c r="BV53" s="53">
        <v>89413.984906271158</v>
      </c>
      <c r="BW53" s="53">
        <v>125161.27702112359</v>
      </c>
      <c r="BX53" s="53">
        <v>155467.19965148764</v>
      </c>
      <c r="BY53" s="53">
        <v>182189.57342860621</v>
      </c>
      <c r="CA53" s="53">
        <v>0</v>
      </c>
      <c r="CB53" s="53">
        <v>0</v>
      </c>
      <c r="CC53" s="53">
        <v>0</v>
      </c>
      <c r="CE53" s="53">
        <v>0</v>
      </c>
      <c r="CF53" s="53">
        <v>0</v>
      </c>
      <c r="CG53" s="53">
        <v>0</v>
      </c>
      <c r="CI53" s="53">
        <v>11028.046200000001</v>
      </c>
      <c r="CJ53" s="53">
        <v>12176.472496</v>
      </c>
      <c r="CK53" s="53">
        <v>12504.247727999998</v>
      </c>
      <c r="CM53" s="53">
        <v>54000</v>
      </c>
      <c r="CN53" s="53">
        <v>54270</v>
      </c>
      <c r="CO53" s="53">
        <v>54540</v>
      </c>
      <c r="CQ53" s="53">
        <v>68780</v>
      </c>
      <c r="CR53" s="53">
        <v>88209.7</v>
      </c>
      <c r="CS53" s="53">
        <v>102656.29999999999</v>
      </c>
      <c r="CU53" s="53">
        <v>23400</v>
      </c>
      <c r="CV53" s="53">
        <v>23692.5</v>
      </c>
      <c r="CW53" s="53">
        <v>23985</v>
      </c>
      <c r="CY53" s="53">
        <v>0</v>
      </c>
      <c r="CZ53" s="53">
        <v>0</v>
      </c>
      <c r="DA53" s="53">
        <v>0</v>
      </c>
      <c r="DC53" s="53">
        <v>87870.659526712945</v>
      </c>
      <c r="DD53" s="53">
        <v>117210.35401045097</v>
      </c>
      <c r="DE53" s="53">
        <v>132612.3098864902</v>
      </c>
      <c r="DG53" s="53">
        <v>0</v>
      </c>
      <c r="DH53" s="53">
        <v>0</v>
      </c>
      <c r="DI53" s="53">
        <v>0</v>
      </c>
      <c r="DJ53" s="53">
        <v>0</v>
      </c>
      <c r="DL53" s="53">
        <v>-36062.343757967988</v>
      </c>
      <c r="DM53" s="53">
        <v>-67174.954058959993</v>
      </c>
      <c r="DN53" s="53">
        <v>-110089.14313094188</v>
      </c>
      <c r="DP53" s="53">
        <v>6369.0497887058309</v>
      </c>
      <c r="DQ53" s="53">
        <v>16100.279266137088</v>
      </c>
      <c r="DR53" s="53">
        <v>26718.758677681773</v>
      </c>
      <c r="DS53" s="53" t="e">
        <v>#N/A</v>
      </c>
      <c r="DU53" s="53">
        <v>0</v>
      </c>
      <c r="DV53" s="53">
        <v>0</v>
      </c>
      <c r="DW53" s="53">
        <v>0</v>
      </c>
      <c r="DX53" s="53">
        <v>0</v>
      </c>
      <c r="DZ53" s="53">
        <v>0</v>
      </c>
      <c r="EA53" s="53">
        <v>0</v>
      </c>
      <c r="EB53" s="53">
        <v>0</v>
      </c>
      <c r="EC53" s="53">
        <v>0</v>
      </c>
      <c r="EE53" s="53">
        <v>2.2599999999999998</v>
      </c>
      <c r="EF53" s="53">
        <v>4.51</v>
      </c>
      <c r="EG53" s="53">
        <v>7.22</v>
      </c>
      <c r="EH53" s="53">
        <v>9.48</v>
      </c>
      <c r="EJ53" s="53">
        <v>0.46</v>
      </c>
      <c r="EK53" s="53">
        <v>0.91</v>
      </c>
      <c r="EL53" s="53">
        <v>1.46</v>
      </c>
      <c r="EM53" s="53">
        <v>1.91</v>
      </c>
      <c r="EO53" s="53">
        <v>0.46</v>
      </c>
      <c r="EP53" s="53">
        <v>0.91</v>
      </c>
      <c r="EQ53" s="53">
        <v>1.46</v>
      </c>
      <c r="ER53" s="53">
        <v>1.91</v>
      </c>
      <c r="ET53" s="53">
        <v>0</v>
      </c>
      <c r="EU53" s="53">
        <v>0</v>
      </c>
      <c r="EV53" s="53">
        <v>0</v>
      </c>
      <c r="EW53" s="53">
        <v>0</v>
      </c>
      <c r="EY53" s="53">
        <v>5</v>
      </c>
      <c r="EZ53" s="53">
        <v>10</v>
      </c>
      <c r="FA53" s="53">
        <v>16</v>
      </c>
      <c r="FB53" s="53">
        <v>21</v>
      </c>
    </row>
    <row r="54" spans="2:158" x14ac:dyDescent="0.25">
      <c r="B54" t="str">
        <v>JV2</v>
      </c>
      <c r="C54" t="str">
        <v>Remote</v>
      </c>
      <c r="D54" t="str">
        <v>Arizona</v>
      </c>
      <c r="E54" s="53">
        <v>0</v>
      </c>
      <c r="F54" s="53">
        <v>0</v>
      </c>
      <c r="G54" s="53">
        <v>0</v>
      </c>
      <c r="H54" s="53">
        <v>0</v>
      </c>
      <c r="J54" s="53">
        <v>0</v>
      </c>
      <c r="K54" s="53">
        <v>0</v>
      </c>
      <c r="L54" s="53">
        <v>0</v>
      </c>
      <c r="M54" s="53">
        <v>0</v>
      </c>
      <c r="O54" s="53">
        <v>0</v>
      </c>
      <c r="P54" s="53">
        <v>0</v>
      </c>
      <c r="Q54" s="53">
        <v>0</v>
      </c>
      <c r="R54" s="53">
        <v>0</v>
      </c>
      <c r="T54" s="53">
        <v>0</v>
      </c>
      <c r="U54" s="53">
        <v>0</v>
      </c>
      <c r="V54" s="53">
        <v>0</v>
      </c>
      <c r="W54" s="53">
        <v>0</v>
      </c>
      <c r="Y54" s="53">
        <v>0</v>
      </c>
      <c r="Z54" s="53">
        <v>0</v>
      </c>
      <c r="AA54" s="53">
        <v>0</v>
      </c>
      <c r="AB54" s="53">
        <v>0</v>
      </c>
      <c r="AD54" s="53">
        <v>0</v>
      </c>
      <c r="AE54" s="53">
        <v>0</v>
      </c>
      <c r="AF54" s="53">
        <v>0</v>
      </c>
      <c r="AG54" s="53">
        <v>0</v>
      </c>
      <c r="AI54" s="53">
        <v>0</v>
      </c>
      <c r="AJ54" s="53">
        <v>0</v>
      </c>
      <c r="AK54" s="53">
        <v>0</v>
      </c>
      <c r="AL54" s="53">
        <v>0</v>
      </c>
      <c r="AN54" s="53">
        <v>0</v>
      </c>
      <c r="AO54" s="53">
        <v>0</v>
      </c>
      <c r="AP54" s="53">
        <v>0</v>
      </c>
      <c r="AQ54" s="53">
        <v>0</v>
      </c>
      <c r="AS54" s="53">
        <v>0</v>
      </c>
      <c r="AT54" s="53">
        <v>0</v>
      </c>
      <c r="AU54" s="53">
        <v>0</v>
      </c>
      <c r="AV54" s="53">
        <v>0</v>
      </c>
      <c r="AX54" s="53">
        <v>0</v>
      </c>
      <c r="AY54" s="53">
        <v>0</v>
      </c>
      <c r="AZ54" s="53">
        <v>0</v>
      </c>
      <c r="BA54" s="53">
        <v>0</v>
      </c>
      <c r="BC54" s="53">
        <v>0</v>
      </c>
      <c r="BD54" s="53">
        <v>0</v>
      </c>
      <c r="BE54" s="53">
        <v>0</v>
      </c>
      <c r="BF54" s="53">
        <v>0</v>
      </c>
      <c r="BH54" s="53">
        <v>0</v>
      </c>
      <c r="BI54" s="53">
        <v>0</v>
      </c>
      <c r="BJ54" s="53">
        <v>0</v>
      </c>
      <c r="BK54" s="53">
        <v>0</v>
      </c>
      <c r="BM54" s="53">
        <v>0</v>
      </c>
      <c r="BN54" s="53">
        <v>0</v>
      </c>
      <c r="BO54" s="53">
        <v>0</v>
      </c>
      <c r="BP54" s="53">
        <v>0</v>
      </c>
      <c r="BR54" s="53">
        <v>0</v>
      </c>
      <c r="BS54" s="53">
        <v>0</v>
      </c>
      <c r="BT54" s="53">
        <v>0</v>
      </c>
      <c r="BV54" s="53">
        <v>0</v>
      </c>
      <c r="BW54" s="53">
        <v>0</v>
      </c>
      <c r="BX54" s="53">
        <v>0</v>
      </c>
      <c r="BY54" s="53">
        <v>0</v>
      </c>
      <c r="CA54" s="53">
        <v>0</v>
      </c>
      <c r="CB54" s="53">
        <v>0</v>
      </c>
      <c r="CC54" s="53">
        <v>0</v>
      </c>
      <c r="CE54" s="53">
        <v>0</v>
      </c>
      <c r="CF54" s="53">
        <v>0</v>
      </c>
      <c r="CG54" s="53">
        <v>0</v>
      </c>
      <c r="CI54" s="53">
        <v>0</v>
      </c>
      <c r="CJ54" s="53">
        <v>2148.0598880000002</v>
      </c>
      <c r="CK54" s="53">
        <v>5007.4675040000002</v>
      </c>
      <c r="CM54" s="53">
        <v>0</v>
      </c>
      <c r="CN54" s="53">
        <v>13770</v>
      </c>
      <c r="CO54" s="53">
        <v>27540</v>
      </c>
      <c r="CQ54" s="53">
        <v>0</v>
      </c>
      <c r="CR54" s="53">
        <v>9797.0999999999985</v>
      </c>
      <c r="CS54" s="53">
        <v>24760.5</v>
      </c>
      <c r="CU54" s="53">
        <v>0</v>
      </c>
      <c r="CV54" s="53">
        <v>6142.5</v>
      </c>
      <c r="CW54" s="53">
        <v>12285</v>
      </c>
      <c r="CY54" s="53">
        <v>0</v>
      </c>
      <c r="CZ54" s="53">
        <v>0</v>
      </c>
      <c r="DA54" s="53">
        <v>0</v>
      </c>
      <c r="DC54" s="53">
        <v>0</v>
      </c>
      <c r="DD54" s="53">
        <v>4633.0671162700219</v>
      </c>
      <c r="DE54" s="53">
        <v>15940.611667554265</v>
      </c>
      <c r="DG54" s="53">
        <v>0</v>
      </c>
      <c r="DH54" s="53">
        <v>0</v>
      </c>
      <c r="DI54" s="53">
        <v>0</v>
      </c>
      <c r="DJ54" s="53">
        <v>0</v>
      </c>
      <c r="DL54" s="53">
        <v>0</v>
      </c>
      <c r="DM54" s="53">
        <v>0</v>
      </c>
      <c r="DN54" s="53">
        <v>-728.31792295503976</v>
      </c>
      <c r="DP54" s="53">
        <v>0</v>
      </c>
      <c r="DQ54" s="53">
        <v>0</v>
      </c>
      <c r="DR54" s="53">
        <v>0</v>
      </c>
      <c r="DS54" s="53" t="e">
        <v>#N/A</v>
      </c>
      <c r="DU54" s="53">
        <v>0</v>
      </c>
      <c r="DV54" s="53">
        <v>0</v>
      </c>
      <c r="DW54" s="53">
        <v>0</v>
      </c>
      <c r="DX54" s="53">
        <v>0</v>
      </c>
      <c r="DZ54" s="53">
        <v>0</v>
      </c>
      <c r="EA54" s="53">
        <v>0</v>
      </c>
      <c r="EB54" s="53">
        <v>0</v>
      </c>
      <c r="EC54" s="53">
        <v>0</v>
      </c>
      <c r="EE54" s="53">
        <v>0</v>
      </c>
      <c r="EF54" s="53">
        <v>0</v>
      </c>
      <c r="EG54" s="53">
        <v>0</v>
      </c>
      <c r="EH54" s="53">
        <v>0</v>
      </c>
      <c r="EJ54" s="53">
        <v>0</v>
      </c>
      <c r="EK54" s="53">
        <v>0</v>
      </c>
      <c r="EL54" s="53">
        <v>0</v>
      </c>
      <c r="EM54" s="53">
        <v>0</v>
      </c>
      <c r="EO54" s="53">
        <v>0</v>
      </c>
      <c r="EP54" s="53">
        <v>0</v>
      </c>
      <c r="EQ54" s="53">
        <v>0</v>
      </c>
      <c r="ER54" s="53">
        <v>0</v>
      </c>
      <c r="ET54" s="53">
        <v>0</v>
      </c>
      <c r="EU54" s="53">
        <v>0</v>
      </c>
      <c r="EV54" s="53">
        <v>0</v>
      </c>
      <c r="EW54" s="53">
        <v>0</v>
      </c>
      <c r="EY54" s="53">
        <v>0</v>
      </c>
      <c r="EZ54" s="53">
        <v>0</v>
      </c>
      <c r="FA54" s="53">
        <v>0</v>
      </c>
      <c r="FB54" s="53">
        <v>0</v>
      </c>
    </row>
    <row r="55" spans="2:158" x14ac:dyDescent="0.25">
      <c r="B55" t="str">
        <v>JV2</v>
      </c>
      <c r="C55" t="str">
        <v>Center</v>
      </c>
      <c r="D55" t="str">
        <v>North Carolina</v>
      </c>
      <c r="E55" s="53">
        <v>0</v>
      </c>
      <c r="F55" s="53">
        <v>0</v>
      </c>
      <c r="G55" s="53">
        <v>0</v>
      </c>
      <c r="H55" s="53">
        <v>0</v>
      </c>
      <c r="J55" s="53">
        <v>0</v>
      </c>
      <c r="K55" s="53">
        <v>0</v>
      </c>
      <c r="L55" s="53">
        <v>0</v>
      </c>
      <c r="M55" s="53">
        <v>0</v>
      </c>
      <c r="O55" s="53">
        <v>0</v>
      </c>
      <c r="P55" s="53">
        <v>0</v>
      </c>
      <c r="Q55" s="53">
        <v>0</v>
      </c>
      <c r="R55" s="53">
        <v>0</v>
      </c>
      <c r="T55" s="53">
        <v>0</v>
      </c>
      <c r="U55" s="53">
        <v>0</v>
      </c>
      <c r="V55" s="53">
        <v>0</v>
      </c>
      <c r="W55" s="53">
        <v>0</v>
      </c>
      <c r="Y55" s="53">
        <v>0</v>
      </c>
      <c r="Z55" s="53">
        <v>0</v>
      </c>
      <c r="AA55" s="53">
        <v>0</v>
      </c>
      <c r="AB55" s="53">
        <v>0</v>
      </c>
      <c r="AD55" s="53">
        <v>0</v>
      </c>
      <c r="AE55" s="53">
        <v>0</v>
      </c>
      <c r="AF55" s="53">
        <v>0</v>
      </c>
      <c r="AG55" s="53">
        <v>0</v>
      </c>
      <c r="AI55" s="53">
        <v>0</v>
      </c>
      <c r="AJ55" s="53">
        <v>0</v>
      </c>
      <c r="AK55" s="53">
        <v>0</v>
      </c>
      <c r="AL55" s="53">
        <v>0</v>
      </c>
      <c r="AN55" s="53">
        <v>0</v>
      </c>
      <c r="AO55" s="53">
        <v>0</v>
      </c>
      <c r="AP55" s="53">
        <v>0</v>
      </c>
      <c r="AQ55" s="53">
        <v>0</v>
      </c>
      <c r="AS55" s="53">
        <v>0</v>
      </c>
      <c r="AT55" s="53">
        <v>0</v>
      </c>
      <c r="AU55" s="53">
        <v>0</v>
      </c>
      <c r="AV55" s="53">
        <v>0</v>
      </c>
      <c r="AX55" s="53">
        <v>0</v>
      </c>
      <c r="AY55" s="53">
        <v>0</v>
      </c>
      <c r="AZ55" s="53">
        <v>0</v>
      </c>
      <c r="BA55" s="53">
        <v>0</v>
      </c>
      <c r="BC55" s="53">
        <v>0</v>
      </c>
      <c r="BD55" s="53">
        <v>0</v>
      </c>
      <c r="BE55" s="53">
        <v>0</v>
      </c>
      <c r="BF55" s="53">
        <v>0</v>
      </c>
      <c r="BH55" s="53">
        <v>0</v>
      </c>
      <c r="BI55" s="53">
        <v>0</v>
      </c>
      <c r="BJ55" s="53">
        <v>0</v>
      </c>
      <c r="BK55" s="53">
        <v>0</v>
      </c>
      <c r="BM55" s="53">
        <v>0</v>
      </c>
      <c r="BN55" s="53">
        <v>0</v>
      </c>
      <c r="BO55" s="53">
        <v>0</v>
      </c>
      <c r="BP55" s="53">
        <v>0</v>
      </c>
      <c r="BR55" s="53">
        <v>0</v>
      </c>
      <c r="BS55" s="53">
        <v>0</v>
      </c>
      <c r="BT55" s="53">
        <v>0</v>
      </c>
      <c r="BV55" s="53">
        <v>0</v>
      </c>
      <c r="BW55" s="53">
        <v>0</v>
      </c>
      <c r="BX55" s="53">
        <v>0</v>
      </c>
      <c r="BY55" s="53">
        <v>0</v>
      </c>
      <c r="CA55" s="53">
        <v>0</v>
      </c>
      <c r="CB55" s="53">
        <v>0</v>
      </c>
      <c r="CC55" s="53">
        <v>0</v>
      </c>
      <c r="CE55" s="53">
        <v>0</v>
      </c>
      <c r="CF55" s="53">
        <v>0</v>
      </c>
      <c r="CG55" s="53">
        <v>0</v>
      </c>
      <c r="CI55" s="53">
        <v>0</v>
      </c>
      <c r="CJ55" s="53">
        <v>0</v>
      </c>
      <c r="CK55" s="53">
        <v>0</v>
      </c>
      <c r="CM55" s="53">
        <v>0</v>
      </c>
      <c r="CN55" s="53">
        <v>0</v>
      </c>
      <c r="CO55" s="53">
        <v>0</v>
      </c>
      <c r="CQ55" s="53">
        <v>0</v>
      </c>
      <c r="CR55" s="53">
        <v>0</v>
      </c>
      <c r="CS55" s="53">
        <v>0</v>
      </c>
      <c r="CU55" s="53">
        <v>0</v>
      </c>
      <c r="CV55" s="53">
        <v>0</v>
      </c>
      <c r="CW55" s="53">
        <v>0</v>
      </c>
      <c r="CY55" s="53">
        <v>0</v>
      </c>
      <c r="CZ55" s="53">
        <v>0</v>
      </c>
      <c r="DA55" s="53">
        <v>0</v>
      </c>
      <c r="DC55" s="53">
        <v>0</v>
      </c>
      <c r="DD55" s="53">
        <v>0</v>
      </c>
      <c r="DE55" s="53">
        <v>0</v>
      </c>
      <c r="DG55" s="53">
        <v>0</v>
      </c>
      <c r="DH55" s="53">
        <v>0</v>
      </c>
      <c r="DI55" s="53">
        <v>0</v>
      </c>
      <c r="DJ55" s="53">
        <v>0</v>
      </c>
      <c r="DL55" s="53">
        <v>0</v>
      </c>
      <c r="DM55" s="53">
        <v>0</v>
      </c>
      <c r="DN55" s="53">
        <v>0</v>
      </c>
      <c r="DP55" s="53">
        <v>0</v>
      </c>
      <c r="DQ55" s="53">
        <v>0</v>
      </c>
      <c r="DR55" s="53">
        <v>0</v>
      </c>
      <c r="DS55" s="53" t="e">
        <v>#N/A</v>
      </c>
      <c r="DU55" s="53">
        <v>0</v>
      </c>
      <c r="DV55" s="53">
        <v>0</v>
      </c>
      <c r="DW55" s="53">
        <v>0</v>
      </c>
      <c r="DX55" s="53">
        <v>0</v>
      </c>
      <c r="DZ55" s="53">
        <v>0</v>
      </c>
      <c r="EA55" s="53">
        <v>0</v>
      </c>
      <c r="EB55" s="53">
        <v>0</v>
      </c>
      <c r="EC55" s="53">
        <v>0</v>
      </c>
      <c r="EE55" s="53">
        <v>0</v>
      </c>
      <c r="EF55" s="53">
        <v>0</v>
      </c>
      <c r="EG55" s="53">
        <v>0</v>
      </c>
      <c r="EH55" s="53">
        <v>0</v>
      </c>
      <c r="EJ55" s="53">
        <v>0</v>
      </c>
      <c r="EK55" s="53">
        <v>0</v>
      </c>
      <c r="EL55" s="53">
        <v>0</v>
      </c>
      <c r="EM55" s="53">
        <v>0</v>
      </c>
      <c r="EO55" s="53">
        <v>0</v>
      </c>
      <c r="EP55" s="53">
        <v>0</v>
      </c>
      <c r="EQ55" s="53">
        <v>0</v>
      </c>
      <c r="ER55" s="53">
        <v>0</v>
      </c>
      <c r="ET55" s="53">
        <v>0</v>
      </c>
      <c r="EU55" s="53">
        <v>0</v>
      </c>
      <c r="EV55" s="53">
        <v>0</v>
      </c>
      <c r="EW55" s="53">
        <v>0</v>
      </c>
      <c r="EY55" s="53">
        <v>0</v>
      </c>
      <c r="EZ55" s="53">
        <v>0</v>
      </c>
      <c r="FA55" s="53">
        <v>0</v>
      </c>
      <c r="FB55" s="53">
        <v>0</v>
      </c>
    </row>
    <row r="58" spans="2:158" x14ac:dyDescent="0.25">
      <c r="K58" s="53"/>
      <c r="L58" s="53"/>
      <c r="M58" s="53"/>
      <c r="Y58" s="53"/>
      <c r="Z58" s="53"/>
      <c r="AA58" s="53"/>
      <c r="AB58" s="53"/>
      <c r="BH58" s="53"/>
      <c r="BI58" s="53"/>
      <c r="BJ58" s="53"/>
      <c r="BK58" s="53"/>
      <c r="DG58" t="s">
        <v>8</v>
      </c>
      <c r="DH58" t="s">
        <v>9</v>
      </c>
      <c r="DI58" t="s">
        <v>10</v>
      </c>
      <c r="DJ58" t="s">
        <v>11</v>
      </c>
    </row>
    <row r="59" spans="2:158" x14ac:dyDescent="0.25">
      <c r="J59" s="53"/>
      <c r="K59" s="53"/>
      <c r="L59" s="53"/>
      <c r="M59" s="53"/>
      <c r="Y59" s="53"/>
      <c r="Z59" s="53"/>
      <c r="AA59" s="53"/>
      <c r="AB59" s="53"/>
      <c r="BH59" s="53"/>
      <c r="BI59" s="53"/>
      <c r="BJ59" s="53"/>
      <c r="BK59" s="53"/>
      <c r="DK59" s="53"/>
    </row>
    <row r="60" spans="2:158" x14ac:dyDescent="0.25">
      <c r="J60" s="53"/>
      <c r="K60" s="53"/>
      <c r="L60" s="53"/>
      <c r="M60" s="53"/>
      <c r="Y60" s="53"/>
      <c r="Z60" s="53"/>
      <c r="AA60" s="53"/>
      <c r="AB60" s="53"/>
      <c r="BH60" s="53"/>
      <c r="BI60" s="53"/>
      <c r="BJ60" s="53"/>
      <c r="BK60" s="53"/>
      <c r="BV60" s="53"/>
      <c r="BW60" s="53"/>
      <c r="BX60" s="53"/>
      <c r="BY60" s="53"/>
      <c r="DK60" s="53"/>
    </row>
    <row r="61" spans="2:158" x14ac:dyDescent="0.25">
      <c r="J61" s="53"/>
      <c r="K61" s="53"/>
      <c r="L61" s="53"/>
      <c r="M61" s="53"/>
      <c r="Y61" s="53"/>
      <c r="Z61" s="53"/>
      <c r="AA61" s="53"/>
      <c r="AB61" s="53"/>
      <c r="BH61" s="53"/>
      <c r="BI61" s="53"/>
      <c r="BJ61" s="53"/>
      <c r="BK61" s="53"/>
      <c r="BV61" s="53"/>
      <c r="BW61" s="53"/>
      <c r="BX61" s="53"/>
      <c r="BY61" s="53"/>
      <c r="DK61" s="180"/>
    </row>
    <row r="62" spans="2:158" x14ac:dyDescent="0.25">
      <c r="B62" t="s">
        <v>38</v>
      </c>
      <c r="D62" cm="1">
        <f t="array" ref="D62:O62">_xlfn.CHOOSECOLS(_xlfn.BYCOL(_xlfn._xlws.FILTER(_xlfn.VSTACK('MS:NCA9'!$E$23:$AN$23),(_xlfn.ANCHORARRAY(D4)=B62)*(_xlfn.ANCHORARRAY(C4)=B63)),_xlfn.LAMBDA(_xlpm.a,SUM(_xlpm.a))),_xlfn.SEQUENCE(1,12))</f>
        <v>1910.1866666666663</v>
      </c>
      <c r="E62">
        <v>2013.4399999999996</v>
      </c>
      <c r="F62">
        <v>2116.6933333333332</v>
      </c>
      <c r="G62">
        <v>2219.9466666666663</v>
      </c>
      <c r="H62">
        <v>2271.5733333333328</v>
      </c>
      <c r="I62">
        <v>2374.8266666666664</v>
      </c>
      <c r="J62" s="53">
        <v>2478.08</v>
      </c>
      <c r="K62" s="53">
        <v>2581.333333333333</v>
      </c>
      <c r="L62" s="53">
        <v>2684.5866666666661</v>
      </c>
      <c r="M62" s="53">
        <v>2736.2133333333331</v>
      </c>
      <c r="N62">
        <v>2839.4666666666662</v>
      </c>
      <c r="O62">
        <v>2942.7199999999993</v>
      </c>
      <c r="Y62" s="53"/>
      <c r="Z62" s="53"/>
      <c r="AA62" s="53"/>
      <c r="AB62" s="53"/>
      <c r="BH62" s="53"/>
      <c r="BI62" s="53"/>
      <c r="BJ62" s="53"/>
      <c r="BK62" s="53"/>
      <c r="BV62" s="180"/>
      <c r="BW62" s="180"/>
      <c r="BX62" s="180"/>
      <c r="BY62" s="180"/>
      <c r="DK62" s="53"/>
    </row>
    <row r="63" spans="2:158" x14ac:dyDescent="0.25">
      <c r="B63" t="s">
        <v>408</v>
      </c>
      <c r="J63" s="53"/>
      <c r="K63" s="53"/>
      <c r="L63" s="53"/>
      <c r="M63" s="53"/>
      <c r="Y63" s="53"/>
      <c r="Z63" s="53"/>
      <c r="AA63" s="53"/>
      <c r="AB63" s="53"/>
      <c r="BH63" s="53"/>
      <c r="BI63" s="53"/>
      <c r="BJ63" s="53"/>
      <c r="BK63" s="53"/>
      <c r="BV63" s="53"/>
      <c r="BW63" s="53"/>
      <c r="BX63" s="53"/>
      <c r="BY63" s="53"/>
      <c r="DK63" s="53"/>
    </row>
    <row r="64" spans="2:158" x14ac:dyDescent="0.25">
      <c r="J64" s="53"/>
      <c r="K64" s="53"/>
      <c r="L64" s="53"/>
      <c r="M64" s="53"/>
      <c r="Y64" s="53"/>
      <c r="Z64" s="53">
        <f t="shared" ref="Z64:AB64" si="0">Z58+Z59</f>
        <v>0</v>
      </c>
      <c r="AA64" s="53">
        <f t="shared" si="0"/>
        <v>0</v>
      </c>
      <c r="AB64" s="53">
        <f t="shared" si="0"/>
        <v>0</v>
      </c>
      <c r="BH64" s="53"/>
      <c r="BI64" s="53"/>
      <c r="BJ64" s="53"/>
      <c r="BK64" s="53"/>
      <c r="BV64" s="53"/>
      <c r="BW64" s="53"/>
      <c r="BX64" s="53"/>
      <c r="BY64" s="53"/>
      <c r="DK64" s="53"/>
    </row>
    <row r="65" spans="10:115" x14ac:dyDescent="0.25">
      <c r="J65" s="53"/>
      <c r="K65" s="53"/>
      <c r="L65" s="53"/>
      <c r="M65" s="53"/>
      <c r="Y65" s="53"/>
      <c r="Z65" s="53"/>
      <c r="AA65" s="53"/>
      <c r="AB65" s="53"/>
      <c r="BH65" s="53"/>
      <c r="BI65" s="53"/>
      <c r="BJ65" s="53"/>
      <c r="BK65" s="53"/>
      <c r="BV65" s="53"/>
      <c r="BW65" s="53"/>
      <c r="BX65" s="53"/>
      <c r="BY65" s="53"/>
      <c r="DK65" s="180"/>
    </row>
    <row r="66" spans="10:115" x14ac:dyDescent="0.25">
      <c r="J66" s="53"/>
      <c r="K66" s="53"/>
      <c r="L66" s="53"/>
      <c r="M66" s="53"/>
      <c r="Y66" s="53"/>
      <c r="Z66" s="53">
        <f t="shared" ref="Z66:AB66" si="1">Z60+Z61+Z62</f>
        <v>0</v>
      </c>
      <c r="AA66" s="53">
        <f t="shared" si="1"/>
        <v>0</v>
      </c>
      <c r="AB66" s="53">
        <f t="shared" si="1"/>
        <v>0</v>
      </c>
      <c r="BH66" s="53"/>
      <c r="BI66" s="53"/>
      <c r="BJ66" s="53"/>
      <c r="BK66" s="53"/>
      <c r="BV66" s="180"/>
      <c r="BW66" s="180"/>
      <c r="BX66" s="180"/>
      <c r="BY66" s="180"/>
    </row>
    <row r="68" spans="10:115" x14ac:dyDescent="0.25">
      <c r="J68" s="53"/>
      <c r="K68" s="53"/>
      <c r="L68" s="53"/>
      <c r="M68" s="53"/>
    </row>
    <row r="69" spans="10:115" x14ac:dyDescent="0.25">
      <c r="J69" s="53"/>
      <c r="K69" s="53"/>
      <c r="L69" s="53"/>
      <c r="M69" s="53"/>
    </row>
    <row r="70" spans="10:115" x14ac:dyDescent="0.25">
      <c r="J70" s="53"/>
      <c r="K70" s="53"/>
      <c r="L70" s="53"/>
      <c r="M70" s="5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32D1-61E5-4C10-B7D0-6064D27CF882}">
  <sheetPr>
    <tabColor theme="9" tint="-0.249977111117893"/>
  </sheetPr>
  <dimension ref="A1:FS108"/>
  <sheetViews>
    <sheetView workbookViewId="0">
      <pane xSplit="9" ySplit="3" topLeftCell="EH37" activePane="bottomRight" state="frozen"/>
      <selection pane="topRight" activeCell="I1" sqref="I1"/>
      <selection pane="bottomLeft" activeCell="A4" sqref="A4"/>
      <selection pane="bottomRight" activeCell="EJ57" sqref="EJ57"/>
    </sheetView>
  </sheetViews>
  <sheetFormatPr defaultRowHeight="15" outlineLevelCol="1" x14ac:dyDescent="0.25"/>
  <cols>
    <col min="2" max="2" width="14.140625" bestFit="1" customWidth="1"/>
    <col min="3" max="3" width="18.85546875" bestFit="1" customWidth="1"/>
    <col min="4" max="4" width="9" bestFit="1" customWidth="1"/>
    <col min="6" max="6" width="4.7109375" customWidth="1"/>
    <col min="7" max="7" width="9.42578125" customWidth="1"/>
    <col min="8" max="8" width="7.5703125" bestFit="1" customWidth="1"/>
    <col min="9" max="9" width="13.85546875" bestFit="1" customWidth="1"/>
    <col min="10" max="10" width="13.7109375" customWidth="1" outlineLevel="1"/>
    <col min="11" max="12" width="9" customWidth="1" outlineLevel="1"/>
    <col min="13" max="13" width="4.7109375" customWidth="1"/>
    <col min="14" max="16" width="8" customWidth="1" outlineLevel="1"/>
    <col min="17" max="17" width="4.7109375" customWidth="1"/>
    <col min="18" max="20" width="8" customWidth="1" outlineLevel="1"/>
    <col min="21" max="21" width="4.7109375" customWidth="1"/>
    <col min="22" max="24" width="8" customWidth="1" outlineLevel="1"/>
    <col min="25" max="25" width="4.7109375" customWidth="1"/>
    <col min="26" max="28" width="8" customWidth="1" outlineLevel="1"/>
    <col min="29" max="29" width="4.7109375" customWidth="1"/>
    <col min="30" max="32" width="8" customWidth="1" outlineLevel="1"/>
    <col min="33" max="33" width="4.7109375" customWidth="1"/>
    <col min="34" max="36" width="8" customWidth="1" outlineLevel="1"/>
    <col min="37" max="37" width="4.7109375" customWidth="1"/>
    <col min="38" max="40" width="8" customWidth="1" outlineLevel="1"/>
    <col min="41" max="41" width="4.7109375" customWidth="1"/>
    <col min="42" max="44" width="8" customWidth="1" outlineLevel="1"/>
    <col min="45" max="45" width="4.7109375" customWidth="1"/>
    <col min="46" max="48" width="11.5703125" bestFit="1" customWidth="1" outlineLevel="1"/>
    <col min="49" max="49" width="4.7109375" customWidth="1"/>
    <col min="50" max="50" width="11.5703125" bestFit="1" customWidth="1" outlineLevel="1"/>
    <col min="51" max="52" width="11.5703125" customWidth="1" outlineLevel="1"/>
    <col min="53" max="53" width="4.7109375" customWidth="1"/>
    <col min="54" max="56" width="11.5703125" customWidth="1" outlineLevel="1"/>
    <col min="57" max="57" width="4.7109375" customWidth="1"/>
    <col min="58" max="60" width="11.5703125" customWidth="1" outlineLevel="1"/>
    <col min="61" max="61" width="4.7109375" customWidth="1"/>
    <col min="62" max="64" width="11.5703125" customWidth="1" outlineLevel="1"/>
    <col min="65" max="65" width="4.7109375" customWidth="1"/>
    <col min="66" max="68" width="11.5703125" customWidth="1" outlineLevel="1"/>
    <col min="69" max="69" width="4.7109375" customWidth="1"/>
    <col min="70" max="72" width="11.5703125" customWidth="1" outlineLevel="1"/>
    <col min="73" max="73" width="4.7109375" customWidth="1"/>
    <col min="74" max="76" width="11.5703125" customWidth="1" outlineLevel="1"/>
    <col min="77" max="77" width="4.7109375" customWidth="1"/>
    <col min="78" max="80" width="11.5703125" customWidth="1" outlineLevel="1"/>
    <col min="81" max="81" width="4.7109375" customWidth="1"/>
    <col min="82" max="84" width="11.5703125" customWidth="1" outlineLevel="1"/>
    <col min="85" max="85" width="4.7109375" customWidth="1"/>
    <col min="86" max="88" width="11.5703125" customWidth="1" outlineLevel="1"/>
    <col min="89" max="89" width="4.7109375" customWidth="1"/>
    <col min="90" max="92" width="11.5703125" customWidth="1" outlineLevel="1"/>
    <col min="93" max="93" width="4.7109375" customWidth="1"/>
    <col min="94" max="96" width="11.5703125" customWidth="1" outlineLevel="1"/>
    <col min="97" max="97" width="4.7109375" customWidth="1"/>
    <col min="98" max="100" width="11.5703125" customWidth="1" outlineLevel="1"/>
    <col min="101" max="101" width="4.7109375" customWidth="1"/>
    <col min="102" max="104" width="11.5703125" customWidth="1" outlineLevel="1"/>
    <col min="105" max="105" width="4.7109375" customWidth="1"/>
    <col min="106" max="108" width="11.5703125" customWidth="1" outlineLevel="1"/>
    <col min="109" max="109" width="4.7109375" customWidth="1"/>
    <col min="110" max="112" width="11.5703125" customWidth="1" outlineLevel="1"/>
    <col min="113" max="113" width="4.7109375" customWidth="1"/>
    <col min="114" max="116" width="11.5703125" customWidth="1" outlineLevel="1"/>
    <col min="117" max="117" width="4.7109375" customWidth="1"/>
    <col min="118" max="120" width="11.5703125" customWidth="1" outlineLevel="1"/>
    <col min="121" max="121" width="4.7109375" customWidth="1"/>
    <col min="122" max="124" width="11.5703125" customWidth="1" outlineLevel="1"/>
    <col min="125" max="125" width="4.7109375" customWidth="1"/>
    <col min="126" max="128" width="11.5703125" customWidth="1" outlineLevel="1"/>
    <col min="129" max="129" width="4.7109375" customWidth="1"/>
    <col min="130" max="132" width="11.5703125" customWidth="1" outlineLevel="1"/>
    <col min="133" max="133" width="4.7109375" customWidth="1"/>
    <col min="134" max="136" width="11.5703125" customWidth="1" outlineLevel="1"/>
    <col min="137" max="137" width="4.7109375" customWidth="1"/>
    <col min="138" max="140" width="11.5703125" customWidth="1" outlineLevel="1"/>
    <col min="141" max="141" width="4.7109375" customWidth="1"/>
    <col min="142" max="144" width="12.28515625" bestFit="1" customWidth="1" outlineLevel="1"/>
    <col min="145" max="145" width="4.7109375" customWidth="1"/>
    <col min="146" max="146" width="12.28515625" bestFit="1" customWidth="1" outlineLevel="1"/>
    <col min="147" max="148" width="11.5703125" customWidth="1" outlineLevel="1"/>
    <col min="149" max="149" width="4.7109375" customWidth="1"/>
    <col min="150" max="150" width="12.28515625" bestFit="1" customWidth="1" outlineLevel="1"/>
    <col min="151" max="152" width="11.5703125" customWidth="1" outlineLevel="1"/>
    <col min="153" max="153" width="4.7109375" customWidth="1"/>
    <col min="154" max="154" width="12.28515625" bestFit="1" customWidth="1" outlineLevel="1"/>
    <col min="155" max="156" width="11.5703125" customWidth="1" outlineLevel="1"/>
    <col min="157" max="157" width="4.7109375" customWidth="1"/>
    <col min="158" max="158" width="12.28515625" bestFit="1" customWidth="1" outlineLevel="1"/>
    <col min="159" max="160" width="11.5703125" customWidth="1" outlineLevel="1"/>
    <col min="162" max="162" width="10.7109375" bestFit="1" customWidth="1"/>
    <col min="163" max="163" width="19.85546875" bestFit="1" customWidth="1"/>
    <col min="164" max="175" width="10.7109375" bestFit="1" customWidth="1"/>
    <col min="16277" max="16277" width="9.140625" bestFit="1" customWidth="1"/>
    <col min="16278" max="16282" width="9.140625" customWidth="1"/>
  </cols>
  <sheetData>
    <row r="1" spans="1:175" x14ac:dyDescent="0.25">
      <c r="G1" s="85" t="s">
        <v>61</v>
      </c>
      <c r="H1" s="85" t="s">
        <v>63</v>
      </c>
      <c r="I1" s="85" t="s">
        <v>62</v>
      </c>
      <c r="J1" s="119" t="s">
        <v>55</v>
      </c>
      <c r="K1" s="119"/>
      <c r="L1" s="119"/>
      <c r="N1" s="119" t="s">
        <v>36</v>
      </c>
      <c r="O1" s="119"/>
      <c r="P1" s="119"/>
      <c r="R1" s="119" t="s">
        <v>39</v>
      </c>
      <c r="S1" s="119"/>
      <c r="T1" s="119"/>
      <c r="V1" s="119" t="s">
        <v>445</v>
      </c>
      <c r="W1" s="119"/>
      <c r="X1" s="119"/>
      <c r="Z1" s="119" t="s">
        <v>364</v>
      </c>
      <c r="AA1" s="119"/>
      <c r="AB1" s="119"/>
      <c r="AD1" s="119" t="s">
        <v>56</v>
      </c>
      <c r="AE1" s="119"/>
      <c r="AF1" s="119"/>
      <c r="AH1" s="119" t="s">
        <v>317</v>
      </c>
      <c r="AI1" s="119"/>
      <c r="AJ1" s="119"/>
      <c r="AL1" s="119" t="s">
        <v>66</v>
      </c>
      <c r="AM1" s="119"/>
      <c r="AN1" s="119"/>
      <c r="AP1" s="119" t="s">
        <v>318</v>
      </c>
      <c r="AQ1" s="119"/>
      <c r="AR1" s="119"/>
      <c r="AT1" s="119" t="s">
        <v>60</v>
      </c>
      <c r="AU1" s="119"/>
      <c r="AV1" s="119"/>
      <c r="AX1" s="119" t="s">
        <v>319</v>
      </c>
      <c r="AY1" s="119"/>
      <c r="AZ1" s="119"/>
      <c r="BB1" s="119" t="s">
        <v>357</v>
      </c>
      <c r="BC1" s="119"/>
      <c r="BD1" s="119"/>
      <c r="BF1" s="119" t="s">
        <v>358</v>
      </c>
      <c r="BG1" s="119"/>
      <c r="BH1" s="119"/>
      <c r="BJ1" s="119" t="s">
        <v>111</v>
      </c>
      <c r="BK1" s="119"/>
      <c r="BL1" s="119"/>
      <c r="BN1" s="119" t="s">
        <v>112</v>
      </c>
      <c r="BO1" s="119"/>
      <c r="BP1" s="119"/>
      <c r="BR1" s="119" t="s">
        <v>113</v>
      </c>
      <c r="BS1" s="119"/>
      <c r="BT1" s="119"/>
      <c r="BV1" s="119" t="s">
        <v>114</v>
      </c>
      <c r="BW1" s="119"/>
      <c r="BX1" s="119"/>
      <c r="BZ1" s="119" t="s">
        <v>115</v>
      </c>
      <c r="CA1" s="119"/>
      <c r="CB1" s="119"/>
      <c r="CD1" s="119" t="s">
        <v>116</v>
      </c>
      <c r="CE1" s="119"/>
      <c r="CF1" s="119"/>
      <c r="CH1" s="119" t="s">
        <v>117</v>
      </c>
      <c r="CI1" s="119"/>
      <c r="CJ1" s="119"/>
      <c r="CL1" s="119" t="s">
        <v>118</v>
      </c>
      <c r="CM1" s="119"/>
      <c r="CN1" s="119"/>
      <c r="CP1" s="119" t="s">
        <v>59</v>
      </c>
      <c r="CQ1" s="119"/>
      <c r="CR1" s="119"/>
      <c r="CT1" s="119" t="s">
        <v>320</v>
      </c>
      <c r="CU1" s="119"/>
      <c r="CV1" s="119"/>
      <c r="CX1" s="119" t="s">
        <v>359</v>
      </c>
      <c r="CY1" s="119"/>
      <c r="CZ1" s="119"/>
      <c r="DB1" s="119" t="s">
        <v>28</v>
      </c>
      <c r="DC1" s="119"/>
      <c r="DD1" s="119"/>
      <c r="DF1" s="119" t="s">
        <v>31</v>
      </c>
      <c r="DG1" s="119"/>
      <c r="DH1" s="119"/>
      <c r="DJ1" s="119" t="s">
        <v>34</v>
      </c>
      <c r="DK1" s="119"/>
      <c r="DL1" s="119"/>
      <c r="DN1" s="119" t="s">
        <v>37</v>
      </c>
      <c r="DO1" s="119"/>
      <c r="DP1" s="119"/>
      <c r="DR1" s="119" t="s">
        <v>40</v>
      </c>
      <c r="DS1" s="119"/>
      <c r="DT1" s="119"/>
      <c r="DV1" s="119" t="s">
        <v>42</v>
      </c>
      <c r="DW1" s="119"/>
      <c r="DX1" s="119"/>
      <c r="DZ1" s="119" t="s">
        <v>360</v>
      </c>
      <c r="EA1" s="119"/>
      <c r="EB1" s="119"/>
      <c r="ED1" s="119" t="s">
        <v>44</v>
      </c>
      <c r="EE1" s="119"/>
      <c r="EF1" s="119"/>
      <c r="EH1" s="119" t="s">
        <v>361</v>
      </c>
      <c r="EI1" s="119"/>
      <c r="EJ1" s="119"/>
      <c r="EL1" s="119" t="s">
        <v>345</v>
      </c>
      <c r="EM1" s="119"/>
      <c r="EN1" s="119"/>
      <c r="EP1" s="119" t="s">
        <v>342</v>
      </c>
      <c r="EQ1" s="119"/>
      <c r="ER1" s="119"/>
      <c r="ET1" s="119" t="s">
        <v>362</v>
      </c>
      <c r="EU1" s="119"/>
      <c r="EV1" s="119"/>
      <c r="EX1" s="119" t="s">
        <v>363</v>
      </c>
      <c r="EY1" s="119"/>
      <c r="EZ1" s="119"/>
      <c r="FB1" s="119" t="s">
        <v>365</v>
      </c>
      <c r="FC1" s="119"/>
      <c r="FD1" s="119"/>
      <c r="FG1" t="s">
        <v>29</v>
      </c>
      <c r="FH1">
        <f>SUM(FM1:FM3)</f>
        <v>13780.909999999996</v>
      </c>
      <c r="FI1">
        <f>SUM(FN1:FN3)</f>
        <v>24360.89</v>
      </c>
      <c r="FJ1">
        <f>SUM(FO1:FO3)</f>
        <v>31332.220000000008</v>
      </c>
      <c r="FK1">
        <f>SUM(FP1:FP3)</f>
        <v>41373.040000000008</v>
      </c>
      <c r="FM1" cm="1">
        <f t="array" ref="FM1">SUM(_xlfn._xlws.FILTER(FH$5:FJ$56,_xlfn.ANCHORARRAY($FF$4)=$FG1,0))</f>
        <v>13780.909999999996</v>
      </c>
      <c r="FN1" cm="1">
        <f t="array" ref="FN1">SUM(_xlfn._xlws.FILTER(FK$5:FM$56,_xlfn.ANCHORARRAY($FF$4)=$FG1,0))</f>
        <v>24360.89</v>
      </c>
      <c r="FO1" cm="1">
        <f t="array" ref="FO1">SUM(_xlfn._xlws.FILTER(FN$5:FP$56,_xlfn.ANCHORARRAY($FF$4)=$FG1,0))</f>
        <v>31332.220000000008</v>
      </c>
      <c r="FP1" cm="1">
        <f t="array" ref="FP1">SUM(_xlfn._xlws.FILTER(FQ$5:FS$56,_xlfn.ANCHORARRAY($FF$4)=$FG1,0))</f>
        <v>41373.040000000008</v>
      </c>
    </row>
    <row r="2" spans="1:175" x14ac:dyDescent="0.25">
      <c r="B2" s="227" t="s">
        <v>307</v>
      </c>
      <c r="C2" s="227"/>
      <c r="D2" s="227"/>
      <c r="E2" s="227"/>
      <c r="G2" s="85" t="s">
        <v>61</v>
      </c>
      <c r="H2" s="85" t="s">
        <v>63</v>
      </c>
      <c r="I2" s="85" t="s">
        <v>62</v>
      </c>
      <c r="J2" cm="1">
        <f t="array" ref="J2:L2">_xlfn.SEQUENCE(1,3,0)*12+1</f>
        <v>1</v>
      </c>
      <c r="K2" s="1">
        <v>13</v>
      </c>
      <c r="L2" s="1">
        <v>25</v>
      </c>
      <c r="N2" cm="1">
        <f t="array" ref="N2:P2">_xlfn.ANCHORARRAY($J2)</f>
        <v>1</v>
      </c>
      <c r="O2" s="1">
        <v>13</v>
      </c>
      <c r="P2" s="1">
        <v>25</v>
      </c>
      <c r="R2" cm="1">
        <f t="array" ref="R2:T2">_xlfn.ANCHORARRAY($J2)</f>
        <v>1</v>
      </c>
      <c r="S2" s="1">
        <v>13</v>
      </c>
      <c r="T2" s="1">
        <v>25</v>
      </c>
      <c r="V2" cm="1">
        <f t="array" ref="V2:X2">_xlfn.ANCHORARRAY($J2)</f>
        <v>1</v>
      </c>
      <c r="W2" s="1">
        <v>13</v>
      </c>
      <c r="X2" s="1">
        <v>25</v>
      </c>
      <c r="Z2" cm="1">
        <f t="array" ref="Z2:AB2">_xlfn.ANCHORARRAY($J2)</f>
        <v>1</v>
      </c>
      <c r="AA2" s="1">
        <v>13</v>
      </c>
      <c r="AB2" s="1">
        <v>25</v>
      </c>
      <c r="AD2" cm="1">
        <f t="array" ref="AD2:AF2">_xlfn.ANCHORARRAY($J2)</f>
        <v>1</v>
      </c>
      <c r="AE2" s="1">
        <v>13</v>
      </c>
      <c r="AF2" s="1">
        <v>25</v>
      </c>
      <c r="AH2" cm="1">
        <f t="array" ref="AH2:AJ2">_xlfn.ANCHORARRAY($J2)</f>
        <v>1</v>
      </c>
      <c r="AI2" s="1">
        <v>13</v>
      </c>
      <c r="AJ2" s="1">
        <v>25</v>
      </c>
      <c r="AL2" cm="1">
        <f t="array" ref="AL2:AN2">_xlfn.ANCHORARRAY($J2)</f>
        <v>1</v>
      </c>
      <c r="AM2" s="1">
        <v>13</v>
      </c>
      <c r="AN2" s="1">
        <v>25</v>
      </c>
      <c r="AP2" cm="1">
        <f t="array" ref="AP2:AR2">_xlfn.ANCHORARRAY($J2)</f>
        <v>1</v>
      </c>
      <c r="AQ2" s="1">
        <v>13</v>
      </c>
      <c r="AR2" s="1">
        <v>25</v>
      </c>
      <c r="AT2" cm="1">
        <f t="array" ref="AT2:AV2">_xlfn.ANCHORARRAY($J2)</f>
        <v>1</v>
      </c>
      <c r="AU2" s="1">
        <v>13</v>
      </c>
      <c r="AV2" s="1">
        <v>25</v>
      </c>
      <c r="AX2" cm="1">
        <f t="array" ref="AX2:AZ2">_xlfn.ANCHORARRAY($J2)</f>
        <v>1</v>
      </c>
      <c r="AY2" s="1">
        <v>13</v>
      </c>
      <c r="AZ2" s="1">
        <v>25</v>
      </c>
      <c r="BB2" cm="1">
        <f t="array" ref="BB2:BD2">_xlfn.ANCHORARRAY($J2)</f>
        <v>1</v>
      </c>
      <c r="BC2" s="1">
        <v>13</v>
      </c>
      <c r="BD2" s="1">
        <v>25</v>
      </c>
      <c r="BF2" cm="1">
        <f t="array" ref="BF2:BH2">_xlfn.ANCHORARRAY($J2)</f>
        <v>1</v>
      </c>
      <c r="BG2" s="1">
        <v>13</v>
      </c>
      <c r="BH2" s="1">
        <v>25</v>
      </c>
      <c r="BJ2" cm="1">
        <f t="array" ref="BJ2:BL2">_xlfn.ANCHORARRAY($J2)</f>
        <v>1</v>
      </c>
      <c r="BK2" s="1">
        <v>13</v>
      </c>
      <c r="BL2" s="1">
        <v>25</v>
      </c>
      <c r="BN2" cm="1">
        <f t="array" ref="BN2:BP2">_xlfn.ANCHORARRAY($J2)</f>
        <v>1</v>
      </c>
      <c r="BO2" s="1">
        <v>13</v>
      </c>
      <c r="BP2" s="1">
        <v>25</v>
      </c>
      <c r="BR2" cm="1">
        <f t="array" ref="BR2:BT2">_xlfn.ANCHORARRAY($J2)</f>
        <v>1</v>
      </c>
      <c r="BS2" s="1">
        <v>13</v>
      </c>
      <c r="BT2" s="1">
        <v>25</v>
      </c>
      <c r="BV2" cm="1">
        <f t="array" ref="BV2:BX2">_xlfn.ANCHORARRAY($J2)</f>
        <v>1</v>
      </c>
      <c r="BW2" s="1">
        <v>13</v>
      </c>
      <c r="BX2" s="1">
        <v>25</v>
      </c>
      <c r="BZ2" cm="1">
        <f t="array" ref="BZ2:CB2">_xlfn.ANCHORARRAY($J2)</f>
        <v>1</v>
      </c>
      <c r="CA2" s="1">
        <v>13</v>
      </c>
      <c r="CB2" s="1">
        <v>25</v>
      </c>
      <c r="CD2" cm="1">
        <f t="array" ref="CD2:CF2">_xlfn.ANCHORARRAY($J2)</f>
        <v>1</v>
      </c>
      <c r="CE2" s="1">
        <v>13</v>
      </c>
      <c r="CF2" s="1">
        <v>25</v>
      </c>
      <c r="CH2" cm="1">
        <f t="array" ref="CH2:CJ2">_xlfn.ANCHORARRAY($J2)</f>
        <v>1</v>
      </c>
      <c r="CI2" s="1">
        <v>13</v>
      </c>
      <c r="CJ2" s="1">
        <v>25</v>
      </c>
      <c r="CL2" cm="1">
        <f t="array" ref="CL2:CN2">_xlfn.ANCHORARRAY($J2)</f>
        <v>1</v>
      </c>
      <c r="CM2" s="1">
        <v>13</v>
      </c>
      <c r="CN2" s="1">
        <v>25</v>
      </c>
      <c r="CP2" cm="1">
        <f t="array" ref="CP2:CR2">_xlfn.ANCHORARRAY($J2)</f>
        <v>1</v>
      </c>
      <c r="CQ2" s="1">
        <v>13</v>
      </c>
      <c r="CR2" s="1">
        <v>25</v>
      </c>
      <c r="CT2" cm="1">
        <f t="array" ref="CT2:CV2">_xlfn.ANCHORARRAY($J2)</f>
        <v>1</v>
      </c>
      <c r="CU2" s="1">
        <v>13</v>
      </c>
      <c r="CV2" s="1">
        <v>25</v>
      </c>
      <c r="CX2" cm="1">
        <f t="array" ref="CX2:CZ2">_xlfn.ANCHORARRAY($J2)</f>
        <v>1</v>
      </c>
      <c r="CY2" s="1">
        <v>13</v>
      </c>
      <c r="CZ2" s="1">
        <v>25</v>
      </c>
      <c r="DB2" cm="1">
        <f t="array" ref="DB2:DD2">_xlfn.ANCHORARRAY($J2)</f>
        <v>1</v>
      </c>
      <c r="DC2" s="1">
        <v>13</v>
      </c>
      <c r="DD2" s="1">
        <v>25</v>
      </c>
      <c r="DF2" cm="1">
        <f t="array" ref="DF2:DH2">_xlfn.ANCHORARRAY($J2)</f>
        <v>1</v>
      </c>
      <c r="DG2" s="1">
        <v>13</v>
      </c>
      <c r="DH2" s="1">
        <v>25</v>
      </c>
      <c r="DJ2" cm="1">
        <f t="array" ref="DJ2:DL2">_xlfn.ANCHORARRAY($J2)</f>
        <v>1</v>
      </c>
      <c r="DK2" s="1">
        <v>13</v>
      </c>
      <c r="DL2" s="1">
        <v>25</v>
      </c>
      <c r="DN2" cm="1">
        <f t="array" ref="DN2:DP2">_xlfn.ANCHORARRAY($J2)</f>
        <v>1</v>
      </c>
      <c r="DO2" s="1">
        <v>13</v>
      </c>
      <c r="DP2" s="1">
        <v>25</v>
      </c>
      <c r="DR2" cm="1">
        <f t="array" ref="DR2:DT2">_xlfn.ANCHORARRAY($J2)</f>
        <v>1</v>
      </c>
      <c r="DS2" s="1">
        <v>13</v>
      </c>
      <c r="DT2" s="1">
        <v>25</v>
      </c>
      <c r="DV2" cm="1">
        <f t="array" ref="DV2:DX2">_xlfn.ANCHORARRAY($J2)</f>
        <v>1</v>
      </c>
      <c r="DW2" s="1">
        <v>13</v>
      </c>
      <c r="DX2" s="1">
        <v>25</v>
      </c>
      <c r="DZ2" cm="1">
        <f t="array" ref="DZ2:EB2">_xlfn.ANCHORARRAY($J2)</f>
        <v>1</v>
      </c>
      <c r="EA2" s="1">
        <v>13</v>
      </c>
      <c r="EB2" s="1">
        <v>25</v>
      </c>
      <c r="ED2" cm="1">
        <f t="array" ref="ED2:EF2">_xlfn.ANCHORARRAY($J2)</f>
        <v>1</v>
      </c>
      <c r="EE2" s="1">
        <v>13</v>
      </c>
      <c r="EF2" s="1">
        <v>25</v>
      </c>
      <c r="EH2" cm="1">
        <f t="array" ref="EH2:EJ2">_xlfn.ANCHORARRAY($J2)</f>
        <v>1</v>
      </c>
      <c r="EI2" s="1">
        <v>13</v>
      </c>
      <c r="EJ2" s="1">
        <v>25</v>
      </c>
      <c r="EL2" cm="1">
        <f t="array" ref="EL2:EN2">_xlfn.ANCHORARRAY($J2)</f>
        <v>1</v>
      </c>
      <c r="EM2" s="1">
        <v>13</v>
      </c>
      <c r="EN2" s="1">
        <v>25</v>
      </c>
      <c r="EP2" cm="1">
        <f t="array" ref="EP2:ER2">_xlfn.ANCHORARRAY($J2)</f>
        <v>1</v>
      </c>
      <c r="EQ2" s="1">
        <v>13</v>
      </c>
      <c r="ER2" s="1">
        <v>25</v>
      </c>
      <c r="ET2" cm="1">
        <f t="array" ref="ET2:EV2">_xlfn.ANCHORARRAY($J2)</f>
        <v>1</v>
      </c>
      <c r="EU2" s="1">
        <v>13</v>
      </c>
      <c r="EV2" s="1">
        <v>25</v>
      </c>
      <c r="EX2" cm="1">
        <f t="array" ref="EX2:EZ2">_xlfn.ANCHORARRAY($J2)</f>
        <v>1</v>
      </c>
      <c r="EY2" s="1">
        <v>13</v>
      </c>
      <c r="EZ2" s="1">
        <v>25</v>
      </c>
      <c r="FB2" cm="1">
        <f t="array" ref="FB2:FD2">_xlfn.ANCHORARRAY($J2)</f>
        <v>1</v>
      </c>
      <c r="FC2" s="1">
        <v>13</v>
      </c>
      <c r="FD2" s="1">
        <v>25</v>
      </c>
      <c r="FG2" t="s">
        <v>45</v>
      </c>
      <c r="FM2" cm="1">
        <f t="array" ref="FM2">SUM(_xlfn._xlws.FILTER(FH$5:FJ$56,_xlfn.ANCHORARRAY($FF$4)=$FG2,0))</f>
        <v>0</v>
      </c>
      <c r="FN2" cm="1">
        <f t="array" ref="FN2">SUM(_xlfn._xlws.FILTER(FK$5:FM$56,_xlfn.ANCHORARRAY($FF$4)=$FG2,0))</f>
        <v>0</v>
      </c>
      <c r="FO2" cm="1">
        <f t="array" ref="FO2">SUM(_xlfn._xlws.FILTER(FN$5:FP$56,_xlfn.ANCHORARRAY($FF$4)=$FG2,0))</f>
        <v>0</v>
      </c>
      <c r="FP2" cm="1">
        <f t="array" ref="FP2">SUM(_xlfn._xlws.FILTER(FQ$5:FS$56,_xlfn.ANCHORARRAY($FF$4)=$FG2,0))</f>
        <v>0</v>
      </c>
    </row>
    <row r="3" spans="1:175" x14ac:dyDescent="0.25">
      <c r="B3" s="85" t="s">
        <v>62</v>
      </c>
      <c r="C3" s="85" t="s">
        <v>68</v>
      </c>
      <c r="D3" s="85" t="s">
        <v>310</v>
      </c>
      <c r="E3" s="85" t="s">
        <v>311</v>
      </c>
      <c r="G3" s="85" t="s">
        <v>61</v>
      </c>
      <c r="H3" s="85" t="s">
        <v>63</v>
      </c>
      <c r="I3" s="85" t="s">
        <v>62</v>
      </c>
      <c r="J3" s="85" cm="1">
        <f t="array" ref="J3:L3">_xlfn.SEQUENCE(1,3,2026)</f>
        <v>2026</v>
      </c>
      <c r="K3" s="85">
        <v>2027</v>
      </c>
      <c r="L3" s="85">
        <v>2028</v>
      </c>
      <c r="N3" s="85" cm="1">
        <f t="array" ref="N3:P3">_xlfn.ANCHORARRAY($J3)</f>
        <v>2026</v>
      </c>
      <c r="O3" s="85">
        <v>2027</v>
      </c>
      <c r="P3" s="85">
        <v>2028</v>
      </c>
      <c r="R3" s="85" cm="1">
        <f t="array" ref="R3:T3">_xlfn.ANCHORARRAY($J3)</f>
        <v>2026</v>
      </c>
      <c r="S3" s="85">
        <v>2027</v>
      </c>
      <c r="T3" s="85">
        <v>2028</v>
      </c>
      <c r="V3" s="85" cm="1">
        <f t="array" ref="V3:X3">_xlfn.ANCHORARRAY($J3)</f>
        <v>2026</v>
      </c>
      <c r="W3" s="85">
        <v>2027</v>
      </c>
      <c r="X3" s="85">
        <v>2028</v>
      </c>
      <c r="Z3" s="85" cm="1">
        <f t="array" ref="Z3:AB3">_xlfn.ANCHORARRAY($J3)</f>
        <v>2026</v>
      </c>
      <c r="AA3" s="85">
        <v>2027</v>
      </c>
      <c r="AB3" s="85">
        <v>2028</v>
      </c>
      <c r="AD3" s="85" cm="1">
        <f t="array" ref="AD3:AF3">_xlfn.ANCHORARRAY($J3)</f>
        <v>2026</v>
      </c>
      <c r="AE3" s="85">
        <v>2027</v>
      </c>
      <c r="AF3" s="85">
        <v>2028</v>
      </c>
      <c r="AH3" s="85" cm="1">
        <f t="array" ref="AH3:AJ3">_xlfn.ANCHORARRAY($J3)</f>
        <v>2026</v>
      </c>
      <c r="AI3" s="85">
        <v>2027</v>
      </c>
      <c r="AJ3" s="85">
        <v>2028</v>
      </c>
      <c r="AL3" s="85" cm="1">
        <f t="array" ref="AL3:AN3">_xlfn.ANCHORARRAY($J3)</f>
        <v>2026</v>
      </c>
      <c r="AM3" s="85">
        <v>2027</v>
      </c>
      <c r="AN3" s="85">
        <v>2028</v>
      </c>
      <c r="AP3" s="85" cm="1">
        <f t="array" ref="AP3:AR3">_xlfn.ANCHORARRAY($J3)</f>
        <v>2026</v>
      </c>
      <c r="AQ3" s="85">
        <v>2027</v>
      </c>
      <c r="AR3" s="85">
        <v>2028</v>
      </c>
      <c r="AT3" s="85" cm="1">
        <f t="array" ref="AT3:AV3">_xlfn.ANCHORARRAY($J3)</f>
        <v>2026</v>
      </c>
      <c r="AU3" s="85">
        <v>2027</v>
      </c>
      <c r="AV3" s="85">
        <v>2028</v>
      </c>
      <c r="AX3" s="85" cm="1">
        <f t="array" ref="AX3:AZ3">_xlfn.ANCHORARRAY($J3)</f>
        <v>2026</v>
      </c>
      <c r="AY3" s="85">
        <v>2027</v>
      </c>
      <c r="AZ3" s="85">
        <v>2028</v>
      </c>
      <c r="BB3" s="85" cm="1">
        <f t="array" ref="BB3:BD3">_xlfn.ANCHORARRAY($J3)</f>
        <v>2026</v>
      </c>
      <c r="BC3" s="85">
        <v>2027</v>
      </c>
      <c r="BD3" s="85">
        <v>2028</v>
      </c>
      <c r="BF3" s="85" cm="1">
        <f t="array" ref="BF3:BH3">_xlfn.ANCHORARRAY($J3)</f>
        <v>2026</v>
      </c>
      <c r="BG3" s="85">
        <v>2027</v>
      </c>
      <c r="BH3" s="85">
        <v>2028</v>
      </c>
      <c r="BJ3" s="85" cm="1">
        <f t="array" ref="BJ3:BL3">_xlfn.ANCHORARRAY($J3)</f>
        <v>2026</v>
      </c>
      <c r="BK3" s="85">
        <v>2027</v>
      </c>
      <c r="BL3" s="85">
        <v>2028</v>
      </c>
      <c r="BN3" s="85" cm="1">
        <f t="array" ref="BN3:BP3">_xlfn.ANCHORARRAY($J3)</f>
        <v>2026</v>
      </c>
      <c r="BO3" s="85">
        <v>2027</v>
      </c>
      <c r="BP3" s="85">
        <v>2028</v>
      </c>
      <c r="BR3" s="85" cm="1">
        <f t="array" ref="BR3:BT3">_xlfn.ANCHORARRAY($J3)</f>
        <v>2026</v>
      </c>
      <c r="BS3" s="85">
        <v>2027</v>
      </c>
      <c r="BT3" s="85">
        <v>2028</v>
      </c>
      <c r="BV3" s="85" cm="1">
        <f t="array" ref="BV3:BX3">_xlfn.ANCHORARRAY($J3)</f>
        <v>2026</v>
      </c>
      <c r="BW3" s="85">
        <v>2027</v>
      </c>
      <c r="BX3" s="85">
        <v>2028</v>
      </c>
      <c r="BZ3" s="85" cm="1">
        <f t="array" ref="BZ3:CB3">_xlfn.ANCHORARRAY($J3)</f>
        <v>2026</v>
      </c>
      <c r="CA3" s="85">
        <v>2027</v>
      </c>
      <c r="CB3" s="85">
        <v>2028</v>
      </c>
      <c r="CD3" s="85" cm="1">
        <f t="array" ref="CD3:CF3">_xlfn.ANCHORARRAY($J3)</f>
        <v>2026</v>
      </c>
      <c r="CE3" s="85">
        <v>2027</v>
      </c>
      <c r="CF3" s="85">
        <v>2028</v>
      </c>
      <c r="CH3" s="85" cm="1">
        <f t="array" ref="CH3:CJ3">_xlfn.ANCHORARRAY($J3)</f>
        <v>2026</v>
      </c>
      <c r="CI3" s="85">
        <v>2027</v>
      </c>
      <c r="CJ3" s="85">
        <v>2028</v>
      </c>
      <c r="CL3" s="85" cm="1">
        <f t="array" ref="CL3:CN3">_xlfn.ANCHORARRAY($J3)</f>
        <v>2026</v>
      </c>
      <c r="CM3" s="85">
        <v>2027</v>
      </c>
      <c r="CN3" s="85">
        <v>2028</v>
      </c>
      <c r="CP3" s="85" cm="1">
        <f t="array" ref="CP3:CR3">_xlfn.ANCHORARRAY($J3)</f>
        <v>2026</v>
      </c>
      <c r="CQ3" s="85">
        <v>2027</v>
      </c>
      <c r="CR3" s="85">
        <v>2028</v>
      </c>
      <c r="CT3" s="85" cm="1">
        <f t="array" ref="CT3:CV3">_xlfn.ANCHORARRAY($J3)</f>
        <v>2026</v>
      </c>
      <c r="CU3" s="85">
        <v>2027</v>
      </c>
      <c r="CV3" s="85">
        <v>2028</v>
      </c>
      <c r="CX3" s="85" cm="1">
        <f t="array" ref="CX3:CZ3">_xlfn.ANCHORARRAY($J3)</f>
        <v>2026</v>
      </c>
      <c r="CY3" s="85">
        <v>2027</v>
      </c>
      <c r="CZ3" s="85">
        <v>2028</v>
      </c>
      <c r="DB3" s="85" cm="1">
        <f t="array" ref="DB3:DD3">_xlfn.ANCHORARRAY($J3)</f>
        <v>2026</v>
      </c>
      <c r="DC3" s="85">
        <v>2027</v>
      </c>
      <c r="DD3" s="85">
        <v>2028</v>
      </c>
      <c r="DF3" s="85" cm="1">
        <f t="array" ref="DF3:DH3">_xlfn.ANCHORARRAY($J3)</f>
        <v>2026</v>
      </c>
      <c r="DG3" s="85">
        <v>2027</v>
      </c>
      <c r="DH3" s="85">
        <v>2028</v>
      </c>
      <c r="DJ3" s="85" cm="1">
        <f t="array" ref="DJ3:DL3">_xlfn.ANCHORARRAY($J3)</f>
        <v>2026</v>
      </c>
      <c r="DK3" s="85">
        <v>2027</v>
      </c>
      <c r="DL3" s="85">
        <v>2028</v>
      </c>
      <c r="DN3" s="85" cm="1">
        <f t="array" ref="DN3:DP3">_xlfn.ANCHORARRAY($J3)</f>
        <v>2026</v>
      </c>
      <c r="DO3" s="85">
        <v>2027</v>
      </c>
      <c r="DP3" s="85">
        <v>2028</v>
      </c>
      <c r="DR3" s="85" cm="1">
        <f t="array" ref="DR3:DT3">_xlfn.ANCHORARRAY($J3)</f>
        <v>2026</v>
      </c>
      <c r="DS3" s="85">
        <v>2027</v>
      </c>
      <c r="DT3" s="85">
        <v>2028</v>
      </c>
      <c r="DV3" s="85" cm="1">
        <f t="array" ref="DV3:DX3">_xlfn.ANCHORARRAY($J3)</f>
        <v>2026</v>
      </c>
      <c r="DW3" s="85">
        <v>2027</v>
      </c>
      <c r="DX3" s="85">
        <v>2028</v>
      </c>
      <c r="DZ3" s="85" cm="1">
        <f t="array" ref="DZ3:EB3">_xlfn.ANCHORARRAY($J3)</f>
        <v>2026</v>
      </c>
      <c r="EA3" s="85">
        <v>2027</v>
      </c>
      <c r="EB3" s="85">
        <v>2028</v>
      </c>
      <c r="ED3" s="85" cm="1">
        <f t="array" ref="ED3:EF3">_xlfn.ANCHORARRAY($J3)</f>
        <v>2026</v>
      </c>
      <c r="EE3" s="85">
        <v>2027</v>
      </c>
      <c r="EF3" s="85">
        <v>2028</v>
      </c>
      <c r="EH3" s="85" cm="1">
        <f t="array" ref="EH3:EJ3">_xlfn.ANCHORARRAY($J3)</f>
        <v>2026</v>
      </c>
      <c r="EI3" s="85">
        <v>2027</v>
      </c>
      <c r="EJ3" s="85">
        <v>2028</v>
      </c>
      <c r="EL3" s="85" cm="1">
        <f t="array" ref="EL3:EN3">_xlfn.ANCHORARRAY($J3)</f>
        <v>2026</v>
      </c>
      <c r="EM3" s="85">
        <v>2027</v>
      </c>
      <c r="EN3" s="85">
        <v>2028</v>
      </c>
      <c r="EP3" s="85" cm="1">
        <f t="array" ref="EP3:ER3">_xlfn.ANCHORARRAY($J3)</f>
        <v>2026</v>
      </c>
      <c r="EQ3" s="85">
        <v>2027</v>
      </c>
      <c r="ER3" s="85">
        <v>2028</v>
      </c>
      <c r="ET3" s="85" cm="1">
        <f t="array" ref="ET3:EV3">_xlfn.ANCHORARRAY($J3)</f>
        <v>2026</v>
      </c>
      <c r="EU3" s="85">
        <v>2027</v>
      </c>
      <c r="EV3" s="85">
        <v>2028</v>
      </c>
      <c r="EX3" s="85" cm="1">
        <f t="array" ref="EX3:EZ3">_xlfn.ANCHORARRAY($J3)</f>
        <v>2026</v>
      </c>
      <c r="EY3" s="85">
        <v>2027</v>
      </c>
      <c r="EZ3" s="85">
        <v>2028</v>
      </c>
      <c r="FB3" s="85" cm="1">
        <f t="array" ref="FB3:FD3">_xlfn.ANCHORARRAY($J3)</f>
        <v>2026</v>
      </c>
      <c r="FC3" s="85">
        <v>2027</v>
      </c>
      <c r="FD3" s="85">
        <v>2028</v>
      </c>
      <c r="FL3" s="1"/>
      <c r="FM3" cm="1">
        <f t="array" ref="FM3">SUM(_xlfn._xlws.FILTER(FH$5:FJ$56,_xlfn.ANCHORARRAY($FF$4)=$FG3,0))</f>
        <v>0</v>
      </c>
      <c r="FN3" cm="1">
        <f t="array" ref="FN3">SUM(_xlfn._xlws.FILTER(FK$5:FM$56,_xlfn.ANCHORARRAY($FF$4)=$FG3,0))</f>
        <v>0</v>
      </c>
      <c r="FO3" cm="1">
        <f t="array" ref="FO3">SUM(_xlfn._xlws.FILTER(FN$5:FP$56,_xlfn.ANCHORARRAY($FF$4)=$FG3,0))</f>
        <v>0</v>
      </c>
      <c r="FP3" cm="1">
        <f t="array" ref="FP3">SUM(_xlfn._xlws.FILTER(FQ$5:FS$56,_xlfn.ANCHORARRAY($FF$4)=$FG3,0))</f>
        <v>0</v>
      </c>
    </row>
    <row r="4" spans="1:175" x14ac:dyDescent="0.25">
      <c r="A4" s="117"/>
      <c r="B4" t="str" cm="1">
        <f t="array" ref="B4:E32">_xlfn.LET(_xlpm.builds,_xlfn.CHOOSECOLS(TRANSPOSE(Base!D2:BD5),{1,3,4}),_xlpm.Centers,_xlfn._xlws.FILTER(_xlpm.builds,ISNUMBER(SEARCH("Center",_xlfn.CHOOSECOLS(_xlpm.builds,2))),""),
_xlpm.data,_xlfn.HSTACK(_xlfn.CHOOSECOLS(_xlpm.Centers,1,2),YEAR(_xlfn.CHOOSECOLS(_xlpm.Centers,3)),MONTH(_xlfn.CHOOSECOLS(_xlpm.Centers,3))),
_xlfn._xlws.SORT(_xlfn._xlws.SORT(_xlfn._xlws.SORT(_xlpm.data,4),3),1))</f>
        <v>Maryland</v>
      </c>
      <c r="C4" s="116" t="str">
        <v>MDA1-Center</v>
      </c>
      <c r="D4" s="3">
        <v>2021</v>
      </c>
      <c r="E4">
        <v>1</v>
      </c>
      <c r="G4" t="str" cm="1">
        <f t="array" ref="G4:G55">_xlfn.XLOOKUP(_xlfn.ANCHORARRAY(I4),{"M&amp;A","New Jersey","Arizona","Maryland","North Carolina"},{"JV1","JV1","JV2","JV2","JV2"},0,0)</f>
        <v>JV1</v>
      </c>
      <c r="H4" t="str" cm="1">
        <f t="array" ref="H4:H55">_xlfn.VSTACK('MS:NCA9'!$C$1)</f>
        <v>M&amp;A</v>
      </c>
      <c r="I4" t="str" cm="1">
        <f t="array" ref="I4:I55">_xlfn.VSTACK('MS:NCA9'!$B$2)</f>
        <v>M&amp;A</v>
      </c>
      <c r="J4" s="53" cm="1">
        <f t="array" ref="J4:L55">_xlfn.LET(_xlpm.bill_hours,_xlfn.VSTACK('MS:NCA9'!$E$23:$AN$23),_xlfn.HSTACK(
_xlfn.BYROW(_xlpm.bill_hours,_xlfn.LAMBDA(_xlpm.row,SUM(_xlfn.CHOOSECOLS(_xlpm.row,_xlfn.SEQUENCE(12,1,J$2))))),
_xlfn.BYROW(_xlpm.bill_hours,_xlfn.LAMBDA(_xlpm.row,SUM(_xlfn.CHOOSECOLS(_xlpm.row,_xlfn.SEQUENCE(12,1,K$2))))),
_xlfn.BYROW(_xlpm.bill_hours,_xlfn.LAMBDA(_xlpm.row,SUM(_xlfn.CHOOSECOLS(_xlpm.row,_xlfn.SEQUENCE(12,1,L$2)))))))</f>
        <v>212288.85333333333</v>
      </c>
      <c r="K4" s="53">
        <v>293652.47999999998</v>
      </c>
      <c r="L4" s="53">
        <v>309760</v>
      </c>
      <c r="N4" s="53" cm="1">
        <f t="array" ref="N4:P55">_xlfn.LET(_xlpm.bill_hours,_xlfn.VSTACK('MS:NCA9'!$E$7:$AN$7),_xlfn.HSTACK(
_xlfn.BYROW(_xlpm.bill_hours,_xlfn.LAMBDA(_xlpm.row,MAX(_xlfn.CHOOSECOLS(_xlpm.row,_xlfn.SEQUENCE(12,1,N$2))))),
_xlfn.BYROW(_xlpm.bill_hours,_xlfn.LAMBDA(_xlpm.row,MAX(_xlfn.CHOOSECOLS(_xlpm.row,_xlfn.SEQUENCE(12,1,O$2))))),
_xlfn.BYROW(_xlpm.bill_hours,_xlfn.LAMBDA(_xlpm.row,MAX(_xlfn.CHOOSECOLS(_xlpm.row,_xlfn.SEQUENCE(12,1,P$2)))))))</f>
        <v>0</v>
      </c>
      <c r="O4" s="53">
        <v>0</v>
      </c>
      <c r="P4" s="53">
        <v>0</v>
      </c>
      <c r="R4" s="53" cm="1">
        <f t="array" ref="R4:T55">_xlfn.LET(_xlpm.bill_hours,_xlfn.VSTACK('MS:NCA9'!$E$8:$AN$8),_xlfn.HSTACK(
_xlfn.BYROW(_xlpm.bill_hours,_xlfn.LAMBDA(_xlpm.row,MAX(_xlfn.CHOOSECOLS(_xlpm.row,_xlfn.SEQUENCE(12,1,R$2))))),
_xlfn.BYROW(_xlpm.bill_hours,_xlfn.LAMBDA(_xlpm.row,MAX(_xlfn.CHOOSECOLS(_xlpm.row,_xlfn.SEQUENCE(12,1,S$2))))),
_xlfn.BYROW(_xlpm.bill_hours,_xlfn.LAMBDA(_xlpm.row,MAX(_xlfn.CHOOSECOLS(_xlpm.row,_xlfn.SEQUENCE(12,1,T$2)))))))</f>
        <v>0</v>
      </c>
      <c r="S4" s="53">
        <v>0</v>
      </c>
      <c r="T4" s="53">
        <v>0</v>
      </c>
      <c r="V4" s="53" cm="1">
        <f t="array" ref="V4:X55">_xlfn.LET(_xlpm.bill_hours,_xlfn.VSTACK('MS:NCA9'!$E$21:$AN$21),_xlfn.HSTACK(
_xlfn.BYROW(_xlpm.bill_hours,_xlfn.LAMBDA(_xlpm.row,MAX(_xlfn.CHOOSECOLS(_xlpm.row,_xlfn.SEQUENCE(12,1,V$2))))),
_xlfn.BYROW(_xlpm.bill_hours,_xlfn.LAMBDA(_xlpm.row,MAX(_xlfn.CHOOSECOLS(_xlpm.row,_xlfn.SEQUENCE(12,1,W$2))))),
_xlfn.BYROW(_xlpm.bill_hours,_xlfn.LAMBDA(_xlpm.row,MAX(_xlfn.CHOOSECOLS(_xlpm.row,_xlfn.SEQUENCE(12,1,X$2)))))))</f>
        <v>0</v>
      </c>
      <c r="W4" s="53">
        <v>0</v>
      </c>
      <c r="X4" s="53">
        <v>0</v>
      </c>
      <c r="Z4" s="53" cm="1">
        <f t="array" ref="Z4:AB55">_xlfn.LET(_xlpm.bill_hours,_xlfn.VSTACK('MS:NCA9'!$E$6:$AN$6)-_xlfn.VSTACK('MS:NCA9'!$E$21:$AN$21),_xlfn.HSTACK(
_xlfn.BYROW(_xlpm.bill_hours,_xlfn.LAMBDA(_xlpm.row,MAX(_xlfn.CHOOSECOLS(_xlpm.row,_xlfn.SEQUENCE(12,1,Z$2))))),
_xlfn.BYROW(_xlpm.bill_hours,_xlfn.LAMBDA(_xlpm.row,MAX(_xlfn.CHOOSECOLS(_xlpm.row,_xlfn.SEQUENCE(12,1,AA$2))))),
_xlfn.BYROW(_xlpm.bill_hours,_xlfn.LAMBDA(_xlpm.row,MAX(_xlfn.CHOOSECOLS(_xlpm.row,_xlfn.SEQUENCE(12,1,AB$2)))))))</f>
        <v>0</v>
      </c>
      <c r="AA4" s="53">
        <v>0</v>
      </c>
      <c r="AB4" s="53">
        <v>0</v>
      </c>
      <c r="AD4" s="53" cm="1">
        <f t="array" ref="AD4:AF55">_xlfn.LET(_xlpm.bill_hours,_xlfn.VSTACK('MS:NCA9'!$E$1:$AN$1),_xlfn.HSTACK(
_xlfn.BYROW(_xlpm.bill_hours,_xlfn.LAMBDA(_xlpm.row,MAX(_xlfn.CHOOSECOLS(_xlpm.row,_xlfn.SEQUENCE(12,1,AD$2))))),
_xlfn.BYROW(_xlpm.bill_hours,_xlfn.LAMBDA(_xlpm.row,MAX(_xlfn.CHOOSECOLS(_xlpm.row,_xlfn.SEQUENCE(12,1,AE$2))))),
_xlfn.BYROW(_xlpm.bill_hours,_xlfn.LAMBDA(_xlpm.row,MAX(_xlfn.CHOOSECOLS(_xlpm.row,_xlfn.SEQUENCE(12,1,AF$2)))))))</f>
        <v>448</v>
      </c>
      <c r="AE4" s="53">
        <v>496</v>
      </c>
      <c r="AF4" s="53">
        <v>500</v>
      </c>
      <c r="AH4" s="53" cm="1">
        <f t="array" ref="AH4:AJ55">_xlfn.LET(_xlpm.bill_hours,_xlfn.VSTACK('MS:NCA9'!$E$2:$AN$2),
_xlfn.HSTACK(_xlfn.BYROW(_xlpm.bill_hours,_xlfn.LAMBDA(_xlpm.row,SUM(_xlfn.CHOOSECOLS(_xlpm.row,_xlfn.SEQUENCE(12,1,AH$2))))),
_xlfn.BYROW(_xlpm.bill_hours,_xlfn.LAMBDA(_xlpm.row,SUM(_xlfn.CHOOSECOLS(_xlpm.row,_xlfn.SEQUENCE(12,1,AI$2))))),
_xlfn.BYROW(_xlpm.bill_hours,_xlfn.LAMBDA(_xlpm.row,SUM(_xlfn.CHOOSECOLS(_xlpm.row,_xlfn.SEQUENCE(12,1,AJ$2)))))))</f>
        <v>0</v>
      </c>
      <c r="AI4" s="53">
        <v>0</v>
      </c>
      <c r="AJ4" s="53">
        <v>0</v>
      </c>
      <c r="AL4" s="53" cm="1">
        <f t="array" ref="AL4:AN55">_xlfn.LET(_xlpm.bill_hours,_xlfn.VSTACK('MS:NCA9'!$E$3:$AN$3),_xlfn.HSTACK(
_xlfn.BYROW(_xlpm.bill_hours,_xlfn.LAMBDA(_xlpm.row,SUM(_xlfn.CHOOSECOLS(_xlpm.row,_xlfn.SEQUENCE(12,1,AL$2))))),
_xlfn.BYROW(_xlpm.bill_hours,_xlfn.LAMBDA(_xlpm.row,SUM(_xlfn.CHOOSECOLS(_xlpm.row,_xlfn.SEQUENCE(12,1,AM$2))))),
_xlfn.BYROW(_xlpm.bill_hours,_xlfn.LAMBDA(_xlpm.row,SUM(_xlfn.CHOOSECOLS(_xlpm.row,_xlfn.SEQUENCE(12,1,AN$2)))))))</f>
        <v>0</v>
      </c>
      <c r="AM4" s="53">
        <v>0</v>
      </c>
      <c r="AN4" s="53">
        <v>0</v>
      </c>
      <c r="AP4" s="53" cm="1">
        <f t="array" ref="AP4:AP55">_xlfn.BYROW(_xlfn.VSTACK('MS:NCA9'!$E$3:$AN$3),_xlfn.LAMBDA(_xlpm.row,SUM(_xlfn.CHOOSECOLS(_xlpm.row,_xlfn.SEQUENCE(12,1,AP$2)))))+
_xlfn.BYROW(_xlfn.VSTACK('MS:NCA9'!$E$1:$AN$1),_xlfn.LAMBDA(_xlpm.row,MAX(_xlfn.CHOOSECOLS(_xlpm.row,_xlfn.SEQUENCE(12,1,AP$2)))))</f>
        <v>448</v>
      </c>
      <c r="AQ4" s="53" cm="1">
        <f t="array" ref="AQ4:AQ55">_xlfn.BYROW(_xlfn.VSTACK('MS:NCA9'!$E$3:$AN$3),_xlfn.LAMBDA(_xlpm.row,SUM(_xlfn.CHOOSECOLS(_xlpm.row,_xlfn.SEQUENCE(12,1,AQ$2)))))+
_xlfn.BYROW(_xlfn.VSTACK('MS:NCA9'!$E$1:$AN$1),_xlfn.LAMBDA(_xlpm.row,MAX(_xlfn.CHOOSECOLS(_xlpm.row,_xlfn.SEQUENCE(12,1,AQ$2)))))</f>
        <v>496</v>
      </c>
      <c r="AR4" s="53" cm="1">
        <f t="array" ref="AR4:AR55">_xlfn.BYROW(_xlfn.VSTACK('MS:NCA9'!$E$3:$AN$3),_xlfn.LAMBDA(_xlpm.row,SUM(_xlfn.CHOOSECOLS(_xlpm.row,_xlfn.SEQUENCE(12,1,AR$2)))))+
_xlfn.BYROW(_xlfn.VSTACK('MS:NCA9'!$E$1:$AN$1),_xlfn.LAMBDA(_xlpm.row,MAX(_xlfn.CHOOSECOLS(_xlpm.row,_xlfn.SEQUENCE(12,1,AR$2)))))</f>
        <v>500</v>
      </c>
      <c r="AT4" s="53" cm="1">
        <f t="array" ref="AT4:AV55">_xlfn.LET(_xlpm.bill_hours,_xlfn.VSTACK('MS:NCA9'!$E$55:$AN$55),_xlfn.HSTACK(
_xlfn.BYROW(_xlpm.bill_hours,_xlfn.LAMBDA(_xlpm.row,SUM(_xlfn.CHOOSECOLS(_xlpm.row,_xlfn.SEQUENCE(12,1,AT$2))))),
_xlfn.BYROW(_xlpm.bill_hours,_xlfn.LAMBDA(_xlpm.row,SUM(_xlfn.CHOOSECOLS(_xlpm.row,_xlfn.SEQUENCE(12,1,AU$2))))),
_xlfn.BYROW(_xlpm.bill_hours,_xlfn.LAMBDA(_xlpm.row,SUM(_xlfn.CHOOSECOLS(_xlpm.row,_xlfn.SEQUENCE(12,1,AV$2)))))))</f>
        <v>400000</v>
      </c>
      <c r="AU4" s="53">
        <v>0</v>
      </c>
      <c r="AV4" s="53">
        <v>0</v>
      </c>
      <c r="AX4" s="53" cm="1">
        <f t="array" ref="AX4:AZ55">_xlfn.ANCHORARRAY(BJ4)+_xlfn.ANCHORARRAY(BN4)+_xlfn.ANCHORARRAY(BR4)+_xlfn.ANCHORARRAY(BV4)+_xlfn.ANCHORARRAY(BZ4)</f>
        <v>38430224.293333329</v>
      </c>
      <c r="AY4" s="53">
        <v>54754097.581199989</v>
      </c>
      <c r="AZ4" s="53">
        <v>57757486.899999991</v>
      </c>
      <c r="BB4" s="53" cm="1">
        <f t="array" ref="BB4:BD55">_xlfn.LET(_xlpm.bill_hours,_xlfn.VSTACK('MS:NCA9'!$E$37:$AN$37),_xlfn.HSTACK(
_xlfn.BYROW(_xlpm.bill_hours,_xlfn.LAMBDA(_xlpm.row,SUM(_xlfn.CHOOSECOLS(_xlpm.row,_xlfn.SEQUENCE(12,1,BB$2))))),
_xlfn.BYROW(_xlpm.bill_hours,_xlfn.LAMBDA(_xlpm.row,SUM(_xlfn.CHOOSECOLS(_xlpm.row,_xlfn.SEQUENCE(12,1,BC$2))))),
_xlfn.BYROW(_xlpm.bill_hours,_xlfn.LAMBDA(_xlpm.row,SUM(_xlfn.CHOOSECOLS(_xlpm.row,_xlfn.SEQUENCE(12,1,BD$2)))))))</f>
        <v>33818597.378133327</v>
      </c>
      <c r="BC4" s="53">
        <v>48183605.871455997</v>
      </c>
      <c r="BD4" s="53">
        <v>50826588.471999973</v>
      </c>
      <c r="BF4" s="53" cm="1">
        <f t="array" ref="BF4:BH55">_xlfn.LET(_xlpm.bill_hours,_xlfn.VSTACK('MS:NCA9'!$E$35:$AN$35),_xlfn.HSTACK(
_xlfn.BYROW(_xlpm.bill_hours,_xlfn.LAMBDA(_xlpm.row,SUM(_xlfn.CHOOSECOLS(_xlpm.row,_xlfn.SEQUENCE(12,1,BF$2))))),
_xlfn.BYROW(_xlpm.bill_hours,_xlfn.LAMBDA(_xlpm.row,SUM(_xlfn.CHOOSECOLS(_xlpm.row,_xlfn.SEQUENCE(12,1,BG$2))))),
_xlfn.BYROW(_xlpm.bill_hours,_xlfn.LAMBDA(_xlpm.row,SUM(_xlfn.CHOOSECOLS(_xlpm.row,_xlfn.SEQUENCE(12,1,BH$2)))))))</f>
        <v>-4611626.9151999988</v>
      </c>
      <c r="BG4" s="53">
        <v>-6570491.709743998</v>
      </c>
      <c r="BH4" s="53">
        <v>-6930898.4279999984</v>
      </c>
      <c r="BJ4" s="53" cm="1">
        <f t="array" ref="BJ4:BL55">_xlfn.LET(_xlpm.bill_hours,_xlfn.VSTACK('MS:NCA9'!$E$26:$AN$26),_xlfn.HSTACK(
_xlfn.BYROW(_xlpm.bill_hours,_xlfn.LAMBDA(_xlpm.row,SUM(_xlfn.CHOOSECOLS(_xlpm.row,_xlfn.SEQUENCE(12,1,BJ$2))))),
_xlfn.BYROW(_xlpm.bill_hours,_xlfn.LAMBDA(_xlpm.row,SUM(_xlfn.CHOOSECOLS(_xlpm.row,_xlfn.SEQUENCE(12,1,BK$2))))),
_xlfn.BYROW(_xlpm.bill_hours,_xlfn.LAMBDA(_xlpm.row,SUM(_xlfn.CHOOSECOLS(_xlpm.row,_xlfn.SEQUENCE(12,1,BL$2)))))))</f>
        <v>32552743.946666662</v>
      </c>
      <c r="BK4" s="53">
        <v>46380060.261599995</v>
      </c>
      <c r="BL4" s="53">
        <v>48924114.199999996</v>
      </c>
      <c r="BN4" s="53" cm="1">
        <f t="array" ref="BN4:BP55">_xlfn.LET(_xlpm.bill_hours,_xlfn.VSTACK('MS:NCA9'!$E$27:$AN$27),_xlfn.HSTACK(
_xlfn.BYROW(_xlpm.bill_hours,_xlfn.LAMBDA(_xlpm.row,SUM(_xlfn.CHOOSECOLS(_xlpm.row,_xlfn.SEQUENCE(12,1,BN$2))))),
_xlfn.BYROW(_xlpm.bill_hours,_xlfn.LAMBDA(_xlpm.row,SUM(_xlfn.CHOOSECOLS(_xlpm.row,_xlfn.SEQUENCE(12,1,BO$2))))),
_xlfn.BYROW(_xlpm.bill_hours,_xlfn.LAMBDA(_xlpm.row,SUM(_xlfn.CHOOSECOLS(_xlpm.row,_xlfn.SEQUENCE(12,1,BP$2)))))))</f>
        <v>0</v>
      </c>
      <c r="BO4" s="53">
        <v>0</v>
      </c>
      <c r="BP4" s="53">
        <v>0</v>
      </c>
      <c r="BR4" s="53" cm="1">
        <f t="array" ref="BR4:BT55">_xlfn.LET(_xlpm.bill_hours,_xlfn.VSTACK('MS:NCA9'!$E$28:$AN$28),_xlfn.HSTACK(
_xlfn.BYROW(_xlpm.bill_hours,_xlfn.LAMBDA(_xlpm.row,SUM(_xlfn.CHOOSECOLS(_xlpm.row,_xlfn.SEQUENCE(12,1,BR$2))))),
_xlfn.BYROW(_xlpm.bill_hours,_xlfn.LAMBDA(_xlpm.row,SUM(_xlfn.CHOOSECOLS(_xlpm.row,_xlfn.SEQUENCE(12,1,BS$2))))),
_xlfn.BYROW(_xlpm.bill_hours,_xlfn.LAMBDA(_xlpm.row,SUM(_xlfn.CHOOSECOLS(_xlpm.row,_xlfn.SEQUENCE(12,1,BT$2)))))))</f>
        <v>4338970.0639999993</v>
      </c>
      <c r="BS4" s="53">
        <v>6182019.3520799978</v>
      </c>
      <c r="BT4" s="53">
        <v>6521117.46</v>
      </c>
      <c r="BV4" s="53" cm="1">
        <f t="array" ref="BV4:BX55">_xlfn.LET(_xlpm.bill_hours,_xlfn.VSTACK('MS:NCA9'!$E$29:$AN$29),_xlfn.HSTACK(
_xlfn.BYROW(_xlpm.bill_hours,_xlfn.LAMBDA(_xlpm.row,SUM(_xlfn.CHOOSECOLS(_xlpm.row,_xlfn.SEQUENCE(12,1,BV$2))))),
_xlfn.BYROW(_xlpm.bill_hours,_xlfn.LAMBDA(_xlpm.row,SUM(_xlfn.CHOOSECOLS(_xlpm.row,_xlfn.SEQUENCE(12,1,BW$2))))),
_xlfn.BYROW(_xlpm.bill_hours,_xlfn.LAMBDA(_xlpm.row,SUM(_xlfn.CHOOSECOLS(_xlpm.row,_xlfn.SEQUENCE(12,1,BX$2)))))))</f>
        <v>667533.85600000003</v>
      </c>
      <c r="BW4" s="53">
        <v>951079.90032000002</v>
      </c>
      <c r="BX4" s="53">
        <v>1003248.8399999997</v>
      </c>
      <c r="BZ4" s="53" cm="1">
        <f t="array" ref="BZ4:CB55">_xlfn.LET(_xlpm.bill_hours,_xlfn.VSTACK('MS:NCA9'!$E$30:$AN$30),_xlfn.HSTACK(
_xlfn.BYROW(_xlpm.bill_hours,_xlfn.LAMBDA(_xlpm.row,SUM(_xlfn.CHOOSECOLS(_xlpm.row,_xlfn.SEQUENCE(12,1,BZ$2))))),
_xlfn.BYROW(_xlpm.bill_hours,_xlfn.LAMBDA(_xlpm.row,SUM(_xlfn.CHOOSECOLS(_xlpm.row,_xlfn.SEQUENCE(12,1,CA$2))))),
_xlfn.BYROW(_xlpm.bill_hours,_xlfn.LAMBDA(_xlpm.row,SUM(_xlfn.CHOOSECOLS(_xlpm.row,_xlfn.SEQUENCE(12,1,CB$2)))))))</f>
        <v>870976.42666666652</v>
      </c>
      <c r="CA4" s="53">
        <v>1240938.0671999997</v>
      </c>
      <c r="CB4" s="53">
        <v>1309006.4000000001</v>
      </c>
      <c r="CD4" s="53" cm="1">
        <f t="array" ref="CD4:CF55">_xlfn.LET(_xlpm.bill_hours,_xlfn.VSTACK('MS:NCA9'!$E$63:$AN$63),_xlfn.HSTACK(
_xlfn.BYROW(_xlpm.bill_hours,_xlfn.LAMBDA(_xlpm.row,SUM(_xlfn.CHOOSECOLS(_xlpm.row,_xlfn.SEQUENCE(12,1,CD$2))))),
_xlfn.BYROW(_xlpm.bill_hours,_xlfn.LAMBDA(_xlpm.row,SUM(_xlfn.CHOOSECOLS(_xlpm.row,_xlfn.SEQUENCE(12,1,CE$2))))),
_xlfn.BYROW(_xlpm.bill_hours,_xlfn.LAMBDA(_xlpm.row,SUM(_xlfn.CHOOSECOLS(_xlpm.row,_xlfn.SEQUENCE(12,1,CF$2)))))))</f>
        <v>0</v>
      </c>
      <c r="CE4" s="53">
        <v>0</v>
      </c>
      <c r="CF4" s="53">
        <v>0</v>
      </c>
      <c r="CH4" s="53" cm="1">
        <f t="array" ref="CH4:CJ55">_xlfn.LET(_xlpm.bill_hours,_xlfn.VSTACK('MS:NCA9'!$E$64:$AN$64),_xlfn.HSTACK(
_xlfn.BYROW(_xlpm.bill_hours,_xlfn.LAMBDA(_xlpm.row,SUM(_xlfn.CHOOSECOLS(_xlpm.row,_xlfn.SEQUENCE(12,1,CH$2))))),
_xlfn.BYROW(_xlpm.bill_hours,_xlfn.LAMBDA(_xlpm.row,SUM(_xlfn.CHOOSECOLS(_xlpm.row,_xlfn.SEQUENCE(12,1,CI$2))))),
_xlfn.BYROW(_xlpm.bill_hours,_xlfn.LAMBDA(_xlpm.row,SUM(_xlfn.CHOOSECOLS(_xlpm.row,_xlfn.SEQUENCE(12,1,CJ$2)))))))</f>
        <v>0</v>
      </c>
      <c r="CI4" s="53">
        <v>0</v>
      </c>
      <c r="CJ4" s="53">
        <v>0</v>
      </c>
      <c r="CL4" s="53" cm="1">
        <f t="array" ref="CL4:CN55">_xlfn.LET(_xlpm.bill_hours,_xlfn.VSTACK('MS:NCA9'!$E$33:$AN$33),_xlfn.HSTACK(
_xlfn.BYROW(_xlpm.bill_hours,_xlfn.LAMBDA(_xlpm.row,SUM(_xlfn.CHOOSECOLS(_xlpm.row,_xlfn.SEQUENCE(12,1,CL$2))))),
_xlfn.BYROW(_xlpm.bill_hours,_xlfn.LAMBDA(_xlpm.row,SUM(_xlfn.CHOOSECOLS(_xlpm.row,_xlfn.SEQUENCE(12,1,CM$2))))),
_xlfn.BYROW(_xlpm.bill_hours,_xlfn.LAMBDA(_xlpm.row,SUM(_xlfn.CHOOSECOLS(_xlpm.row,_xlfn.SEQUENCE(12,1,CN$2)))))))</f>
        <v>0</v>
      </c>
      <c r="CM4" s="53">
        <v>0</v>
      </c>
      <c r="CN4" s="53">
        <v>0</v>
      </c>
      <c r="CP4" s="53" cm="1">
        <f t="array" ref="CP4:CR55">_xlfn.LET(_xlpm.bill_hours,_xlfn.VSTACK('MS:NCA9'!$E$65:$AN$65),_xlfn.HSTACK(
_xlfn.BYROW(_xlpm.bill_hours,_xlfn.LAMBDA(_xlpm.row,SUM(_xlfn.CHOOSECOLS(_xlpm.row,_xlfn.SEQUENCE(12,1,CP$2))))),
_xlfn.BYROW(_xlpm.bill_hours,_xlfn.LAMBDA(_xlpm.row,SUM(_xlfn.CHOOSECOLS(_xlpm.row,_xlfn.SEQUENCE(12,1,CQ$2))))),
_xlfn.BYROW(_xlpm.bill_hours,_xlfn.LAMBDA(_xlpm.row,SUM(_xlfn.CHOOSECOLS(_xlpm.row,_xlfn.SEQUENCE(12,1,CR$2)))))))</f>
        <v>0</v>
      </c>
      <c r="CQ4" s="53">
        <v>0</v>
      </c>
      <c r="CR4" s="53">
        <v>0</v>
      </c>
      <c r="CT4" s="53" cm="1">
        <f t="array" ref="CT4:CV55">_xlfn.LET(_xlpm.bill_hours,_xlfn.VSTACK('MS:NCA9'!$E$36:$AN$36),_xlfn.HSTACK(
_xlfn.BYROW(_xlpm.bill_hours,_xlfn.LAMBDA(_xlpm.row,SUM(_xlfn.CHOOSECOLS(_xlpm.row,_xlfn.SEQUENCE(12,1,CT$2))))),
_xlfn.BYROW(_xlpm.bill_hours,_xlfn.LAMBDA(_xlpm.row,SUM(_xlfn.CHOOSECOLS(_xlpm.row,_xlfn.SEQUENCE(12,1,CU$2))))),
_xlfn.BYROW(_xlpm.bill_hours,_xlfn.LAMBDA(_xlpm.row,SUM(_xlfn.CHOOSECOLS(_xlpm.row,_xlfn.SEQUENCE(12,1,CV$2)))))))</f>
        <v>0</v>
      </c>
      <c r="CU4" s="53">
        <v>0</v>
      </c>
      <c r="CV4" s="53">
        <v>0</v>
      </c>
      <c r="CX4" s="53" cm="1">
        <f t="array" ref="CX4:CZ55">_xlfn.LET(_xlpm.bill_hours,_xlfn.VSTACK('MS:NCA9'!$E$40:$AN$40),_xlfn.HSTACK(
_xlfn.BYROW(_xlpm.bill_hours,_xlfn.LAMBDA(_xlpm.row,SUM(_xlfn.CHOOSECOLS(_xlpm.row,_xlfn.SEQUENCE(12,1,CX$2))))),
_xlfn.BYROW(_xlpm.bill_hours,_xlfn.LAMBDA(_xlpm.row,SUM(_xlfn.CHOOSECOLS(_xlpm.row,_xlfn.SEQUENCE(12,1,CY$2))))),
_xlfn.BYROW(_xlpm.bill_hours,_xlfn.LAMBDA(_xlpm.row,SUM(_xlfn.CHOOSECOLS(_xlpm.row,_xlfn.SEQUENCE(12,1,CZ$2)))))))</f>
        <v>116000.00000000001</v>
      </c>
      <c r="CY4" s="53">
        <v>127599.99999999999</v>
      </c>
      <c r="CZ4" s="53">
        <v>140360.00000000003</v>
      </c>
      <c r="DB4" s="53" cm="1">
        <f t="array" ref="DB4:DD55">_xlfn.LET(_xlpm.bill_hours,_xlfn.VSTACK('MS:NCA9'!$E$42:$AN$42),_xlfn.HSTACK(
_xlfn.BYROW(_xlpm.bill_hours,_xlfn.LAMBDA(_xlpm.row,SUM(_xlfn.CHOOSECOLS(_xlpm.row,_xlfn.SEQUENCE(12,1,DB$2))))),
_xlfn.BYROW(_xlpm.bill_hours,_xlfn.LAMBDA(_xlpm.row,SUM(_xlfn.CHOOSECOLS(_xlpm.row,_xlfn.SEQUENCE(12,1,DC$2))))),
_xlfn.BYROW(_xlpm.bill_hours,_xlfn.LAMBDA(_xlpm.row,SUM(_xlfn.CHOOSECOLS(_xlpm.row,_xlfn.SEQUENCE(12,1,DD$2)))))))</f>
        <v>0</v>
      </c>
      <c r="DC4" s="53">
        <v>0</v>
      </c>
      <c r="DD4" s="53">
        <v>0</v>
      </c>
      <c r="DF4" s="53" cm="1">
        <f t="array" ref="DF4:DH55">_xlfn.LET(_xlpm.bill_hours,_xlfn.VSTACK('MS:NCA9'!$E$43:$AN$43),_xlfn.HSTACK(
_xlfn.BYROW(_xlpm.bill_hours,_xlfn.LAMBDA(_xlpm.row,SUM(_xlfn.CHOOSECOLS(_xlpm.row,_xlfn.SEQUENCE(12,1,DF$2))))),
_xlfn.BYROW(_xlpm.bill_hours,_xlfn.LAMBDA(_xlpm.row,SUM(_xlfn.CHOOSECOLS(_xlpm.row,_xlfn.SEQUENCE(12,1,DG$2))))),
_xlfn.BYROW(_xlpm.bill_hours,_xlfn.LAMBDA(_xlpm.row,SUM(_xlfn.CHOOSECOLS(_xlpm.row,_xlfn.SEQUENCE(12,1,DH$2)))))))</f>
        <v>0</v>
      </c>
      <c r="DG4" s="53">
        <v>0</v>
      </c>
      <c r="DH4" s="53">
        <v>0</v>
      </c>
      <c r="DJ4" s="53" cm="1">
        <f t="array" ref="DJ4:DL55">_xlfn.LET(_xlpm.bill_hours,_xlfn.VSTACK('MS:NCA9'!$E$44:$AN$44),_xlfn.HSTACK(
_xlfn.BYROW(_xlpm.bill_hours,_xlfn.LAMBDA(_xlpm.row,SUM(_xlfn.CHOOSECOLS(_xlpm.row,_xlfn.SEQUENCE(12,1,DJ$2))))),
_xlfn.BYROW(_xlpm.bill_hours,_xlfn.LAMBDA(_xlpm.row,SUM(_xlfn.CHOOSECOLS(_xlpm.row,_xlfn.SEQUENCE(12,1,DK$2))))),
_xlfn.BYROW(_xlpm.bill_hours,_xlfn.LAMBDA(_xlpm.row,SUM(_xlfn.CHOOSECOLS(_xlpm.row,_xlfn.SEQUENCE(12,1,DL$2)))))))</f>
        <v>0</v>
      </c>
      <c r="DK4" s="53">
        <v>0</v>
      </c>
      <c r="DL4" s="53">
        <v>0</v>
      </c>
      <c r="DN4" s="53" cm="1">
        <f t="array" ref="DN4:DP55">_xlfn.LET(_xlpm.bill_hours,_xlfn.VSTACK('MS:NCA9'!$E$45:$AN$45),_xlfn.HSTACK(
_xlfn.BYROW(_xlpm.bill_hours,_xlfn.LAMBDA(_xlpm.row,SUM(_xlfn.CHOOSECOLS(_xlpm.row,_xlfn.SEQUENCE(12,1,DN$2))))),
_xlfn.BYROW(_xlpm.bill_hours,_xlfn.LAMBDA(_xlpm.row,SUM(_xlfn.CHOOSECOLS(_xlpm.row,_xlfn.SEQUENCE(12,1,DO$2))))),
_xlfn.BYROW(_xlpm.bill_hours,_xlfn.LAMBDA(_xlpm.row,SUM(_xlfn.CHOOSECOLS(_xlpm.row,_xlfn.SEQUENCE(12,1,DP$2)))))))</f>
        <v>0</v>
      </c>
      <c r="DO4" s="53">
        <v>0</v>
      </c>
      <c r="DP4" s="53">
        <v>0</v>
      </c>
      <c r="DR4" s="53" cm="1">
        <f t="array" ref="DR4:DT55">_xlfn.LET(_xlpm.bill_hours,_xlfn.VSTACK('MS:NCA9'!$E$46:$AN$46),_xlfn.HSTACK(
_xlfn.BYROW(_xlpm.bill_hours,_xlfn.LAMBDA(_xlpm.row,SUM(_xlfn.CHOOSECOLS(_xlpm.row,_xlfn.SEQUENCE(12,1,DR$2))))),
_xlfn.BYROW(_xlpm.bill_hours,_xlfn.LAMBDA(_xlpm.row,SUM(_xlfn.CHOOSECOLS(_xlpm.row,_xlfn.SEQUENCE(12,1,DS$2))))),
_xlfn.BYROW(_xlpm.bill_hours,_xlfn.LAMBDA(_xlpm.row,SUM(_xlfn.CHOOSECOLS(_xlpm.row,_xlfn.SEQUENCE(12,1,DT$2)))))))</f>
        <v>0</v>
      </c>
      <c r="DS4" s="53">
        <v>0</v>
      </c>
      <c r="DT4" s="53">
        <v>0</v>
      </c>
      <c r="DV4" s="53" cm="1">
        <f t="array" ref="DV4:DX55">_xlfn.LET(_xlpm.bill_hours,_xlfn.VSTACK('MS:NCA9'!$E$47:$AN$47),_xlfn.HSTACK(
_xlfn.BYROW(_xlpm.bill_hours,_xlfn.LAMBDA(_xlpm.row,SUM(_xlfn.CHOOSECOLS(_xlpm.row,_xlfn.SEQUENCE(12,1,DV$2))))),
_xlfn.BYROW(_xlpm.bill_hours,_xlfn.LAMBDA(_xlpm.row,SUM(_xlfn.CHOOSECOLS(_xlpm.row,_xlfn.SEQUENCE(12,1,DW$2))))),
_xlfn.BYROW(_xlpm.bill_hours,_xlfn.LAMBDA(_xlpm.row,SUM(_xlfn.CHOOSECOLS(_xlpm.row,_xlfn.SEQUENCE(12,1,DX$2)))))))</f>
        <v>0</v>
      </c>
      <c r="DW4" s="53">
        <v>0</v>
      </c>
      <c r="DX4" s="53">
        <v>0</v>
      </c>
      <c r="DZ4" s="53" cm="1">
        <f t="array" ref="DZ4:EB55">_xlfn.LET(_xlpm.bill_hours,_xlfn.VSTACK('MS:NCA9'!$E$48:$AN$48),_xlfn.HSTACK(
_xlfn.BYROW(_xlpm.bill_hours,_xlfn.LAMBDA(_xlpm.row,SUM(_xlfn.CHOOSECOLS(_xlpm.row,_xlfn.SEQUENCE(12,1,DZ$2))))),
_xlfn.BYROW(_xlpm.bill_hours,_xlfn.LAMBDA(_xlpm.row,SUM(_xlfn.CHOOSECOLS(_xlpm.row,_xlfn.SEQUENCE(12,1,EA$2))))),
_xlfn.BYROW(_xlpm.bill_hours,_xlfn.LAMBDA(_xlpm.row,SUM(_xlfn.CHOOSECOLS(_xlpm.row,_xlfn.SEQUENCE(12,1,EB$2)))))))</f>
        <v>0</v>
      </c>
      <c r="EA4" s="53">
        <v>0</v>
      </c>
      <c r="EB4" s="53">
        <v>0</v>
      </c>
      <c r="ED4" s="53" cm="1">
        <f t="array" ref="ED4:EF55">_xlfn.LET(_xlpm.bill_hours,_xlfn.VSTACK('MS:NCA9'!$E$49:$AN$49),_xlfn.HSTACK(
_xlfn.BYROW(_xlpm.bill_hours,_xlfn.LAMBDA(_xlpm.row,SUM(_xlfn.CHOOSECOLS(_xlpm.row,_xlfn.SEQUENCE(12,1,ED$2))))),
_xlfn.BYROW(_xlpm.bill_hours,_xlfn.LAMBDA(_xlpm.row,SUM(_xlfn.CHOOSECOLS(_xlpm.row,_xlfn.SEQUENCE(12,1,EE$2))))),
_xlfn.BYROW(_xlpm.bill_hours,_xlfn.LAMBDA(_xlpm.row,SUM(_xlfn.CHOOSECOLS(_xlpm.row,_xlfn.SEQUENCE(12,1,EF$2)))))))</f>
        <v>0</v>
      </c>
      <c r="EE4" s="53">
        <v>0</v>
      </c>
      <c r="EF4" s="53">
        <v>0</v>
      </c>
      <c r="EH4" s="53" cm="1">
        <f t="array" ref="EH4:EJ55">_xlfn.LET(_xlpm.bill_hours,_xlfn.VSTACK('MS:NCA9'!$E$41:$AN$41),_xlfn.HSTACK(
_xlfn.BYROW(_xlpm.bill_hours,_xlfn.LAMBDA(_xlpm.row,SUM(_xlfn.CHOOSECOLS(_xlpm.row,_xlfn.SEQUENCE(12,1,EH$2))))),
_xlfn.BYROW(_xlpm.bill_hours,_xlfn.LAMBDA(_xlpm.row,SUM(_xlfn.CHOOSECOLS(_xlpm.row,_xlfn.SEQUENCE(12,1,EI$2))))),
_xlfn.BYROW(_xlpm.bill_hours,_xlfn.LAMBDA(_xlpm.row,SUM(_xlfn.CHOOSECOLS(_xlpm.row,_xlfn.SEQUENCE(12,1,EJ$2)))))))</f>
        <v>19105996.800000001</v>
      </c>
      <c r="EI4" s="53">
        <v>26428723.199999996</v>
      </c>
      <c r="EJ4" s="53">
        <v>27878400</v>
      </c>
      <c r="EL4" s="53" cm="1">
        <f t="array" ref="EL4:EN55">_xlfn.LET(_xlpm.bill_hours,_xlfn.VSTACK('MS:NCA9'!$E$56:$AN$56),_xlfn.HSTACK(
_xlfn.BYROW(_xlpm.bill_hours,_xlfn.LAMBDA(_xlpm.row,SUM(_xlfn.CHOOSECOLS(_xlpm.row,_xlfn.SEQUENCE(12,1,EL$2))))),
_xlfn.BYROW(_xlpm.bill_hours,_xlfn.LAMBDA(_xlpm.row,SUM(_xlfn.CHOOSECOLS(_xlpm.row,_xlfn.SEQUENCE(12,1,EM$2))))),
_xlfn.BYROW(_xlpm.bill_hours,_xlfn.LAMBDA(_xlpm.row,SUM(_xlfn.CHOOSECOLS(_xlpm.row,_xlfn.SEQUENCE(12,1,EN$2)))))))</f>
        <v>-24687576.086037327</v>
      </c>
      <c r="EM4" s="53">
        <v>-35174032.286162876</v>
      </c>
      <c r="EN4" s="53">
        <v>-37103409.584559999</v>
      </c>
      <c r="EP4" s="53" cm="1">
        <f t="array" ref="EP4:ER55">_xlfn.LET(_xlpm.bill_hours,_xlfn.VSTACK(All!$E$54:$AN$54),_xlpm.result,_xlfn.HSTACK(
_xlfn.BYROW(_xlpm.bill_hours,_xlfn.LAMBDA(_xlpm.row,SUM(_xlfn.CHOOSECOLS(_xlpm.row,_xlfn.SEQUENCE(12,1,EP$2))))),
_xlfn.BYROW(_xlpm.bill_hours,_xlfn.LAMBDA(_xlpm.row,SUM(_xlfn.CHOOSECOLS(_xlpm.row,_xlfn.SEQUENCE(12,1,EQ$2))))),
_xlfn.BYROW(_xlpm.bill_hours,_xlfn.LAMBDA(_xlpm.row,SUM(_xlfn.CHOOSECOLS(_xlpm.row,_xlfn.SEQUENCE(12,1,ER$2)))))),
_xlpm.result*_xlfn.ANCHORARRAY(J4)/_xlfn.VSTACK(_xlfn.BYCOL(_xlfn.ANCHORARRAY(J4),_xlfn.LAMBDA(_xlpm.cols,(SUM(_xlpm.cols))))))</f>
        <v>451486.57737940631</v>
      </c>
      <c r="EQ4" s="53">
        <v>657544.52337141277</v>
      </c>
      <c r="ER4" s="53">
        <v>879935.45202149509</v>
      </c>
      <c r="ET4" s="53" cm="1">
        <f t="array" ref="ET4:EV55">_xlfn.LET(_xlpm.bill_hours,_xlfn.VSTACK('MS:NCA9'!$E$69:$AN$69),_xlfn.HSTACK(
_xlfn.BYROW(_xlpm.bill_hours,_xlfn.LAMBDA(_xlpm.row,MAX(_xlfn.CHOOSECOLS(_xlpm.row,_xlfn.SEQUENCE(12,1,ET$2))))),
_xlfn.BYROW(_xlpm.bill_hours,_xlfn.LAMBDA(_xlpm.row,MAX(_xlfn.CHOOSECOLS(_xlpm.row,_xlfn.SEQUENCE(12,1,EU$2))))),
_xlfn.BYROW(_xlpm.bill_hours,_xlfn.LAMBDA(_xlpm.row,MAX(_xlfn.CHOOSECOLS(_xlpm.row,_xlfn.SEQUENCE(12,1,EV$2)))))))</f>
        <v>0</v>
      </c>
      <c r="EU4" s="53">
        <v>0</v>
      </c>
      <c r="EV4" s="53">
        <v>0</v>
      </c>
      <c r="EX4" s="53" cm="1">
        <f t="array" ref="EX4:EZ55">_xlfn.LET(_xlpm.bill_hours,_xlfn.VSTACK('MS:NCA9'!$E$70:$AN$70),_xlfn.HSTACK(
_xlfn.BYROW(_xlpm.bill_hours,_xlfn.LAMBDA(_xlpm.row,MAX(_xlfn.CHOOSECOLS(_xlpm.row,_xlfn.SEQUENCE(12,1,EX$2))))),
_xlfn.BYROW(_xlpm.bill_hours,_xlfn.LAMBDA(_xlpm.row,MAX(_xlfn.CHOOSECOLS(_xlpm.row,_xlfn.SEQUENCE(12,1,EY$2))))),
_xlfn.BYROW(_xlpm.bill_hours,_xlfn.LAMBDA(_xlpm.row,MAX(_xlfn.CHOOSECOLS(_xlpm.row,_xlfn.SEQUENCE(12,1,EZ$2)))))))</f>
        <v>0</v>
      </c>
      <c r="EY4" s="53">
        <v>0</v>
      </c>
      <c r="EZ4" s="53">
        <v>0</v>
      </c>
      <c r="FB4" s="53" cm="1">
        <f t="array" ref="FB4:FD55">_xlfn.LET(_xlpm.bill_hours,_xlfn.VSTACK('MS:NCA9'!$E$20:$AN$20),_xlfn.HSTACK(
_xlfn.BYROW(_xlpm.bill_hours,_xlfn.LAMBDA(_xlpm.row,MAX(_xlfn.CHOOSECOLS(_xlpm.row,_xlfn.SEQUENCE(12,1,FB$2))))),
_xlfn.BYROW(_xlpm.bill_hours,_xlfn.LAMBDA(_xlpm.row,MAX(_xlfn.CHOOSECOLS(_xlpm.row,_xlfn.SEQUENCE(12,1,FC$2))))),
_xlfn.BYROW(_xlpm.bill_hours,_xlfn.LAMBDA(_xlpm.row,MAX(_xlfn.CHOOSECOLS(_xlpm.row,_xlfn.SEQUENCE(12,1,FD$2)))))))</f>
        <v>0</v>
      </c>
      <c r="FC4" s="53">
        <v>0</v>
      </c>
      <c r="FD4" s="53">
        <v>0</v>
      </c>
      <c r="FF4" t="str" cm="1">
        <f t="array" ref="FF4:FF55">_xlfn.VSTACK('MS:NCA9'!$B$2)</f>
        <v>M&amp;A</v>
      </c>
      <c r="FG4" s="1"/>
      <c r="FH4" s="1" cm="1">
        <f t="array" ref="FH4:FS4">_xlfn.SEQUENCE(1,12)</f>
        <v>1</v>
      </c>
      <c r="FI4" s="1">
        <v>2</v>
      </c>
      <c r="FJ4" s="1">
        <v>3</v>
      </c>
      <c r="FK4" s="1">
        <v>4</v>
      </c>
      <c r="FL4" s="1">
        <v>5</v>
      </c>
      <c r="FM4" s="1">
        <v>6</v>
      </c>
      <c r="FN4" s="1">
        <v>7</v>
      </c>
      <c r="FO4" s="1">
        <v>8</v>
      </c>
      <c r="FP4" s="1">
        <v>9</v>
      </c>
      <c r="FQ4" s="1">
        <v>10</v>
      </c>
      <c r="FR4" s="1">
        <v>11</v>
      </c>
      <c r="FS4" s="1">
        <v>12</v>
      </c>
    </row>
    <row r="5" spans="1:175" x14ac:dyDescent="0.25">
      <c r="A5" s="117"/>
      <c r="B5" t="str">
        <v>Maryland</v>
      </c>
      <c r="C5" s="116" t="str">
        <v>MDA3-Center</v>
      </c>
      <c r="D5" s="3">
        <v>2024</v>
      </c>
      <c r="E5">
        <v>8</v>
      </c>
      <c r="G5" t="str">
        <v>JV1</v>
      </c>
      <c r="H5" t="str">
        <v>M&amp;A</v>
      </c>
      <c r="I5" t="str">
        <v>M&amp;A</v>
      </c>
      <c r="J5" s="53">
        <v>6917.9733333333324</v>
      </c>
      <c r="K5" s="53">
        <v>92308.479999999996</v>
      </c>
      <c r="L5" s="53">
        <v>135674.87999999998</v>
      </c>
      <c r="N5" s="53">
        <v>0</v>
      </c>
      <c r="O5" s="53">
        <v>0</v>
      </c>
      <c r="P5" s="53">
        <v>0</v>
      </c>
      <c r="R5" s="53">
        <v>0</v>
      </c>
      <c r="S5" s="53">
        <v>0</v>
      </c>
      <c r="T5" s="53">
        <v>0</v>
      </c>
      <c r="V5" s="53">
        <v>0</v>
      </c>
      <c r="W5" s="53">
        <v>0</v>
      </c>
      <c r="X5" s="53">
        <v>0</v>
      </c>
      <c r="Z5" s="53">
        <v>0</v>
      </c>
      <c r="AA5" s="53">
        <v>0</v>
      </c>
      <c r="AB5" s="53">
        <v>0</v>
      </c>
      <c r="AD5" s="53">
        <v>67</v>
      </c>
      <c r="AE5" s="53">
        <v>184</v>
      </c>
      <c r="AF5" s="53">
        <v>240</v>
      </c>
      <c r="AH5" s="53">
        <v>0</v>
      </c>
      <c r="AI5" s="53">
        <v>0</v>
      </c>
      <c r="AJ5" s="53">
        <v>0</v>
      </c>
      <c r="AL5" s="53">
        <v>0</v>
      </c>
      <c r="AM5" s="53">
        <v>0</v>
      </c>
      <c r="AN5" s="53">
        <v>0</v>
      </c>
      <c r="AP5" s="53">
        <v>67</v>
      </c>
      <c r="AQ5" s="53">
        <v>184</v>
      </c>
      <c r="AR5" s="53">
        <v>240</v>
      </c>
      <c r="AT5" s="53">
        <v>400000</v>
      </c>
      <c r="AU5" s="53">
        <v>100000</v>
      </c>
      <c r="AV5" s="53">
        <v>0</v>
      </c>
      <c r="AX5" s="53">
        <v>1252346.803333333</v>
      </c>
      <c r="AY5" s="53">
        <v>17211731.0962</v>
      </c>
      <c r="AZ5" s="53">
        <v>25297779.262199998</v>
      </c>
      <c r="BB5" s="53">
        <v>1102065.1869333331</v>
      </c>
      <c r="BC5" s="53">
        <v>15146323.364655999</v>
      </c>
      <c r="BD5" s="53">
        <v>22262045.750735991</v>
      </c>
      <c r="BF5" s="53">
        <v>-150281.61639999994</v>
      </c>
      <c r="BG5" s="53">
        <v>-2065407.7315439996</v>
      </c>
      <c r="BH5" s="53">
        <v>-3035733.5114639997</v>
      </c>
      <c r="BJ5" s="53">
        <v>1060814.1266666665</v>
      </c>
      <c r="BK5" s="53">
        <v>14579386.0316</v>
      </c>
      <c r="BL5" s="53">
        <v>21428762.019599997</v>
      </c>
      <c r="BN5" s="53">
        <v>0</v>
      </c>
      <c r="BO5" s="53">
        <v>0</v>
      </c>
      <c r="BP5" s="53">
        <v>0</v>
      </c>
      <c r="BR5" s="53">
        <v>141396.39799999996</v>
      </c>
      <c r="BS5" s="53">
        <v>1943293.0030799997</v>
      </c>
      <c r="BT5" s="53">
        <v>2856249.4474799996</v>
      </c>
      <c r="BV5" s="53">
        <v>21753.292000000001</v>
      </c>
      <c r="BW5" s="53">
        <v>298968.15431999997</v>
      </c>
      <c r="BX5" s="53">
        <v>439422.99192</v>
      </c>
      <c r="BZ5" s="53">
        <v>28382.986666666664</v>
      </c>
      <c r="CA5" s="53">
        <v>390083.90719999996</v>
      </c>
      <c r="CB5" s="53">
        <v>573344.80319999997</v>
      </c>
      <c r="CD5" s="53">
        <v>0</v>
      </c>
      <c r="CE5" s="53">
        <v>0</v>
      </c>
      <c r="CF5" s="53">
        <v>0</v>
      </c>
      <c r="CH5" s="53">
        <v>0</v>
      </c>
      <c r="CI5" s="53">
        <v>0</v>
      </c>
      <c r="CJ5" s="53">
        <v>0</v>
      </c>
      <c r="CL5" s="53">
        <v>0</v>
      </c>
      <c r="CM5" s="53">
        <v>0</v>
      </c>
      <c r="CN5" s="53">
        <v>0</v>
      </c>
      <c r="CP5" s="53">
        <v>0</v>
      </c>
      <c r="CQ5" s="53">
        <v>0</v>
      </c>
      <c r="CR5" s="53">
        <v>0</v>
      </c>
      <c r="CT5" s="53">
        <v>0</v>
      </c>
      <c r="CU5" s="53">
        <v>0</v>
      </c>
      <c r="CV5" s="53">
        <v>0</v>
      </c>
      <c r="CX5" s="53">
        <v>0</v>
      </c>
      <c r="CY5" s="53">
        <v>0</v>
      </c>
      <c r="CZ5" s="53">
        <v>0</v>
      </c>
      <c r="DB5" s="53">
        <v>0</v>
      </c>
      <c r="DC5" s="53">
        <v>0</v>
      </c>
      <c r="DD5" s="53">
        <v>0</v>
      </c>
      <c r="DF5" s="53">
        <v>0</v>
      </c>
      <c r="DG5" s="53">
        <v>0</v>
      </c>
      <c r="DH5" s="53">
        <v>0</v>
      </c>
      <c r="DJ5" s="53">
        <v>0</v>
      </c>
      <c r="DK5" s="53">
        <v>0</v>
      </c>
      <c r="DL5" s="53">
        <v>0</v>
      </c>
      <c r="DN5" s="53">
        <v>0</v>
      </c>
      <c r="DO5" s="53">
        <v>0</v>
      </c>
      <c r="DP5" s="53">
        <v>0</v>
      </c>
      <c r="DR5" s="53">
        <v>0</v>
      </c>
      <c r="DS5" s="53">
        <v>0</v>
      </c>
      <c r="DT5" s="53">
        <v>0</v>
      </c>
      <c r="DV5" s="53">
        <v>0</v>
      </c>
      <c r="DW5" s="53">
        <v>0</v>
      </c>
      <c r="DX5" s="53">
        <v>0</v>
      </c>
      <c r="DZ5" s="53">
        <v>0</v>
      </c>
      <c r="EA5" s="53">
        <v>0</v>
      </c>
      <c r="EB5" s="53">
        <v>0</v>
      </c>
      <c r="ED5" s="53">
        <v>0</v>
      </c>
      <c r="EE5" s="53">
        <v>0</v>
      </c>
      <c r="EF5" s="53">
        <v>0</v>
      </c>
      <c r="EH5" s="53">
        <v>622617.59999999986</v>
      </c>
      <c r="EI5" s="53">
        <v>8307763.1999999993</v>
      </c>
      <c r="EJ5" s="53">
        <v>12210739.199999999</v>
      </c>
      <c r="EL5" s="53">
        <v>-804507.58646133309</v>
      </c>
      <c r="EM5" s="53">
        <v>-11056816.05619888</v>
      </c>
      <c r="EN5" s="53">
        <v>-16251293.398037279</v>
      </c>
      <c r="EP5" s="53">
        <v>14712.840799815283</v>
      </c>
      <c r="EQ5" s="53">
        <v>206696.48519481119</v>
      </c>
      <c r="ER5" s="53">
        <v>385411.72798541473</v>
      </c>
      <c r="ET5" s="53">
        <v>0</v>
      </c>
      <c r="EU5" s="53">
        <v>0</v>
      </c>
      <c r="EV5" s="53">
        <v>0</v>
      </c>
      <c r="EX5" s="53">
        <v>0</v>
      </c>
      <c r="EY5" s="53">
        <v>0</v>
      </c>
      <c r="EZ5" s="53">
        <v>0</v>
      </c>
      <c r="FB5" s="53">
        <v>0</v>
      </c>
      <c r="FC5" s="53">
        <v>0</v>
      </c>
      <c r="FD5" s="53">
        <v>0</v>
      </c>
      <c r="FF5" t="str">
        <v>M&amp;A</v>
      </c>
      <c r="FG5" s="127" t="str" cm="1">
        <f t="array" ref="FG5:FG56">_xlfn.VSTACK('MS:NCA9'!$B$1)&amp;"-"&amp;_xlfn.VSTACK('MS:NCA9'!$C$1)</f>
        <v>Microsoft-M&amp;A</v>
      </c>
      <c r="FH5" s="89" cm="1">
        <f t="array" ref="FH5:FS56">_xlfn.LET(_xlpm.data,_xlfn.CHOOSECOLS(_xlfn.VSTACK('MS:NCA9'!$E$44:$AN$44),_xlfn.SEQUENCE(1,12)),
IFERROR(ROUNDUP(_xlpm.data,2),0))</f>
        <v>0</v>
      </c>
      <c r="FI5" s="89">
        <v>0</v>
      </c>
      <c r="FJ5" s="89">
        <v>0</v>
      </c>
      <c r="FK5" s="89">
        <v>0</v>
      </c>
      <c r="FL5" s="89">
        <v>0</v>
      </c>
      <c r="FM5" s="89">
        <v>0</v>
      </c>
      <c r="FN5" s="89">
        <v>0</v>
      </c>
      <c r="FO5" s="89">
        <v>0</v>
      </c>
      <c r="FP5" s="89">
        <v>0</v>
      </c>
      <c r="FQ5" s="89">
        <v>0</v>
      </c>
      <c r="FR5" s="89">
        <v>0</v>
      </c>
      <c r="FS5" s="89">
        <v>0</v>
      </c>
    </row>
    <row r="6" spans="1:175" x14ac:dyDescent="0.25">
      <c r="A6" s="117"/>
      <c r="B6" t="str">
        <v>Maryland</v>
      </c>
      <c r="C6" s="116" t="str">
        <v>MD-2026-01-Center</v>
      </c>
      <c r="D6" s="3">
        <v>2026</v>
      </c>
      <c r="E6">
        <v>7</v>
      </c>
      <c r="G6" t="str">
        <v>JV1</v>
      </c>
      <c r="H6" t="str">
        <v>M&amp;A</v>
      </c>
      <c r="I6" t="str">
        <v>M&amp;A</v>
      </c>
      <c r="J6" s="53">
        <v>0</v>
      </c>
      <c r="K6" s="53">
        <v>71606.186666666661</v>
      </c>
      <c r="L6" s="53">
        <v>126123.94666666664</v>
      </c>
      <c r="N6" s="53">
        <v>0</v>
      </c>
      <c r="O6" s="53">
        <v>0</v>
      </c>
      <c r="P6" s="53">
        <v>0</v>
      </c>
      <c r="R6" s="53">
        <v>0</v>
      </c>
      <c r="S6" s="53">
        <v>0</v>
      </c>
      <c r="T6" s="53">
        <v>0</v>
      </c>
      <c r="V6" s="53">
        <v>0</v>
      </c>
      <c r="W6" s="53">
        <v>0</v>
      </c>
      <c r="X6" s="53">
        <v>0</v>
      </c>
      <c r="Z6" s="53">
        <v>0</v>
      </c>
      <c r="AA6" s="53">
        <v>0</v>
      </c>
      <c r="AB6" s="53">
        <v>0</v>
      </c>
      <c r="AD6" s="53">
        <v>0</v>
      </c>
      <c r="AE6" s="53">
        <v>167</v>
      </c>
      <c r="AF6" s="53">
        <v>234</v>
      </c>
      <c r="AH6" s="53">
        <v>0</v>
      </c>
      <c r="AI6" s="53">
        <v>0</v>
      </c>
      <c r="AJ6" s="53">
        <v>0</v>
      </c>
      <c r="AL6" s="53">
        <v>0</v>
      </c>
      <c r="AM6" s="53">
        <v>0</v>
      </c>
      <c r="AN6" s="53">
        <v>0</v>
      </c>
      <c r="AP6" s="53">
        <v>0</v>
      </c>
      <c r="AQ6" s="53">
        <v>167</v>
      </c>
      <c r="AR6" s="53">
        <v>234</v>
      </c>
      <c r="AT6" s="53">
        <v>100000</v>
      </c>
      <c r="AU6" s="53">
        <v>400000</v>
      </c>
      <c r="AV6" s="53">
        <v>0</v>
      </c>
      <c r="AX6" s="53">
        <v>0</v>
      </c>
      <c r="AY6" s="53">
        <v>13351605.721716665</v>
      </c>
      <c r="AZ6" s="53">
        <v>23516923.416116662</v>
      </c>
      <c r="BB6" s="53">
        <v>0</v>
      </c>
      <c r="BC6" s="53">
        <v>11749413.035110667</v>
      </c>
      <c r="BD6" s="53">
        <v>20694892.606182665</v>
      </c>
      <c r="BF6" s="53">
        <v>0</v>
      </c>
      <c r="BG6" s="53">
        <v>-1602192.6866059999</v>
      </c>
      <c r="BH6" s="53">
        <v>-2822030.8099339996</v>
      </c>
      <c r="BJ6" s="53">
        <v>0</v>
      </c>
      <c r="BK6" s="53">
        <v>11309624.399233332</v>
      </c>
      <c r="BL6" s="53">
        <v>19920268.498433329</v>
      </c>
      <c r="BN6" s="53">
        <v>0</v>
      </c>
      <c r="BO6" s="53">
        <v>0</v>
      </c>
      <c r="BP6" s="53">
        <v>0</v>
      </c>
      <c r="BR6" s="53">
        <v>0</v>
      </c>
      <c r="BS6" s="53">
        <v>1507464.9861699999</v>
      </c>
      <c r="BT6" s="53">
        <v>2655181.6591299991</v>
      </c>
      <c r="BV6" s="53">
        <v>0</v>
      </c>
      <c r="BW6" s="53">
        <v>231917.69017999998</v>
      </c>
      <c r="BX6" s="53">
        <v>408489.48601999995</v>
      </c>
      <c r="BZ6" s="53">
        <v>0</v>
      </c>
      <c r="CA6" s="53">
        <v>302598.64613333333</v>
      </c>
      <c r="CB6" s="53">
        <v>532983.77253333328</v>
      </c>
      <c r="CD6" s="53">
        <v>0</v>
      </c>
      <c r="CE6" s="53">
        <v>0</v>
      </c>
      <c r="CF6" s="53">
        <v>0</v>
      </c>
      <c r="CH6" s="53">
        <v>0</v>
      </c>
      <c r="CI6" s="53">
        <v>0</v>
      </c>
      <c r="CJ6" s="53">
        <v>0</v>
      </c>
      <c r="CL6" s="53">
        <v>0</v>
      </c>
      <c r="CM6" s="53">
        <v>0</v>
      </c>
      <c r="CN6" s="53">
        <v>0</v>
      </c>
      <c r="CP6" s="53">
        <v>0</v>
      </c>
      <c r="CQ6" s="53">
        <v>0</v>
      </c>
      <c r="CR6" s="53">
        <v>0</v>
      </c>
      <c r="CT6" s="53">
        <v>0</v>
      </c>
      <c r="CU6" s="53">
        <v>0</v>
      </c>
      <c r="CV6" s="53">
        <v>0</v>
      </c>
      <c r="CX6" s="53">
        <v>0</v>
      </c>
      <c r="CY6" s="53">
        <v>127599.99999999999</v>
      </c>
      <c r="CZ6" s="53">
        <v>140360.00000000003</v>
      </c>
      <c r="DB6" s="53">
        <v>0</v>
      </c>
      <c r="DC6" s="53">
        <v>0</v>
      </c>
      <c r="DD6" s="53">
        <v>0</v>
      </c>
      <c r="DF6" s="53">
        <v>0</v>
      </c>
      <c r="DG6" s="53">
        <v>0</v>
      </c>
      <c r="DH6" s="53">
        <v>0</v>
      </c>
      <c r="DJ6" s="53">
        <v>0</v>
      </c>
      <c r="DK6" s="53">
        <v>0</v>
      </c>
      <c r="DL6" s="53">
        <v>0</v>
      </c>
      <c r="DN6" s="53">
        <v>0</v>
      </c>
      <c r="DO6" s="53">
        <v>0</v>
      </c>
      <c r="DP6" s="53">
        <v>0</v>
      </c>
      <c r="DR6" s="53">
        <v>0</v>
      </c>
      <c r="DS6" s="53">
        <v>0</v>
      </c>
      <c r="DT6" s="53">
        <v>0</v>
      </c>
      <c r="DV6" s="53">
        <v>0</v>
      </c>
      <c r="DW6" s="53">
        <v>0</v>
      </c>
      <c r="DX6" s="53">
        <v>0</v>
      </c>
      <c r="DZ6" s="53">
        <v>0</v>
      </c>
      <c r="EA6" s="53">
        <v>0</v>
      </c>
      <c r="EB6" s="53">
        <v>0</v>
      </c>
      <c r="ED6" s="53">
        <v>0</v>
      </c>
      <c r="EE6" s="53">
        <v>0</v>
      </c>
      <c r="EF6" s="53">
        <v>0</v>
      </c>
      <c r="EH6" s="53">
        <v>0</v>
      </c>
      <c r="EI6" s="53">
        <v>6444556.7999999989</v>
      </c>
      <c r="EJ6" s="53">
        <v>11351155.199999999</v>
      </c>
      <c r="EL6" s="53">
        <v>0</v>
      </c>
      <c r="EM6" s="53">
        <v>-8577071.5156307854</v>
      </c>
      <c r="EN6" s="53">
        <v>-15107271.602513343</v>
      </c>
      <c r="EP6" s="53">
        <v>0</v>
      </c>
      <c r="EQ6" s="53">
        <v>160340.05870537084</v>
      </c>
      <c r="ER6" s="53">
        <v>358280.38488141866</v>
      </c>
      <c r="ET6" s="53">
        <v>0</v>
      </c>
      <c r="EU6" s="53">
        <v>0</v>
      </c>
      <c r="EV6" s="53">
        <v>0</v>
      </c>
      <c r="EX6" s="53">
        <v>0</v>
      </c>
      <c r="EY6" s="53">
        <v>0</v>
      </c>
      <c r="EZ6" s="53">
        <v>0</v>
      </c>
      <c r="FB6" s="53">
        <v>0</v>
      </c>
      <c r="FC6" s="53">
        <v>0</v>
      </c>
      <c r="FD6" s="53">
        <v>0</v>
      </c>
      <c r="FF6" t="str">
        <v>M&amp;A</v>
      </c>
      <c r="FG6" s="127" t="str">
        <v>Apple-M&amp;A</v>
      </c>
      <c r="FH6" s="89">
        <v>0</v>
      </c>
      <c r="FI6" s="89">
        <v>0</v>
      </c>
      <c r="FJ6" s="89">
        <v>0</v>
      </c>
      <c r="FK6" s="89">
        <v>0</v>
      </c>
      <c r="FL6" s="89">
        <v>0</v>
      </c>
      <c r="FM6" s="89">
        <v>0</v>
      </c>
      <c r="FN6" s="89">
        <v>0</v>
      </c>
      <c r="FO6" s="89">
        <v>0</v>
      </c>
      <c r="FP6" s="89">
        <v>0</v>
      </c>
      <c r="FQ6" s="89">
        <v>0</v>
      </c>
      <c r="FR6" s="89">
        <v>0</v>
      </c>
      <c r="FS6" s="89">
        <v>0</v>
      </c>
    </row>
    <row r="7" spans="1:175" x14ac:dyDescent="0.25">
      <c r="A7" s="117"/>
      <c r="B7" t="str">
        <v>Maryland</v>
      </c>
      <c r="C7" s="116" t="str">
        <v>MD-2027-01-Center</v>
      </c>
      <c r="D7" s="3">
        <v>2027</v>
      </c>
      <c r="E7">
        <v>8</v>
      </c>
      <c r="G7" t="str">
        <v>JV1</v>
      </c>
      <c r="H7" t="str">
        <v>M&amp;A</v>
      </c>
      <c r="I7" t="str">
        <v>M&amp;A</v>
      </c>
      <c r="J7" s="53">
        <v>0</v>
      </c>
      <c r="K7" s="53">
        <v>0</v>
      </c>
      <c r="L7" s="53">
        <v>71606.186666666661</v>
      </c>
      <c r="N7" s="53">
        <v>0</v>
      </c>
      <c r="O7" s="53">
        <v>0</v>
      </c>
      <c r="P7" s="53">
        <v>0</v>
      </c>
      <c r="R7" s="53">
        <v>0</v>
      </c>
      <c r="S7" s="53">
        <v>0</v>
      </c>
      <c r="T7" s="53">
        <v>0</v>
      </c>
      <c r="V7" s="53">
        <v>0</v>
      </c>
      <c r="W7" s="53">
        <v>0</v>
      </c>
      <c r="X7" s="53">
        <v>0</v>
      </c>
      <c r="Z7" s="53">
        <v>0</v>
      </c>
      <c r="AA7" s="53">
        <v>0</v>
      </c>
      <c r="AB7" s="53">
        <v>0</v>
      </c>
      <c r="AD7" s="53">
        <v>0</v>
      </c>
      <c r="AE7" s="53">
        <v>0</v>
      </c>
      <c r="AF7" s="53">
        <v>167</v>
      </c>
      <c r="AH7" s="53">
        <v>0</v>
      </c>
      <c r="AI7" s="53">
        <v>0</v>
      </c>
      <c r="AJ7" s="53">
        <v>0</v>
      </c>
      <c r="AL7" s="53">
        <v>0</v>
      </c>
      <c r="AM7" s="53">
        <v>0</v>
      </c>
      <c r="AN7" s="53">
        <v>0</v>
      </c>
      <c r="AP7" s="53">
        <v>0</v>
      </c>
      <c r="AQ7" s="53">
        <v>0</v>
      </c>
      <c r="AR7" s="53">
        <v>167</v>
      </c>
      <c r="AT7" s="53">
        <v>0</v>
      </c>
      <c r="AU7" s="53">
        <v>100000</v>
      </c>
      <c r="AV7" s="53">
        <v>400000</v>
      </c>
      <c r="AX7" s="53">
        <v>0</v>
      </c>
      <c r="AY7" s="53">
        <v>0</v>
      </c>
      <c r="AZ7" s="53">
        <v>13351605.721716665</v>
      </c>
      <c r="BB7" s="53">
        <v>0</v>
      </c>
      <c r="BC7" s="53">
        <v>0</v>
      </c>
      <c r="BD7" s="53">
        <v>11749413.035110667</v>
      </c>
      <c r="BF7" s="53">
        <v>0</v>
      </c>
      <c r="BG7" s="53">
        <v>0</v>
      </c>
      <c r="BH7" s="53">
        <v>-1602192.6866059999</v>
      </c>
      <c r="BJ7" s="53">
        <v>0</v>
      </c>
      <c r="BK7" s="53">
        <v>0</v>
      </c>
      <c r="BL7" s="53">
        <v>11309624.399233332</v>
      </c>
      <c r="BN7" s="53">
        <v>0</v>
      </c>
      <c r="BO7" s="53">
        <v>0</v>
      </c>
      <c r="BP7" s="53">
        <v>0</v>
      </c>
      <c r="BR7" s="53">
        <v>0</v>
      </c>
      <c r="BS7" s="53">
        <v>0</v>
      </c>
      <c r="BT7" s="53">
        <v>1507464.9861699999</v>
      </c>
      <c r="BV7" s="53">
        <v>0</v>
      </c>
      <c r="BW7" s="53">
        <v>0</v>
      </c>
      <c r="BX7" s="53">
        <v>231917.69017999998</v>
      </c>
      <c r="BZ7" s="53">
        <v>0</v>
      </c>
      <c r="CA7" s="53">
        <v>0</v>
      </c>
      <c r="CB7" s="53">
        <v>302598.64613333333</v>
      </c>
      <c r="CD7" s="53">
        <v>0</v>
      </c>
      <c r="CE7" s="53">
        <v>0</v>
      </c>
      <c r="CF7" s="53">
        <v>0</v>
      </c>
      <c r="CH7" s="53">
        <v>0</v>
      </c>
      <c r="CI7" s="53">
        <v>0</v>
      </c>
      <c r="CJ7" s="53">
        <v>0</v>
      </c>
      <c r="CL7" s="53">
        <v>0</v>
      </c>
      <c r="CM7" s="53">
        <v>0</v>
      </c>
      <c r="CN7" s="53">
        <v>0</v>
      </c>
      <c r="CP7" s="53">
        <v>0</v>
      </c>
      <c r="CQ7" s="53">
        <v>0</v>
      </c>
      <c r="CR7" s="53">
        <v>0</v>
      </c>
      <c r="CT7" s="53">
        <v>0</v>
      </c>
      <c r="CU7" s="53">
        <v>0</v>
      </c>
      <c r="CV7" s="53">
        <v>0</v>
      </c>
      <c r="CX7" s="53">
        <v>0</v>
      </c>
      <c r="CY7" s="53">
        <v>0</v>
      </c>
      <c r="CZ7" s="53">
        <v>140360.00000000003</v>
      </c>
      <c r="DB7" s="53">
        <v>0</v>
      </c>
      <c r="DC7" s="53">
        <v>0</v>
      </c>
      <c r="DD7" s="53">
        <v>0</v>
      </c>
      <c r="DF7" s="53">
        <v>0</v>
      </c>
      <c r="DG7" s="53">
        <v>0</v>
      </c>
      <c r="DH7" s="53">
        <v>0</v>
      </c>
      <c r="DJ7" s="53">
        <v>0</v>
      </c>
      <c r="DK7" s="53">
        <v>0</v>
      </c>
      <c r="DL7" s="53">
        <v>0</v>
      </c>
      <c r="DN7" s="53">
        <v>0</v>
      </c>
      <c r="DO7" s="53">
        <v>0</v>
      </c>
      <c r="DP7" s="53">
        <v>0</v>
      </c>
      <c r="DR7" s="53">
        <v>0</v>
      </c>
      <c r="DS7" s="53">
        <v>0</v>
      </c>
      <c r="DT7" s="53">
        <v>0</v>
      </c>
      <c r="DV7" s="53">
        <v>0</v>
      </c>
      <c r="DW7" s="53">
        <v>0</v>
      </c>
      <c r="DX7" s="53">
        <v>0</v>
      </c>
      <c r="DZ7" s="53">
        <v>0</v>
      </c>
      <c r="EA7" s="53">
        <v>0</v>
      </c>
      <c r="EB7" s="53">
        <v>0</v>
      </c>
      <c r="ED7" s="53">
        <v>0</v>
      </c>
      <c r="EE7" s="53">
        <v>0</v>
      </c>
      <c r="EF7" s="53">
        <v>0</v>
      </c>
      <c r="EH7" s="53">
        <v>0</v>
      </c>
      <c r="EI7" s="53">
        <v>0</v>
      </c>
      <c r="EJ7" s="53">
        <v>6444556.7999999989</v>
      </c>
      <c r="EL7" s="53">
        <v>0</v>
      </c>
      <c r="EM7" s="53">
        <v>0</v>
      </c>
      <c r="EN7" s="53">
        <v>-8577071.5156307854</v>
      </c>
      <c r="EP7" s="53">
        <v>0</v>
      </c>
      <c r="EQ7" s="53">
        <v>0</v>
      </c>
      <c r="ER7" s="53">
        <v>203411.74532563557</v>
      </c>
      <c r="ET7" s="53">
        <v>0</v>
      </c>
      <c r="EU7" s="53">
        <v>0</v>
      </c>
      <c r="EV7" s="53">
        <v>0</v>
      </c>
      <c r="EX7" s="53">
        <v>0</v>
      </c>
      <c r="EY7" s="53">
        <v>0</v>
      </c>
      <c r="EZ7" s="53">
        <v>0</v>
      </c>
      <c r="FB7" s="53">
        <v>0</v>
      </c>
      <c r="FC7" s="53">
        <v>0</v>
      </c>
      <c r="FD7" s="53">
        <v>0</v>
      </c>
      <c r="FF7" t="str">
        <v>M&amp;A</v>
      </c>
      <c r="FG7" s="127" t="str">
        <v>Netflix-M&amp;A</v>
      </c>
      <c r="FH7" s="89">
        <v>0</v>
      </c>
      <c r="FI7" s="89">
        <v>0</v>
      </c>
      <c r="FJ7" s="89">
        <v>0</v>
      </c>
      <c r="FK7" s="89">
        <v>0</v>
      </c>
      <c r="FL7" s="89">
        <v>0</v>
      </c>
      <c r="FM7" s="89">
        <v>0</v>
      </c>
      <c r="FN7" s="89">
        <v>0</v>
      </c>
      <c r="FO7" s="89">
        <v>0</v>
      </c>
      <c r="FP7" s="89">
        <v>0</v>
      </c>
      <c r="FQ7" s="89">
        <v>0</v>
      </c>
      <c r="FR7" s="89">
        <v>0</v>
      </c>
      <c r="FS7" s="89">
        <v>0</v>
      </c>
    </row>
    <row r="8" spans="1:175" x14ac:dyDescent="0.25">
      <c r="A8" s="117"/>
      <c r="B8" t="str">
        <v>Maryland</v>
      </c>
      <c r="C8" s="116" t="str">
        <v>MD-2028-01-Center</v>
      </c>
      <c r="D8" s="3">
        <v>2028</v>
      </c>
      <c r="E8">
        <v>6</v>
      </c>
      <c r="G8" t="str">
        <v>JV2</v>
      </c>
      <c r="H8" t="str">
        <v>Center</v>
      </c>
      <c r="I8" t="str">
        <v>Maryland</v>
      </c>
      <c r="J8" s="53">
        <v>65528.320000000014</v>
      </c>
      <c r="K8" s="53">
        <v>65528.320000000014</v>
      </c>
      <c r="L8" s="53">
        <v>65528.320000000014</v>
      </c>
      <c r="N8" s="53">
        <v>44.58</v>
      </c>
      <c r="O8" s="53">
        <v>44.58</v>
      </c>
      <c r="P8" s="53">
        <v>44.58</v>
      </c>
      <c r="R8" s="53">
        <v>7.43</v>
      </c>
      <c r="S8" s="53">
        <v>7.43</v>
      </c>
      <c r="T8" s="53">
        <v>7.43</v>
      </c>
      <c r="V8" s="53">
        <v>52</v>
      </c>
      <c r="W8" s="53">
        <v>52</v>
      </c>
      <c r="X8" s="53">
        <v>52</v>
      </c>
      <c r="Z8" s="53">
        <v>10</v>
      </c>
      <c r="AA8" s="53">
        <v>10</v>
      </c>
      <c r="AB8" s="53">
        <v>10</v>
      </c>
      <c r="AD8" s="53">
        <v>52</v>
      </c>
      <c r="AE8" s="53">
        <v>52</v>
      </c>
      <c r="AF8" s="53">
        <v>52</v>
      </c>
      <c r="AH8" s="53">
        <v>48</v>
      </c>
      <c r="AI8" s="53">
        <v>48</v>
      </c>
      <c r="AJ8" s="53">
        <v>48</v>
      </c>
      <c r="AL8" s="53">
        <v>48</v>
      </c>
      <c r="AM8" s="53">
        <v>48</v>
      </c>
      <c r="AN8" s="53">
        <v>48</v>
      </c>
      <c r="AP8" s="53">
        <v>100</v>
      </c>
      <c r="AQ8" s="53">
        <v>100</v>
      </c>
      <c r="AR8" s="53">
        <v>100</v>
      </c>
      <c r="AT8" s="53">
        <v>0</v>
      </c>
      <c r="AU8" s="53">
        <v>0</v>
      </c>
      <c r="AV8" s="53">
        <v>0</v>
      </c>
      <c r="AX8" s="53">
        <v>6522591.6612480013</v>
      </c>
      <c r="AY8" s="53">
        <v>6718269.4110854408</v>
      </c>
      <c r="AZ8" s="53">
        <v>6718269.4110854408</v>
      </c>
      <c r="BB8" s="53">
        <v>5692009.4277862394</v>
      </c>
      <c r="BC8" s="53">
        <v>5862769.7106198259</v>
      </c>
      <c r="BD8" s="53">
        <v>5862769.7106198259</v>
      </c>
      <c r="BF8" s="53">
        <v>-818833.65173375991</v>
      </c>
      <c r="BG8" s="53">
        <v>-843398.6612857728</v>
      </c>
      <c r="BH8" s="53">
        <v>-843398.6612857728</v>
      </c>
      <c r="BJ8" s="53">
        <v>4738071.4318080004</v>
      </c>
      <c r="BK8" s="53">
        <v>4880213.5747622401</v>
      </c>
      <c r="BL8" s="53">
        <v>4880213.5747622401</v>
      </c>
      <c r="BN8" s="53">
        <v>312770.68492799992</v>
      </c>
      <c r="BO8" s="53">
        <v>322153.80547583988</v>
      </c>
      <c r="BP8" s="53">
        <v>322153.80547583988</v>
      </c>
      <c r="BR8" s="53">
        <v>1292201.2995840001</v>
      </c>
      <c r="BS8" s="53">
        <v>1330967.3385715203</v>
      </c>
      <c r="BT8" s="53">
        <v>1330967.3385715203</v>
      </c>
      <c r="BV8" s="53">
        <v>54211.165631999982</v>
      </c>
      <c r="BW8" s="53">
        <v>55837.500600960011</v>
      </c>
      <c r="BX8" s="53">
        <v>55837.500600960011</v>
      </c>
      <c r="BZ8" s="53">
        <v>125337.07929599997</v>
      </c>
      <c r="CA8" s="53">
        <v>129097.19167487997</v>
      </c>
      <c r="CB8" s="53">
        <v>129097.19167487997</v>
      </c>
      <c r="CD8" s="53">
        <v>277618.46133964794</v>
      </c>
      <c r="CE8" s="53">
        <v>285947.01517983741</v>
      </c>
      <c r="CF8" s="53">
        <v>285947.01517983741</v>
      </c>
      <c r="CH8" s="53">
        <v>77666.415230975996</v>
      </c>
      <c r="CI8" s="53">
        <v>79996.407687905303</v>
      </c>
      <c r="CJ8" s="53">
        <v>79996.407687905303</v>
      </c>
      <c r="CL8" s="53">
        <v>301022.10319999995</v>
      </c>
      <c r="CM8" s="53">
        <v>310052.76629599993</v>
      </c>
      <c r="CN8" s="53">
        <v>310052.76629599993</v>
      </c>
      <c r="CP8" s="53">
        <v>265276.9761607679</v>
      </c>
      <c r="CQ8" s="53">
        <v>273235.28544559103</v>
      </c>
      <c r="CR8" s="53">
        <v>273235.28544559103</v>
      </c>
      <c r="CT8" s="53">
        <v>0</v>
      </c>
      <c r="CU8" s="53">
        <v>0</v>
      </c>
      <c r="CV8" s="53">
        <v>0</v>
      </c>
      <c r="CX8" s="53">
        <v>3596487.75165935</v>
      </c>
      <c r="CY8" s="53">
        <v>3956136.5268252851</v>
      </c>
      <c r="CZ8" s="53">
        <v>4351750.1795078162</v>
      </c>
      <c r="DB8" s="53">
        <v>171508.43999999997</v>
      </c>
      <c r="DC8" s="53">
        <v>176653.69320000007</v>
      </c>
      <c r="DD8" s="53">
        <v>181953.303996</v>
      </c>
      <c r="DF8" s="53">
        <v>50400</v>
      </c>
      <c r="DG8" s="53">
        <v>52416</v>
      </c>
      <c r="DH8" s="53">
        <v>54512.640000000007</v>
      </c>
      <c r="DJ8" s="53">
        <v>16617.880799999995</v>
      </c>
      <c r="DK8" s="53">
        <v>17282.596031999998</v>
      </c>
      <c r="DL8" s="53">
        <v>17973.899873279999</v>
      </c>
      <c r="DN8" s="53">
        <v>51000</v>
      </c>
      <c r="DO8" s="53">
        <v>52020</v>
      </c>
      <c r="DP8" s="53">
        <v>53060.399999999987</v>
      </c>
      <c r="DR8" s="53">
        <v>205680</v>
      </c>
      <c r="DS8" s="53">
        <v>209793.59999999998</v>
      </c>
      <c r="DT8" s="53">
        <v>213989.47200000004</v>
      </c>
      <c r="DV8" s="53">
        <v>53400</v>
      </c>
      <c r="DW8" s="53">
        <v>56070</v>
      </c>
      <c r="DX8" s="53">
        <v>58873.5</v>
      </c>
      <c r="DZ8" s="53">
        <v>0</v>
      </c>
      <c r="EA8" s="53">
        <v>0</v>
      </c>
      <c r="EB8" s="53">
        <v>0</v>
      </c>
      <c r="ED8" s="53">
        <v>918187.67652056308</v>
      </c>
      <c r="EE8" s="53">
        <v>556437.02759299078</v>
      </c>
      <c r="EF8" s="53">
        <v>482745.3797986884</v>
      </c>
      <c r="EH8" s="53">
        <v>0</v>
      </c>
      <c r="EI8" s="53">
        <v>0</v>
      </c>
      <c r="EJ8" s="53">
        <v>0</v>
      </c>
      <c r="EL8" s="53">
        <v>-853801.41416793584</v>
      </c>
      <c r="EM8" s="53">
        <v>-868742.93891587458</v>
      </c>
      <c r="EN8" s="53">
        <v>-879415.45659297367</v>
      </c>
      <c r="EP8" s="53">
        <v>139362.74304411199</v>
      </c>
      <c r="EQ8" s="53">
        <v>146730.54333383948</v>
      </c>
      <c r="ER8" s="53">
        <v>186146.34516854721</v>
      </c>
      <c r="ET8" s="53">
        <v>1</v>
      </c>
      <c r="EU8" s="53">
        <v>1</v>
      </c>
      <c r="EV8" s="53">
        <v>1</v>
      </c>
      <c r="EX8" s="53">
        <v>1</v>
      </c>
      <c r="EY8" s="53">
        <v>1</v>
      </c>
      <c r="EZ8" s="53">
        <v>1</v>
      </c>
      <c r="FB8" s="53">
        <v>1</v>
      </c>
      <c r="FC8" s="53">
        <v>1</v>
      </c>
      <c r="FD8" s="53">
        <v>1</v>
      </c>
      <c r="FF8" t="str">
        <v>Maryland</v>
      </c>
      <c r="FG8" s="127" t="str">
        <v>Meta-M&amp;A</v>
      </c>
      <c r="FH8" s="89">
        <v>0</v>
      </c>
      <c r="FI8" s="89">
        <v>0</v>
      </c>
      <c r="FJ8" s="89">
        <v>0</v>
      </c>
      <c r="FK8" s="89">
        <v>0</v>
      </c>
      <c r="FL8" s="89">
        <v>0</v>
      </c>
      <c r="FM8" s="89">
        <v>0</v>
      </c>
      <c r="FN8" s="89">
        <v>0</v>
      </c>
      <c r="FO8" s="89">
        <v>0</v>
      </c>
      <c r="FP8" s="89">
        <v>0</v>
      </c>
      <c r="FQ8" s="89">
        <v>0</v>
      </c>
      <c r="FR8" s="89">
        <v>0</v>
      </c>
      <c r="FS8" s="89">
        <v>0</v>
      </c>
    </row>
    <row r="9" spans="1:175" x14ac:dyDescent="0.25">
      <c r="A9" s="117"/>
      <c r="B9" t="str">
        <v>New Jersey</v>
      </c>
      <c r="C9" s="116" t="str">
        <v>NJA4-Center</v>
      </c>
      <c r="D9" s="3">
        <v>2025</v>
      </c>
      <c r="E9">
        <v>5</v>
      </c>
      <c r="G9" t="str">
        <v>JV2</v>
      </c>
      <c r="H9" t="str">
        <v>Remote</v>
      </c>
      <c r="I9" t="str">
        <v>Maryland</v>
      </c>
      <c r="J9" s="53">
        <v>22302.720000000001</v>
      </c>
      <c r="K9" s="53">
        <v>22302.720000000001</v>
      </c>
      <c r="L9" s="53">
        <v>22302.720000000001</v>
      </c>
      <c r="N9" s="53">
        <v>14.79</v>
      </c>
      <c r="O9" s="53">
        <v>14.79</v>
      </c>
      <c r="P9" s="53">
        <v>14.79</v>
      </c>
      <c r="R9" s="53">
        <v>3</v>
      </c>
      <c r="S9" s="53">
        <v>3</v>
      </c>
      <c r="T9" s="53">
        <v>3</v>
      </c>
      <c r="V9" s="53">
        <v>18</v>
      </c>
      <c r="W9" s="53">
        <v>18</v>
      </c>
      <c r="X9" s="53">
        <v>18</v>
      </c>
      <c r="Z9" s="53">
        <v>3</v>
      </c>
      <c r="AA9" s="53">
        <v>3</v>
      </c>
      <c r="AB9" s="53">
        <v>3</v>
      </c>
      <c r="AD9" s="53">
        <v>36</v>
      </c>
      <c r="AE9" s="53">
        <v>36</v>
      </c>
      <c r="AF9" s="53">
        <v>36</v>
      </c>
      <c r="AH9" s="53">
        <v>24</v>
      </c>
      <c r="AI9" s="53">
        <v>24</v>
      </c>
      <c r="AJ9" s="53">
        <v>24</v>
      </c>
      <c r="AL9" s="53">
        <v>24</v>
      </c>
      <c r="AM9" s="53">
        <v>24</v>
      </c>
      <c r="AN9" s="53">
        <v>24</v>
      </c>
      <c r="AP9" s="53">
        <v>60</v>
      </c>
      <c r="AQ9" s="53">
        <v>60</v>
      </c>
      <c r="AR9" s="53">
        <v>60</v>
      </c>
      <c r="AT9" s="53">
        <v>0</v>
      </c>
      <c r="AU9" s="53">
        <v>0</v>
      </c>
      <c r="AV9" s="53">
        <v>0</v>
      </c>
      <c r="AX9" s="53">
        <v>2286254.8054079991</v>
      </c>
      <c r="AY9" s="53">
        <v>2354842.4495702395</v>
      </c>
      <c r="AZ9" s="53">
        <v>2354842.4495702395</v>
      </c>
      <c r="BB9" s="53">
        <v>2011904.2287590394</v>
      </c>
      <c r="BC9" s="53">
        <v>2072261.3556218112</v>
      </c>
      <c r="BD9" s="53">
        <v>2072261.3556218112</v>
      </c>
      <c r="BF9" s="53">
        <v>-274350.57664895995</v>
      </c>
      <c r="BG9" s="53">
        <v>-282581.09394842881</v>
      </c>
      <c r="BH9" s="53">
        <v>-282581.09394842881</v>
      </c>
      <c r="BJ9" s="53">
        <v>1714651.7244479994</v>
      </c>
      <c r="BK9" s="53">
        <v>1766091.2761814401</v>
      </c>
      <c r="BL9" s="53">
        <v>1766091.2761814401</v>
      </c>
      <c r="BN9" s="53">
        <v>0</v>
      </c>
      <c r="BO9" s="53">
        <v>0</v>
      </c>
      <c r="BP9" s="53">
        <v>0</v>
      </c>
      <c r="BR9" s="53">
        <v>447300.44985599996</v>
      </c>
      <c r="BS9" s="53">
        <v>460719.46335167997</v>
      </c>
      <c r="BT9" s="53">
        <v>460719.46335167997</v>
      </c>
      <c r="BV9" s="53">
        <v>37530.806976</v>
      </c>
      <c r="BW9" s="53">
        <v>38656.731185280012</v>
      </c>
      <c r="BX9" s="53">
        <v>38656.731185280012</v>
      </c>
      <c r="BZ9" s="53">
        <v>86771.824127999993</v>
      </c>
      <c r="CA9" s="53">
        <v>89374.978851840002</v>
      </c>
      <c r="CB9" s="53">
        <v>89374.978851840002</v>
      </c>
      <c r="CD9" s="53">
        <v>0</v>
      </c>
      <c r="CE9" s="53">
        <v>0</v>
      </c>
      <c r="CF9" s="53">
        <v>0</v>
      </c>
      <c r="CH9" s="53">
        <v>0</v>
      </c>
      <c r="CI9" s="53">
        <v>0</v>
      </c>
      <c r="CJ9" s="53">
        <v>0</v>
      </c>
      <c r="CL9" s="53">
        <v>0</v>
      </c>
      <c r="CM9" s="53">
        <v>0</v>
      </c>
      <c r="CN9" s="53">
        <v>0</v>
      </c>
      <c r="CP9" s="53">
        <v>0</v>
      </c>
      <c r="CQ9" s="53">
        <v>0</v>
      </c>
      <c r="CR9" s="53">
        <v>0</v>
      </c>
      <c r="CT9" s="53">
        <v>0</v>
      </c>
      <c r="CU9" s="53">
        <v>0</v>
      </c>
      <c r="CV9" s="53">
        <v>0</v>
      </c>
      <c r="CX9" s="53">
        <v>877597.6237010156</v>
      </c>
      <c r="CY9" s="53">
        <v>965357.38607111748</v>
      </c>
      <c r="CZ9" s="53">
        <v>1061893.1246782294</v>
      </c>
      <c r="DB9" s="53">
        <v>0</v>
      </c>
      <c r="DC9" s="53">
        <v>0</v>
      </c>
      <c r="DD9" s="53">
        <v>0</v>
      </c>
      <c r="DF9" s="53">
        <v>0</v>
      </c>
      <c r="DG9" s="53">
        <v>0</v>
      </c>
      <c r="DH9" s="53">
        <v>0</v>
      </c>
      <c r="DJ9" s="53">
        <v>12776.764800000003</v>
      </c>
      <c r="DK9" s="53">
        <v>13287.835392000001</v>
      </c>
      <c r="DL9" s="53">
        <v>13819.348807680004</v>
      </c>
      <c r="DN9" s="53">
        <v>0</v>
      </c>
      <c r="DO9" s="53">
        <v>0</v>
      </c>
      <c r="DP9" s="53">
        <v>0</v>
      </c>
      <c r="DR9" s="53">
        <v>79169.999999999985</v>
      </c>
      <c r="DS9" s="53">
        <v>80753.39999999998</v>
      </c>
      <c r="DT9" s="53">
        <v>82368.467999999993</v>
      </c>
      <c r="DV9" s="53">
        <v>0</v>
      </c>
      <c r="DW9" s="53">
        <v>0</v>
      </c>
      <c r="DX9" s="53">
        <v>0</v>
      </c>
      <c r="DZ9" s="53">
        <v>0</v>
      </c>
      <c r="EA9" s="53">
        <v>0</v>
      </c>
      <c r="EB9" s="53">
        <v>0</v>
      </c>
      <c r="ED9" s="53">
        <v>324543.67699538759</v>
      </c>
      <c r="EE9" s="53">
        <v>196678.87466726292</v>
      </c>
      <c r="EF9" s="53">
        <v>170631.73969629352</v>
      </c>
      <c r="EH9" s="53">
        <v>0</v>
      </c>
      <c r="EI9" s="53">
        <v>0</v>
      </c>
      <c r="EJ9" s="53">
        <v>0</v>
      </c>
      <c r="EL9" s="53">
        <v>-301785.63431385596</v>
      </c>
      <c r="EM9" s="53">
        <v>-307066.88291434839</v>
      </c>
      <c r="EN9" s="53">
        <v>-310839.20334327157</v>
      </c>
      <c r="EP9" s="53">
        <v>47432.441981494048</v>
      </c>
      <c r="EQ9" s="53">
        <v>49940.090382638955</v>
      </c>
      <c r="ER9" s="53">
        <v>63355.352545547641</v>
      </c>
      <c r="ET9" s="53">
        <v>0</v>
      </c>
      <c r="EU9" s="53">
        <v>0</v>
      </c>
      <c r="EV9" s="53">
        <v>0</v>
      </c>
      <c r="EX9" s="53">
        <v>0</v>
      </c>
      <c r="EY9" s="53">
        <v>0</v>
      </c>
      <c r="EZ9" s="53">
        <v>0</v>
      </c>
      <c r="FB9" s="53">
        <v>0</v>
      </c>
      <c r="FC9" s="53">
        <v>0</v>
      </c>
      <c r="FD9" s="53">
        <v>0</v>
      </c>
      <c r="FF9" t="str">
        <v>Maryland</v>
      </c>
      <c r="FG9" s="127" t="str">
        <v>MDA1-Center</v>
      </c>
      <c r="FH9" s="89">
        <v>1384.83</v>
      </c>
      <c r="FI9" s="89">
        <v>1384.83</v>
      </c>
      <c r="FJ9" s="89">
        <v>1384.83</v>
      </c>
      <c r="FK9" s="89">
        <v>1384.83</v>
      </c>
      <c r="FL9" s="89">
        <v>1384.83</v>
      </c>
      <c r="FM9" s="89">
        <v>1384.83</v>
      </c>
      <c r="FN9" s="89">
        <v>1384.83</v>
      </c>
      <c r="FO9" s="89">
        <v>1384.83</v>
      </c>
      <c r="FP9" s="89">
        <v>1384.83</v>
      </c>
      <c r="FQ9" s="89">
        <v>1384.83</v>
      </c>
      <c r="FR9" s="89">
        <v>1384.83</v>
      </c>
      <c r="FS9" s="89">
        <v>1384.83</v>
      </c>
    </row>
    <row r="10" spans="1:175" x14ac:dyDescent="0.25">
      <c r="A10" s="117"/>
      <c r="B10" t="str">
        <v>New Jersey</v>
      </c>
      <c r="C10" s="116" t="str">
        <v>NJA1-Center</v>
      </c>
      <c r="D10" s="3">
        <v>2025</v>
      </c>
      <c r="E10">
        <v>12</v>
      </c>
      <c r="G10" t="str">
        <v>JV2</v>
      </c>
      <c r="H10" t="str">
        <v>Center</v>
      </c>
      <c r="I10" t="str">
        <v>Maryland</v>
      </c>
      <c r="J10" s="53">
        <v>46625.919999999991</v>
      </c>
      <c r="K10" s="53">
        <v>46625.919999999991</v>
      </c>
      <c r="L10" s="53">
        <v>46625.919999999991</v>
      </c>
      <c r="N10" s="53">
        <v>31.720000000000002</v>
      </c>
      <c r="O10" s="53">
        <v>31.720000000000002</v>
      </c>
      <c r="P10" s="53">
        <v>31.720000000000002</v>
      </c>
      <c r="R10" s="53">
        <v>5.29</v>
      </c>
      <c r="S10" s="53">
        <v>5.29</v>
      </c>
      <c r="T10" s="53">
        <v>5.29</v>
      </c>
      <c r="V10" s="53">
        <v>37</v>
      </c>
      <c r="W10" s="53">
        <v>37</v>
      </c>
      <c r="X10" s="53">
        <v>37</v>
      </c>
      <c r="Z10" s="53">
        <v>8</v>
      </c>
      <c r="AA10" s="53">
        <v>8</v>
      </c>
      <c r="AB10" s="53">
        <v>8</v>
      </c>
      <c r="AD10" s="53">
        <v>37</v>
      </c>
      <c r="AE10" s="53">
        <v>37</v>
      </c>
      <c r="AF10" s="53">
        <v>37</v>
      </c>
      <c r="AH10" s="53">
        <v>43.333333333333329</v>
      </c>
      <c r="AI10" s="53">
        <v>48</v>
      </c>
      <c r="AJ10" s="53">
        <v>48</v>
      </c>
      <c r="AL10" s="53">
        <v>43.333333333333329</v>
      </c>
      <c r="AM10" s="53">
        <v>48</v>
      </c>
      <c r="AN10" s="53">
        <v>48</v>
      </c>
      <c r="AP10" s="53">
        <v>80.333333333333329</v>
      </c>
      <c r="AQ10" s="53">
        <v>85</v>
      </c>
      <c r="AR10" s="53">
        <v>85</v>
      </c>
      <c r="AT10" s="53">
        <v>0</v>
      </c>
      <c r="AU10" s="53">
        <v>0</v>
      </c>
      <c r="AV10" s="53">
        <v>0</v>
      </c>
      <c r="AX10" s="53">
        <v>4641074.8358880002</v>
      </c>
      <c r="AY10" s="53">
        <v>4780307.0809646407</v>
      </c>
      <c r="AZ10" s="53">
        <v>4780307.0809646407</v>
      </c>
      <c r="BB10" s="53">
        <v>4126496.9344294393</v>
      </c>
      <c r="BC10" s="53">
        <v>4250291.8424623245</v>
      </c>
      <c r="BD10" s="53">
        <v>4250291.8424623245</v>
      </c>
      <c r="BF10" s="53">
        <v>-593051.63269056007</v>
      </c>
      <c r="BG10" s="53">
        <v>-610843.1816712768</v>
      </c>
      <c r="BH10" s="53">
        <v>-610843.1816712768</v>
      </c>
      <c r="BJ10" s="53">
        <v>3371320.0572479996</v>
      </c>
      <c r="BK10" s="53">
        <v>3472459.6589654409</v>
      </c>
      <c r="BL10" s="53">
        <v>3472459.6589654409</v>
      </c>
      <c r="BN10" s="53">
        <v>222548.37196800005</v>
      </c>
      <c r="BO10" s="53">
        <v>229224.82312704003</v>
      </c>
      <c r="BP10" s="53">
        <v>229224.82312704003</v>
      </c>
      <c r="BR10" s="53">
        <v>919450.924704</v>
      </c>
      <c r="BS10" s="53">
        <v>947034.45244511974</v>
      </c>
      <c r="BT10" s="53">
        <v>947034.45244511974</v>
      </c>
      <c r="BV10" s="53">
        <v>38573.329391999992</v>
      </c>
      <c r="BW10" s="53">
        <v>39730.529273759988</v>
      </c>
      <c r="BX10" s="53">
        <v>39730.529273759988</v>
      </c>
      <c r="BZ10" s="53">
        <v>89182.152576000022</v>
      </c>
      <c r="CA10" s="53">
        <v>91857.617153280007</v>
      </c>
      <c r="CB10" s="53">
        <v>91857.617153280007</v>
      </c>
      <c r="CD10" s="53">
        <v>197536.21287628787</v>
      </c>
      <c r="CE10" s="53">
        <v>203462.29926257662</v>
      </c>
      <c r="CF10" s="53">
        <v>203462.29926257662</v>
      </c>
      <c r="CH10" s="53">
        <v>55262.64160665599</v>
      </c>
      <c r="CI10" s="53">
        <v>56920.520854855684</v>
      </c>
      <c r="CJ10" s="53">
        <v>56920.520854855684</v>
      </c>
      <c r="CL10" s="53">
        <v>301022.10319999995</v>
      </c>
      <c r="CM10" s="53">
        <v>310052.76629599993</v>
      </c>
      <c r="CN10" s="53">
        <v>310052.76629599993</v>
      </c>
      <c r="CP10" s="53">
        <v>188754.77149900794</v>
      </c>
      <c r="CQ10" s="53">
        <v>194417.41464397815</v>
      </c>
      <c r="CR10" s="53">
        <v>194417.41464397815</v>
      </c>
      <c r="CT10" s="53">
        <v>0</v>
      </c>
      <c r="CU10" s="53">
        <v>0</v>
      </c>
      <c r="CV10" s="53">
        <v>0</v>
      </c>
      <c r="CX10" s="53">
        <v>2675211.65328582</v>
      </c>
      <c r="CY10" s="53">
        <v>2950410.0852810699</v>
      </c>
      <c r="CZ10" s="53">
        <v>3245451.0938091758</v>
      </c>
      <c r="DB10" s="53">
        <v>58685.16</v>
      </c>
      <c r="DC10" s="53">
        <v>60445.714799999994</v>
      </c>
      <c r="DD10" s="53">
        <v>62259.086244000013</v>
      </c>
      <c r="DF10" s="53">
        <v>64335.120000000017</v>
      </c>
      <c r="DG10" s="53">
        <v>66908.524800000028</v>
      </c>
      <c r="DH10" s="53">
        <v>69584.865791999997</v>
      </c>
      <c r="DJ10" s="53">
        <v>14323.319399999997</v>
      </c>
      <c r="DK10" s="53">
        <v>15264.190655999999</v>
      </c>
      <c r="DL10" s="53">
        <v>15874.758282239998</v>
      </c>
      <c r="DN10" s="53">
        <v>51000</v>
      </c>
      <c r="DO10" s="53">
        <v>52020</v>
      </c>
      <c r="DP10" s="53">
        <v>53060.399999999987</v>
      </c>
      <c r="DR10" s="53">
        <v>208780.5</v>
      </c>
      <c r="DS10" s="53">
        <v>213330.96000000008</v>
      </c>
      <c r="DT10" s="53">
        <v>217597.57919999995</v>
      </c>
      <c r="DV10" s="53">
        <v>53400</v>
      </c>
      <c r="DW10" s="53">
        <v>56070</v>
      </c>
      <c r="DX10" s="53">
        <v>58873.5</v>
      </c>
      <c r="DZ10" s="53">
        <v>0</v>
      </c>
      <c r="EA10" s="53">
        <v>0</v>
      </c>
      <c r="EB10" s="53">
        <v>0</v>
      </c>
      <c r="ED10" s="53">
        <v>665652.20603764674</v>
      </c>
      <c r="EE10" s="53">
        <v>403396.32562037586</v>
      </c>
      <c r="EF10" s="53">
        <v>349972.5984508812</v>
      </c>
      <c r="EH10" s="53">
        <v>0</v>
      </c>
      <c r="EI10" s="53">
        <v>0</v>
      </c>
      <c r="EJ10" s="53">
        <v>0</v>
      </c>
      <c r="EL10" s="53">
        <v>-618974.54016441607</v>
      </c>
      <c r="EM10" s="53">
        <v>-629806.59461729333</v>
      </c>
      <c r="EN10" s="53">
        <v>-637543.77636934863</v>
      </c>
      <c r="EP10" s="53">
        <v>99161.951781387324</v>
      </c>
      <c r="EQ10" s="53">
        <v>104404.42506446264</v>
      </c>
      <c r="ER10" s="53">
        <v>132450.28406223544</v>
      </c>
      <c r="ET10" s="53">
        <v>1</v>
      </c>
      <c r="EU10" s="53">
        <v>1</v>
      </c>
      <c r="EV10" s="53">
        <v>1</v>
      </c>
      <c r="EX10" s="53">
        <v>1</v>
      </c>
      <c r="EY10" s="53">
        <v>1</v>
      </c>
      <c r="EZ10" s="53">
        <v>1</v>
      </c>
      <c r="FB10" s="53">
        <v>1</v>
      </c>
      <c r="FC10" s="53">
        <v>1</v>
      </c>
      <c r="FD10" s="53">
        <v>1</v>
      </c>
      <c r="FF10" t="str">
        <v>Maryland</v>
      </c>
      <c r="FG10" s="127" t="str">
        <v>MDB1-Remote</v>
      </c>
      <c r="FH10" s="89">
        <v>1064.74</v>
      </c>
      <c r="FI10" s="89">
        <v>1064.74</v>
      </c>
      <c r="FJ10" s="89">
        <v>1064.74</v>
      </c>
      <c r="FK10" s="89">
        <v>1064.74</v>
      </c>
      <c r="FL10" s="89">
        <v>1064.74</v>
      </c>
      <c r="FM10" s="89">
        <v>1064.74</v>
      </c>
      <c r="FN10" s="89">
        <v>1064.74</v>
      </c>
      <c r="FO10" s="89">
        <v>1064.74</v>
      </c>
      <c r="FP10" s="89">
        <v>1064.74</v>
      </c>
      <c r="FQ10" s="89">
        <v>1064.74</v>
      </c>
      <c r="FR10" s="89">
        <v>1064.74</v>
      </c>
      <c r="FS10" s="89">
        <v>1064.74</v>
      </c>
    </row>
    <row r="11" spans="1:175" x14ac:dyDescent="0.25">
      <c r="A11" s="117"/>
      <c r="B11" t="str">
        <v>New Jersey</v>
      </c>
      <c r="C11" s="116" t="str">
        <v>NJA2-Center</v>
      </c>
      <c r="D11" s="3">
        <v>2025</v>
      </c>
      <c r="E11">
        <v>12</v>
      </c>
      <c r="G11" t="str">
        <v>JV2</v>
      </c>
      <c r="H11" t="str">
        <v>Remote</v>
      </c>
      <c r="I11" t="str">
        <v>Maryland</v>
      </c>
      <c r="J11" s="53">
        <v>22302.720000000001</v>
      </c>
      <c r="K11" s="53">
        <v>22302.720000000001</v>
      </c>
      <c r="L11" s="53">
        <v>22302.720000000001</v>
      </c>
      <c r="N11" s="53">
        <v>14.79</v>
      </c>
      <c r="O11" s="53">
        <v>14.79</v>
      </c>
      <c r="P11" s="53">
        <v>14.79</v>
      </c>
      <c r="R11" s="53">
        <v>3</v>
      </c>
      <c r="S11" s="53">
        <v>3</v>
      </c>
      <c r="T11" s="53">
        <v>3</v>
      </c>
      <c r="V11" s="53">
        <v>18</v>
      </c>
      <c r="W11" s="53">
        <v>18</v>
      </c>
      <c r="X11" s="53">
        <v>18</v>
      </c>
      <c r="Z11" s="53">
        <v>3</v>
      </c>
      <c r="AA11" s="53">
        <v>3</v>
      </c>
      <c r="AB11" s="53">
        <v>3</v>
      </c>
      <c r="AD11" s="53">
        <v>36</v>
      </c>
      <c r="AE11" s="53">
        <v>36</v>
      </c>
      <c r="AF11" s="53">
        <v>36</v>
      </c>
      <c r="AH11" s="53">
        <v>24</v>
      </c>
      <c r="AI11" s="53">
        <v>24</v>
      </c>
      <c r="AJ11" s="53">
        <v>24</v>
      </c>
      <c r="AL11" s="53">
        <v>24</v>
      </c>
      <c r="AM11" s="53">
        <v>24</v>
      </c>
      <c r="AN11" s="53">
        <v>24</v>
      </c>
      <c r="AP11" s="53">
        <v>60</v>
      </c>
      <c r="AQ11" s="53">
        <v>60</v>
      </c>
      <c r="AR11" s="53">
        <v>60</v>
      </c>
      <c r="AT11" s="53">
        <v>0</v>
      </c>
      <c r="AU11" s="53">
        <v>0</v>
      </c>
      <c r="AV11" s="53">
        <v>0</v>
      </c>
      <c r="AX11" s="53">
        <v>2286254.8054079991</v>
      </c>
      <c r="AY11" s="53">
        <v>2354842.4495702395</v>
      </c>
      <c r="AZ11" s="53">
        <v>2354842.4495702395</v>
      </c>
      <c r="BB11" s="53">
        <v>2011904.2287590394</v>
      </c>
      <c r="BC11" s="53">
        <v>2072261.3556218112</v>
      </c>
      <c r="BD11" s="53">
        <v>2072261.3556218112</v>
      </c>
      <c r="BF11" s="53">
        <v>-274350.57664895995</v>
      </c>
      <c r="BG11" s="53">
        <v>-282581.09394842881</v>
      </c>
      <c r="BH11" s="53">
        <v>-282581.09394842881</v>
      </c>
      <c r="BJ11" s="53">
        <v>1714651.7244479994</v>
      </c>
      <c r="BK11" s="53">
        <v>1766091.2761814401</v>
      </c>
      <c r="BL11" s="53">
        <v>1766091.2761814401</v>
      </c>
      <c r="BN11" s="53">
        <v>0</v>
      </c>
      <c r="BO11" s="53">
        <v>0</v>
      </c>
      <c r="BP11" s="53">
        <v>0</v>
      </c>
      <c r="BR11" s="53">
        <v>447300.44985599996</v>
      </c>
      <c r="BS11" s="53">
        <v>460719.46335167997</v>
      </c>
      <c r="BT11" s="53">
        <v>460719.46335167997</v>
      </c>
      <c r="BV11" s="53">
        <v>37530.806976</v>
      </c>
      <c r="BW11" s="53">
        <v>38656.731185280012</v>
      </c>
      <c r="BX11" s="53">
        <v>38656.731185280012</v>
      </c>
      <c r="BZ11" s="53">
        <v>86771.824127999993</v>
      </c>
      <c r="CA11" s="53">
        <v>89374.978851840002</v>
      </c>
      <c r="CB11" s="53">
        <v>89374.978851840002</v>
      </c>
      <c r="CD11" s="53">
        <v>0</v>
      </c>
      <c r="CE11" s="53">
        <v>0</v>
      </c>
      <c r="CF11" s="53">
        <v>0</v>
      </c>
      <c r="CH11" s="53">
        <v>0</v>
      </c>
      <c r="CI11" s="53">
        <v>0</v>
      </c>
      <c r="CJ11" s="53">
        <v>0</v>
      </c>
      <c r="CL11" s="53">
        <v>0</v>
      </c>
      <c r="CM11" s="53">
        <v>0</v>
      </c>
      <c r="CN11" s="53">
        <v>0</v>
      </c>
      <c r="CP11" s="53">
        <v>0</v>
      </c>
      <c r="CQ11" s="53">
        <v>0</v>
      </c>
      <c r="CR11" s="53">
        <v>0</v>
      </c>
      <c r="CT11" s="53">
        <v>0</v>
      </c>
      <c r="CU11" s="53">
        <v>0</v>
      </c>
      <c r="CV11" s="53">
        <v>0</v>
      </c>
      <c r="CX11" s="53">
        <v>877597.6237010156</v>
      </c>
      <c r="CY11" s="53">
        <v>965357.38607111748</v>
      </c>
      <c r="CZ11" s="53">
        <v>1061893.1246782294</v>
      </c>
      <c r="DB11" s="53">
        <v>0</v>
      </c>
      <c r="DC11" s="53">
        <v>0</v>
      </c>
      <c r="DD11" s="53">
        <v>0</v>
      </c>
      <c r="DF11" s="53">
        <v>0</v>
      </c>
      <c r="DG11" s="53">
        <v>0</v>
      </c>
      <c r="DH11" s="53">
        <v>0</v>
      </c>
      <c r="DJ11" s="53">
        <v>12776.764800000003</v>
      </c>
      <c r="DK11" s="53">
        <v>13287.835392000001</v>
      </c>
      <c r="DL11" s="53">
        <v>13819.348807680004</v>
      </c>
      <c r="DN11" s="53">
        <v>0</v>
      </c>
      <c r="DO11" s="53">
        <v>0</v>
      </c>
      <c r="DP11" s="53">
        <v>0</v>
      </c>
      <c r="DR11" s="53">
        <v>79169.999999999985</v>
      </c>
      <c r="DS11" s="53">
        <v>80753.39999999998</v>
      </c>
      <c r="DT11" s="53">
        <v>82368.467999999993</v>
      </c>
      <c r="DV11" s="53">
        <v>0</v>
      </c>
      <c r="DW11" s="53">
        <v>0</v>
      </c>
      <c r="DX11" s="53">
        <v>0</v>
      </c>
      <c r="DZ11" s="53">
        <v>0</v>
      </c>
      <c r="EA11" s="53">
        <v>0</v>
      </c>
      <c r="EB11" s="53">
        <v>0</v>
      </c>
      <c r="ED11" s="53">
        <v>324543.67699538759</v>
      </c>
      <c r="EE11" s="53">
        <v>196678.87466726292</v>
      </c>
      <c r="EF11" s="53">
        <v>170631.73969629352</v>
      </c>
      <c r="EH11" s="53">
        <v>0</v>
      </c>
      <c r="EI11" s="53">
        <v>0</v>
      </c>
      <c r="EJ11" s="53">
        <v>0</v>
      </c>
      <c r="EL11" s="53">
        <v>-301785.63431385596</v>
      </c>
      <c r="EM11" s="53">
        <v>-307066.88291434839</v>
      </c>
      <c r="EN11" s="53">
        <v>-310839.20334327157</v>
      </c>
      <c r="EP11" s="53">
        <v>47432.441981494048</v>
      </c>
      <c r="EQ11" s="53">
        <v>49940.090382638955</v>
      </c>
      <c r="ER11" s="53">
        <v>63355.352545547641</v>
      </c>
      <c r="ET11" s="53">
        <v>0</v>
      </c>
      <c r="EU11" s="53">
        <v>0</v>
      </c>
      <c r="EV11" s="53">
        <v>0</v>
      </c>
      <c r="EX11" s="53">
        <v>0</v>
      </c>
      <c r="EY11" s="53">
        <v>0</v>
      </c>
      <c r="EZ11" s="53">
        <v>0</v>
      </c>
      <c r="FB11" s="53">
        <v>0</v>
      </c>
      <c r="FC11" s="53">
        <v>0</v>
      </c>
      <c r="FD11" s="53">
        <v>0</v>
      </c>
      <c r="FE11">
        <f>SUMIFS(FB:FB,I:I,FF11)</f>
        <v>3</v>
      </c>
      <c r="FF11" t="str">
        <v>Maryland</v>
      </c>
      <c r="FG11" s="127" t="str">
        <v>MDA3-Center</v>
      </c>
      <c r="FH11" s="89">
        <v>1132.1199999999999</v>
      </c>
      <c r="FI11" s="89">
        <v>1148.97</v>
      </c>
      <c r="FJ11" s="89">
        <v>1162.45</v>
      </c>
      <c r="FK11" s="89">
        <v>1172.56</v>
      </c>
      <c r="FL11" s="89">
        <v>1182.6600000000001</v>
      </c>
      <c r="FM11" s="89">
        <v>1199.51</v>
      </c>
      <c r="FN11" s="89">
        <v>1209.6199999999999</v>
      </c>
      <c r="FO11" s="89">
        <v>1223.0999999999999</v>
      </c>
      <c r="FP11" s="89">
        <v>1223.0999999999999</v>
      </c>
      <c r="FQ11" s="89">
        <v>1223.0999999999999</v>
      </c>
      <c r="FR11" s="89">
        <v>1223.0999999999999</v>
      </c>
      <c r="FS11" s="89">
        <v>1223.0999999999999</v>
      </c>
    </row>
    <row r="12" spans="1:175" x14ac:dyDescent="0.25">
      <c r="A12" s="117"/>
      <c r="B12" t="str">
        <v>New Jersey</v>
      </c>
      <c r="C12" s="116" t="str">
        <v>NJA3-Center</v>
      </c>
      <c r="D12" s="3">
        <v>2026</v>
      </c>
      <c r="E12">
        <v>3</v>
      </c>
      <c r="G12" t="str">
        <v>JV2</v>
      </c>
      <c r="H12" t="str">
        <v>Center</v>
      </c>
      <c r="I12" t="str">
        <v>North Carolina</v>
      </c>
      <c r="J12" s="53">
        <v>42005.333333333314</v>
      </c>
      <c r="K12" s="53">
        <v>42845.439999999981</v>
      </c>
      <c r="L12" s="53">
        <v>42845.439999999981</v>
      </c>
      <c r="N12" s="53">
        <v>29.150000000000002</v>
      </c>
      <c r="O12" s="53">
        <v>29.150000000000002</v>
      </c>
      <c r="P12" s="53">
        <v>29.150000000000002</v>
      </c>
      <c r="R12" s="53">
        <v>4.8599999999999994</v>
      </c>
      <c r="S12" s="53">
        <v>4.8599999999999994</v>
      </c>
      <c r="T12" s="53">
        <v>4.8599999999999994</v>
      </c>
      <c r="V12" s="53">
        <v>34</v>
      </c>
      <c r="W12" s="53">
        <v>34</v>
      </c>
      <c r="X12" s="53">
        <v>34</v>
      </c>
      <c r="Z12" s="53">
        <v>8</v>
      </c>
      <c r="AA12" s="53">
        <v>8</v>
      </c>
      <c r="AB12" s="53">
        <v>8</v>
      </c>
      <c r="AD12" s="53">
        <v>34</v>
      </c>
      <c r="AE12" s="53">
        <v>34</v>
      </c>
      <c r="AF12" s="53">
        <v>34</v>
      </c>
      <c r="AH12" s="53">
        <v>37.857142857142854</v>
      </c>
      <c r="AI12" s="53">
        <v>47.833333333333336</v>
      </c>
      <c r="AJ12" s="53">
        <v>48</v>
      </c>
      <c r="AL12" s="53">
        <v>33</v>
      </c>
      <c r="AM12" s="53">
        <v>47.833333333333336</v>
      </c>
      <c r="AN12" s="53">
        <v>48</v>
      </c>
      <c r="AP12" s="53">
        <v>67</v>
      </c>
      <c r="AQ12" s="53">
        <v>81.833333333333343</v>
      </c>
      <c r="AR12" s="53">
        <v>82</v>
      </c>
      <c r="AT12" s="53">
        <v>0</v>
      </c>
      <c r="AU12" s="53">
        <v>0</v>
      </c>
      <c r="AV12" s="53">
        <v>0</v>
      </c>
      <c r="AX12" s="53">
        <v>4127066.2500266656</v>
      </c>
      <c r="AY12" s="53">
        <v>4335895.8022780148</v>
      </c>
      <c r="AZ12" s="53">
        <v>4335895.8022780148</v>
      </c>
      <c r="BB12" s="53">
        <v>3331830.4650368006</v>
      </c>
      <c r="BC12" s="53">
        <v>3495252.0861230544</v>
      </c>
      <c r="BD12" s="53">
        <v>3495252.0861230544</v>
      </c>
      <c r="BF12" s="53">
        <v>-529464.63432319986</v>
      </c>
      <c r="BG12" s="53">
        <v>-555550.68112296169</v>
      </c>
      <c r="BH12" s="53">
        <v>-555550.68112296169</v>
      </c>
      <c r="BJ12" s="53">
        <v>2873366.2214399991</v>
      </c>
      <c r="BK12" s="53">
        <v>3018758.552244863</v>
      </c>
      <c r="BL12" s="53">
        <v>3018758.552244863</v>
      </c>
      <c r="BN12" s="53">
        <v>550910.18666666653</v>
      </c>
      <c r="BO12" s="53">
        <v>578786.24211199989</v>
      </c>
      <c r="BP12" s="53">
        <v>578786.24211199989</v>
      </c>
      <c r="BR12" s="53">
        <v>606656.71872</v>
      </c>
      <c r="BS12" s="53">
        <v>637353.54868723219</v>
      </c>
      <c r="BT12" s="53">
        <v>637353.54868723219</v>
      </c>
      <c r="BV12" s="53">
        <v>34325.9424</v>
      </c>
      <c r="BW12" s="53">
        <v>36062.835085439998</v>
      </c>
      <c r="BX12" s="53">
        <v>36062.835085439998</v>
      </c>
      <c r="BZ12" s="53">
        <v>61807.180800000009</v>
      </c>
      <c r="CA12" s="53">
        <v>64934.624148480005</v>
      </c>
      <c r="CB12" s="53">
        <v>64934.624148480005</v>
      </c>
      <c r="CD12" s="53">
        <v>174360.41891840001</v>
      </c>
      <c r="CE12" s="53">
        <v>183183.05611567106</v>
      </c>
      <c r="CF12" s="53">
        <v>183183.05611567106</v>
      </c>
      <c r="CH12" s="53">
        <v>47145.873561600019</v>
      </c>
      <c r="CI12" s="53">
        <v>49531.454763816968</v>
      </c>
      <c r="CJ12" s="53">
        <v>49531.454763816968</v>
      </c>
      <c r="CL12" s="53">
        <v>285139.03600000002</v>
      </c>
      <c r="CM12" s="53">
        <v>293693.20708000002</v>
      </c>
      <c r="CN12" s="53">
        <v>293693.20708000002</v>
      </c>
      <c r="CP12" s="53">
        <v>129953.04058880001</v>
      </c>
      <c r="CQ12" s="53">
        <v>136528.66444259329</v>
      </c>
      <c r="CR12" s="53">
        <v>136528.66444259329</v>
      </c>
      <c r="CT12" s="53">
        <v>0</v>
      </c>
      <c r="CU12" s="53">
        <v>0</v>
      </c>
      <c r="CV12" s="53">
        <v>0</v>
      </c>
      <c r="CX12" s="53">
        <v>2505131.1187559939</v>
      </c>
      <c r="CY12" s="53">
        <v>2814965.422790892</v>
      </c>
      <c r="CZ12" s="53">
        <v>3096701.746736649</v>
      </c>
      <c r="DB12" s="53">
        <v>80556</v>
      </c>
      <c r="DC12" s="53">
        <v>82972.680000000008</v>
      </c>
      <c r="DD12" s="53">
        <v>85461.86039999999</v>
      </c>
      <c r="DF12" s="53">
        <v>67200</v>
      </c>
      <c r="DG12" s="53">
        <v>69888</v>
      </c>
      <c r="DH12" s="53">
        <v>72683.520000000004</v>
      </c>
      <c r="DJ12" s="53">
        <v>13646.070000000002</v>
      </c>
      <c r="DK12" s="53">
        <v>15001.377455999998</v>
      </c>
      <c r="DL12" s="53">
        <v>15612.365583360004</v>
      </c>
      <c r="DN12" s="53">
        <v>72000</v>
      </c>
      <c r="DO12" s="53">
        <v>73440</v>
      </c>
      <c r="DP12" s="53">
        <v>74908.800000000003</v>
      </c>
      <c r="DR12" s="53">
        <v>191137</v>
      </c>
      <c r="DS12" s="53">
        <v>198926.01</v>
      </c>
      <c r="DT12" s="53">
        <v>202915.45440000002</v>
      </c>
      <c r="DV12" s="53">
        <v>57000</v>
      </c>
      <c r="DW12" s="53">
        <v>59850</v>
      </c>
      <c r="DX12" s="53">
        <v>62842.5</v>
      </c>
      <c r="DZ12" s="53">
        <v>0</v>
      </c>
      <c r="EA12" s="53">
        <v>0</v>
      </c>
      <c r="EB12" s="53">
        <v>0</v>
      </c>
      <c r="ED12" s="53">
        <v>533423.13558064506</v>
      </c>
      <c r="EE12" s="53">
        <v>331735.30216742802</v>
      </c>
      <c r="EF12" s="53">
        <v>287801.99105402763</v>
      </c>
      <c r="EH12" s="53">
        <v>0</v>
      </c>
      <c r="EI12" s="53">
        <v>0</v>
      </c>
      <c r="EJ12" s="53">
        <v>0</v>
      </c>
      <c r="EL12" s="53">
        <v>-470891.0561928</v>
      </c>
      <c r="EM12" s="53">
        <v>-517925.09674226306</v>
      </c>
      <c r="EN12" s="53">
        <v>-524287.8129184579</v>
      </c>
      <c r="EP12" s="53">
        <v>89335.09169494352</v>
      </c>
      <c r="EQ12" s="53">
        <v>95939.20141058728</v>
      </c>
      <c r="ER12" s="53">
        <v>121711.07184097311</v>
      </c>
      <c r="ET12" s="53">
        <v>1</v>
      </c>
      <c r="EU12" s="53">
        <v>1</v>
      </c>
      <c r="EV12" s="53">
        <v>1</v>
      </c>
      <c r="EX12" s="53">
        <v>1</v>
      </c>
      <c r="EY12" s="53">
        <v>1</v>
      </c>
      <c r="EZ12" s="53">
        <v>1</v>
      </c>
      <c r="FB12" s="53">
        <v>1</v>
      </c>
      <c r="FC12" s="53">
        <v>1</v>
      </c>
      <c r="FD12" s="53">
        <v>1</v>
      </c>
      <c r="FF12" t="str">
        <v>North Carolina</v>
      </c>
      <c r="FG12" s="127" t="str">
        <v>MDB2-Remote</v>
      </c>
      <c r="FH12" s="89">
        <v>1064.74</v>
      </c>
      <c r="FI12" s="89">
        <v>1064.74</v>
      </c>
      <c r="FJ12" s="89">
        <v>1064.74</v>
      </c>
      <c r="FK12" s="89">
        <v>1064.74</v>
      </c>
      <c r="FL12" s="89">
        <v>1064.74</v>
      </c>
      <c r="FM12" s="89">
        <v>1064.74</v>
      </c>
      <c r="FN12" s="89">
        <v>1064.74</v>
      </c>
      <c r="FO12" s="89">
        <v>1064.74</v>
      </c>
      <c r="FP12" s="89">
        <v>1064.74</v>
      </c>
      <c r="FQ12" s="89">
        <v>1064.74</v>
      </c>
      <c r="FR12" s="89">
        <v>1064.74</v>
      </c>
      <c r="FS12" s="89">
        <v>1064.74</v>
      </c>
    </row>
    <row r="13" spans="1:175" x14ac:dyDescent="0.25">
      <c r="A13" s="117"/>
      <c r="B13" t="str">
        <v>New Jersey</v>
      </c>
      <c r="C13" s="116" t="str">
        <v>NJA6-Center</v>
      </c>
      <c r="D13" s="3">
        <v>2026</v>
      </c>
      <c r="E13">
        <v>3</v>
      </c>
      <c r="G13" t="str">
        <v>JV2</v>
      </c>
      <c r="H13" t="str">
        <v>Remote</v>
      </c>
      <c r="I13" t="str">
        <v>North Carolina</v>
      </c>
      <c r="J13" s="53">
        <v>70625.279999999999</v>
      </c>
      <c r="K13" s="53">
        <v>91121.066666666666</v>
      </c>
      <c r="L13" s="53">
        <v>111668.48</v>
      </c>
      <c r="N13" s="53">
        <v>52.989999999999995</v>
      </c>
      <c r="O13" s="53">
        <v>66.540000000000006</v>
      </c>
      <c r="P13" s="53">
        <v>80.09</v>
      </c>
      <c r="R13" s="53">
        <v>11.73</v>
      </c>
      <c r="S13" s="53">
        <v>14.73</v>
      </c>
      <c r="T13" s="53">
        <v>17.73</v>
      </c>
      <c r="V13" s="53">
        <v>65</v>
      </c>
      <c r="W13" s="53">
        <v>81</v>
      </c>
      <c r="X13" s="53">
        <v>98</v>
      </c>
      <c r="Z13" s="53">
        <v>6</v>
      </c>
      <c r="AA13" s="53">
        <v>7</v>
      </c>
      <c r="AB13" s="53">
        <v>7</v>
      </c>
      <c r="AD13" s="53">
        <v>129</v>
      </c>
      <c r="AE13" s="53">
        <v>162</v>
      </c>
      <c r="AF13" s="53">
        <v>195</v>
      </c>
      <c r="AH13" s="53">
        <v>81.103448275862078</v>
      </c>
      <c r="AI13" s="53">
        <v>81.103448275862078</v>
      </c>
      <c r="AJ13" s="53">
        <v>81.103448275862078</v>
      </c>
      <c r="AL13" s="53">
        <v>48</v>
      </c>
      <c r="AM13" s="53">
        <v>48</v>
      </c>
      <c r="AN13" s="53">
        <v>48</v>
      </c>
      <c r="AP13" s="53">
        <v>177</v>
      </c>
      <c r="AQ13" s="53">
        <v>210</v>
      </c>
      <c r="AR13" s="53">
        <v>243</v>
      </c>
      <c r="AT13" s="53">
        <v>0</v>
      </c>
      <c r="AU13" s="53">
        <v>0</v>
      </c>
      <c r="AV13" s="53">
        <v>0</v>
      </c>
      <c r="AX13" s="53">
        <v>6502953.4289568001</v>
      </c>
      <c r="AY13" s="53">
        <v>8641845.1653304193</v>
      </c>
      <c r="AZ13" s="53">
        <v>10590544.528390765</v>
      </c>
      <c r="BB13" s="53">
        <v>5722599.0174819846</v>
      </c>
      <c r="BC13" s="53">
        <v>7604823.7454907699</v>
      </c>
      <c r="BD13" s="53">
        <v>9319679.1849838737</v>
      </c>
      <c r="BF13" s="53">
        <v>-780354.41147481604</v>
      </c>
      <c r="BG13" s="53">
        <v>-1037021.4198396504</v>
      </c>
      <c r="BH13" s="53">
        <v>-1270865.3434068919</v>
      </c>
      <c r="BJ13" s="53">
        <v>5136795.1586015997</v>
      </c>
      <c r="BK13" s="53">
        <v>6826342.6597805396</v>
      </c>
      <c r="BL13" s="53">
        <v>8365653.9224392679</v>
      </c>
      <c r="BN13" s="53">
        <v>0</v>
      </c>
      <c r="BO13" s="53">
        <v>0</v>
      </c>
      <c r="BP13" s="53">
        <v>0</v>
      </c>
      <c r="BR13" s="53">
        <v>1037382.9890111999</v>
      </c>
      <c r="BS13" s="53">
        <v>1378589.4772462801</v>
      </c>
      <c r="BT13" s="53">
        <v>1689455.5463363761</v>
      </c>
      <c r="BV13" s="53">
        <v>117394.72300800002</v>
      </c>
      <c r="BW13" s="53">
        <v>156007.11746519999</v>
      </c>
      <c r="BX13" s="53">
        <v>191186.05953383996</v>
      </c>
      <c r="BZ13" s="53">
        <v>211380.55833600002</v>
      </c>
      <c r="CA13" s="53">
        <v>280905.91083840001</v>
      </c>
      <c r="CB13" s="53">
        <v>344249.00008128001</v>
      </c>
      <c r="CD13" s="53">
        <v>0</v>
      </c>
      <c r="CE13" s="53">
        <v>0</v>
      </c>
      <c r="CF13" s="53">
        <v>0</v>
      </c>
      <c r="CH13" s="53">
        <v>0</v>
      </c>
      <c r="CI13" s="53">
        <v>0</v>
      </c>
      <c r="CJ13" s="53">
        <v>0</v>
      </c>
      <c r="CL13" s="53">
        <v>0</v>
      </c>
      <c r="CM13" s="53">
        <v>0</v>
      </c>
      <c r="CN13" s="53">
        <v>0</v>
      </c>
      <c r="CP13" s="53">
        <v>0</v>
      </c>
      <c r="CQ13" s="53">
        <v>0</v>
      </c>
      <c r="CR13" s="53">
        <v>0</v>
      </c>
      <c r="CT13" s="53">
        <v>0</v>
      </c>
      <c r="CU13" s="53">
        <v>0</v>
      </c>
      <c r="CV13" s="53">
        <v>0</v>
      </c>
      <c r="CX13" s="53">
        <v>2447395.3827309934</v>
      </c>
      <c r="CY13" s="53">
        <v>3378112.2120169029</v>
      </c>
      <c r="CZ13" s="53">
        <v>4472703.3213006193</v>
      </c>
      <c r="DB13" s="53">
        <v>0</v>
      </c>
      <c r="DC13" s="53">
        <v>0</v>
      </c>
      <c r="DD13" s="53">
        <v>0</v>
      </c>
      <c r="DF13" s="53">
        <v>0</v>
      </c>
      <c r="DG13" s="53">
        <v>0</v>
      </c>
      <c r="DH13" s="53">
        <v>0</v>
      </c>
      <c r="DJ13" s="53">
        <v>23114.084000000003</v>
      </c>
      <c r="DK13" s="53">
        <v>26677.291888000003</v>
      </c>
      <c r="DL13" s="53">
        <v>30503.151244800007</v>
      </c>
      <c r="DN13" s="53">
        <v>0</v>
      </c>
      <c r="DO13" s="53">
        <v>0</v>
      </c>
      <c r="DP13" s="53">
        <v>0</v>
      </c>
      <c r="DR13" s="53">
        <v>393785</v>
      </c>
      <c r="DS13" s="53">
        <v>507057.30000000005</v>
      </c>
      <c r="DT13" s="53">
        <v>624989.08800000011</v>
      </c>
      <c r="DV13" s="53">
        <v>0</v>
      </c>
      <c r="DW13" s="53">
        <v>0</v>
      </c>
      <c r="DX13" s="53">
        <v>0</v>
      </c>
      <c r="DZ13" s="53">
        <v>0</v>
      </c>
      <c r="EA13" s="53">
        <v>0</v>
      </c>
      <c r="EB13" s="53">
        <v>0</v>
      </c>
      <c r="ED13" s="53">
        <v>905218.84081703541</v>
      </c>
      <c r="EE13" s="53">
        <v>717333.3606548633</v>
      </c>
      <c r="EF13" s="53">
        <v>765285.83190784894</v>
      </c>
      <c r="EH13" s="53">
        <v>0</v>
      </c>
      <c r="EI13" s="53">
        <v>0</v>
      </c>
      <c r="EJ13" s="53">
        <v>0</v>
      </c>
      <c r="EL13" s="53">
        <v>-781210.063241784</v>
      </c>
      <c r="EM13" s="53">
        <v>-1021803.9383813802</v>
      </c>
      <c r="EN13" s="53">
        <v>-1291311.9980303592</v>
      </c>
      <c r="EP13" s="53">
        <v>150202.73294139782</v>
      </c>
      <c r="EQ13" s="53">
        <v>204037.63779017993</v>
      </c>
      <c r="ER13" s="53">
        <v>317216.73045374895</v>
      </c>
      <c r="ET13" s="53">
        <v>0</v>
      </c>
      <c r="EU13" s="53">
        <v>0</v>
      </c>
      <c r="EV13" s="53">
        <v>0</v>
      </c>
      <c r="EX13" s="53">
        <v>0</v>
      </c>
      <c r="EY13" s="53">
        <v>0</v>
      </c>
      <c r="EZ13" s="53">
        <v>0</v>
      </c>
      <c r="FB13" s="53">
        <v>0</v>
      </c>
      <c r="FC13" s="53">
        <v>0</v>
      </c>
      <c r="FD13" s="53">
        <v>0</v>
      </c>
      <c r="FE13">
        <f>SUMIFS(FB:FB,I:I,FF13)</f>
        <v>2</v>
      </c>
      <c r="FF13" t="str">
        <v>North Carolina</v>
      </c>
      <c r="FG13" s="127" t="str">
        <v>GBA1-Center</v>
      </c>
      <c r="FH13" s="89">
        <v>1192.77</v>
      </c>
      <c r="FI13" s="89">
        <v>1223.0999999999999</v>
      </c>
      <c r="FJ13" s="89">
        <v>1064.74</v>
      </c>
      <c r="FK13" s="89">
        <v>1078.21</v>
      </c>
      <c r="FL13" s="89">
        <v>1091.69</v>
      </c>
      <c r="FM13" s="89">
        <v>1105.17</v>
      </c>
      <c r="FN13" s="89">
        <v>1115.28</v>
      </c>
      <c r="FO13" s="89">
        <v>1128.75</v>
      </c>
      <c r="FP13" s="89">
        <v>1142.23</v>
      </c>
      <c r="FQ13" s="89">
        <v>1155.71</v>
      </c>
      <c r="FR13" s="89">
        <v>1165.82</v>
      </c>
      <c r="FS13" s="89">
        <v>1182.6600000000001</v>
      </c>
    </row>
    <row r="14" spans="1:175" x14ac:dyDescent="0.25">
      <c r="A14" s="117"/>
      <c r="B14" t="str">
        <v>New Jersey</v>
      </c>
      <c r="C14" s="116" t="str">
        <v>NJA5-Center</v>
      </c>
      <c r="D14" s="3">
        <v>2026</v>
      </c>
      <c r="E14">
        <v>4</v>
      </c>
      <c r="G14" t="str">
        <v>JV2</v>
      </c>
      <c r="H14" t="str">
        <v>Remote</v>
      </c>
      <c r="I14" t="str">
        <v>Arizona</v>
      </c>
      <c r="J14" s="53">
        <v>22302.720000000001</v>
      </c>
      <c r="K14" s="53">
        <v>22302.720000000001</v>
      </c>
      <c r="L14" s="53">
        <v>22302.720000000001</v>
      </c>
      <c r="N14" s="53">
        <v>14.79</v>
      </c>
      <c r="O14" s="53">
        <v>14.79</v>
      </c>
      <c r="P14" s="53">
        <v>14.79</v>
      </c>
      <c r="R14" s="53">
        <v>3.28</v>
      </c>
      <c r="S14" s="53">
        <v>3.28</v>
      </c>
      <c r="T14" s="53">
        <v>3.28</v>
      </c>
      <c r="V14" s="53">
        <v>18</v>
      </c>
      <c r="W14" s="53">
        <v>18</v>
      </c>
      <c r="X14" s="53">
        <v>18</v>
      </c>
      <c r="Z14" s="53">
        <v>3</v>
      </c>
      <c r="AA14" s="53">
        <v>3</v>
      </c>
      <c r="AB14" s="53">
        <v>3</v>
      </c>
      <c r="AD14" s="53">
        <v>36</v>
      </c>
      <c r="AE14" s="53">
        <v>36</v>
      </c>
      <c r="AF14" s="53">
        <v>36</v>
      </c>
      <c r="AH14" s="53">
        <v>24</v>
      </c>
      <c r="AI14" s="53">
        <v>24</v>
      </c>
      <c r="AJ14" s="53">
        <v>24</v>
      </c>
      <c r="AL14" s="53">
        <v>24</v>
      </c>
      <c r="AM14" s="53">
        <v>24</v>
      </c>
      <c r="AN14" s="53">
        <v>24</v>
      </c>
      <c r="AP14" s="53">
        <v>60</v>
      </c>
      <c r="AQ14" s="53">
        <v>60</v>
      </c>
      <c r="AR14" s="53">
        <v>60</v>
      </c>
      <c r="AT14" s="53">
        <v>0</v>
      </c>
      <c r="AU14" s="53">
        <v>0</v>
      </c>
      <c r="AV14" s="53">
        <v>0</v>
      </c>
      <c r="AX14" s="53">
        <v>2314161.0967679988</v>
      </c>
      <c r="AY14" s="53">
        <v>2383585.9296710389</v>
      </c>
      <c r="AZ14" s="53">
        <v>2383585.9296710389</v>
      </c>
      <c r="BB14" s="53">
        <v>2036461.76515584</v>
      </c>
      <c r="BC14" s="53">
        <v>2097555.6181105142</v>
      </c>
      <c r="BD14" s="53">
        <v>2097555.6181105142</v>
      </c>
      <c r="BF14" s="53">
        <v>-277699.33161215991</v>
      </c>
      <c r="BG14" s="53">
        <v>-286030.3115605248</v>
      </c>
      <c r="BH14" s="53">
        <v>-286030.3115605248</v>
      </c>
      <c r="BJ14" s="53">
        <v>1811251.8215999992</v>
      </c>
      <c r="BK14" s="53">
        <v>1865589.376247999</v>
      </c>
      <c r="BL14" s="53">
        <v>1865589.376247999</v>
      </c>
      <c r="BN14" s="53">
        <v>0</v>
      </c>
      <c r="BO14" s="53">
        <v>0</v>
      </c>
      <c r="BP14" s="53">
        <v>0</v>
      </c>
      <c r="BR14" s="53">
        <v>365750.36783999996</v>
      </c>
      <c r="BS14" s="53">
        <v>376722.8788752</v>
      </c>
      <c r="BT14" s="53">
        <v>376722.8788752</v>
      </c>
      <c r="BV14" s="53">
        <v>56269.28735999998</v>
      </c>
      <c r="BW14" s="53">
        <v>57957.365980799979</v>
      </c>
      <c r="BX14" s="53">
        <v>57957.365980799979</v>
      </c>
      <c r="BZ14" s="53">
        <v>80889.619967999985</v>
      </c>
      <c r="CA14" s="53">
        <v>83316.308567039974</v>
      </c>
      <c r="CB14" s="53">
        <v>83316.308567039974</v>
      </c>
      <c r="CD14" s="53">
        <v>0</v>
      </c>
      <c r="CE14" s="53">
        <v>0</v>
      </c>
      <c r="CF14" s="53">
        <v>0</v>
      </c>
      <c r="CH14" s="53">
        <v>0</v>
      </c>
      <c r="CI14" s="53">
        <v>0</v>
      </c>
      <c r="CJ14" s="53">
        <v>0</v>
      </c>
      <c r="CL14" s="53">
        <v>0</v>
      </c>
      <c r="CM14" s="53">
        <v>0</v>
      </c>
      <c r="CN14" s="53">
        <v>0</v>
      </c>
      <c r="CP14" s="53">
        <v>0</v>
      </c>
      <c r="CQ14" s="53">
        <v>0</v>
      </c>
      <c r="CR14" s="53">
        <v>0</v>
      </c>
      <c r="CT14" s="53">
        <v>0</v>
      </c>
      <c r="CU14" s="53">
        <v>0</v>
      </c>
      <c r="CV14" s="53">
        <v>0</v>
      </c>
      <c r="CX14" s="53">
        <v>893018.13590101583</v>
      </c>
      <c r="CY14" s="53">
        <v>982319.94949111703</v>
      </c>
      <c r="CZ14" s="53">
        <v>1080551.9444402291</v>
      </c>
      <c r="DB14" s="53">
        <v>0</v>
      </c>
      <c r="DC14" s="53">
        <v>0</v>
      </c>
      <c r="DD14" s="53">
        <v>0</v>
      </c>
      <c r="DF14" s="53">
        <v>0</v>
      </c>
      <c r="DG14" s="53">
        <v>0</v>
      </c>
      <c r="DH14" s="53">
        <v>0</v>
      </c>
      <c r="DJ14" s="53">
        <v>12776.764800000003</v>
      </c>
      <c r="DK14" s="53">
        <v>13287.835392000001</v>
      </c>
      <c r="DL14" s="53">
        <v>13819.348807680004</v>
      </c>
      <c r="DN14" s="53">
        <v>54000</v>
      </c>
      <c r="DO14" s="53">
        <v>55080</v>
      </c>
      <c r="DP14" s="53">
        <v>56181.600000000013</v>
      </c>
      <c r="DR14" s="53">
        <v>143699.99999999997</v>
      </c>
      <c r="DS14" s="53">
        <v>146574</v>
      </c>
      <c r="DT14" s="53">
        <v>149505.47999999998</v>
      </c>
      <c r="DV14" s="53">
        <v>23400</v>
      </c>
      <c r="DW14" s="53">
        <v>24570</v>
      </c>
      <c r="DX14" s="53">
        <v>25798.5</v>
      </c>
      <c r="DZ14" s="53">
        <v>0</v>
      </c>
      <c r="EA14" s="53">
        <v>0</v>
      </c>
      <c r="EB14" s="53">
        <v>0</v>
      </c>
      <c r="ED14" s="53">
        <v>328505.09476380766</v>
      </c>
      <c r="EE14" s="53">
        <v>199079.55982616937</v>
      </c>
      <c r="EF14" s="53">
        <v>172714.49050428084</v>
      </c>
      <c r="EH14" s="53">
        <v>0</v>
      </c>
      <c r="EI14" s="53">
        <v>0</v>
      </c>
      <c r="EJ14" s="53">
        <v>0</v>
      </c>
      <c r="EL14" s="53">
        <v>-305469.26477337588</v>
      </c>
      <c r="EM14" s="53">
        <v>-310814.97690691007</v>
      </c>
      <c r="EN14" s="53">
        <v>-314633.34271657723</v>
      </c>
      <c r="EP14" s="53">
        <v>47432.441981494048</v>
      </c>
      <c r="EQ14" s="53">
        <v>49940.090382638955</v>
      </c>
      <c r="ER14" s="53">
        <v>63355.352545547641</v>
      </c>
      <c r="ET14" s="53">
        <v>0</v>
      </c>
      <c r="EU14" s="53">
        <v>0</v>
      </c>
      <c r="EV14" s="53">
        <v>0</v>
      </c>
      <c r="EX14" s="53">
        <v>0</v>
      </c>
      <c r="EY14" s="53">
        <v>0</v>
      </c>
      <c r="EZ14" s="53">
        <v>0</v>
      </c>
      <c r="FB14" s="53">
        <v>0</v>
      </c>
      <c r="FC14" s="53">
        <v>0</v>
      </c>
      <c r="FD14" s="53">
        <v>0</v>
      </c>
      <c r="FE14">
        <f>SUMIFS(FB:FB,I:I,FF14)</f>
        <v>0</v>
      </c>
      <c r="FF14" t="str">
        <v>Arizona</v>
      </c>
      <c r="FG14" s="127" t="str">
        <v>GBB1-Remote</v>
      </c>
      <c r="FH14" s="89">
        <v>1832.96</v>
      </c>
      <c r="FI14" s="89">
        <v>1846.44</v>
      </c>
      <c r="FJ14" s="89">
        <v>1859.91</v>
      </c>
      <c r="FK14" s="89">
        <v>1880.1299999999999</v>
      </c>
      <c r="FL14" s="89">
        <v>1900.35</v>
      </c>
      <c r="FM14" s="89">
        <v>1920.56</v>
      </c>
      <c r="FN14" s="89">
        <v>1930.67</v>
      </c>
      <c r="FO14" s="89">
        <v>1954.26</v>
      </c>
      <c r="FP14" s="89">
        <v>1974.47</v>
      </c>
      <c r="FQ14" s="89">
        <v>1987.95</v>
      </c>
      <c r="FR14" s="89">
        <v>2004.8</v>
      </c>
      <c r="FS14" s="89">
        <v>2021.64</v>
      </c>
    </row>
    <row r="15" spans="1:175" x14ac:dyDescent="0.25">
      <c r="A15" s="117"/>
      <c r="B15" t="str">
        <v>New Jersey</v>
      </c>
      <c r="C15" s="116" t="str">
        <v>NJ-2026-02-Center</v>
      </c>
      <c r="D15" s="3">
        <v>2026</v>
      </c>
      <c r="E15">
        <v>7</v>
      </c>
      <c r="G15" t="str">
        <v>JV1</v>
      </c>
      <c r="H15" t="str">
        <v>Center</v>
      </c>
      <c r="I15" t="str">
        <v>New Jersey</v>
      </c>
      <c r="J15" s="53">
        <v>28353.599999999995</v>
      </c>
      <c r="K15" s="53">
        <v>52926.719999999979</v>
      </c>
      <c r="L15" s="53">
        <v>52926.719999999979</v>
      </c>
      <c r="N15" s="53">
        <v>36.71</v>
      </c>
      <c r="O15" s="53">
        <v>39.53</v>
      </c>
      <c r="P15" s="53">
        <v>39.53</v>
      </c>
      <c r="R15" s="53">
        <v>5.58</v>
      </c>
      <c r="S15" s="53">
        <v>6</v>
      </c>
      <c r="T15" s="53">
        <v>6</v>
      </c>
      <c r="V15" s="53">
        <v>42</v>
      </c>
      <c r="W15" s="53">
        <v>46</v>
      </c>
      <c r="X15" s="53">
        <v>46</v>
      </c>
      <c r="Z15" s="53">
        <v>9</v>
      </c>
      <c r="AA15" s="53">
        <v>8</v>
      </c>
      <c r="AB15" s="53">
        <v>8</v>
      </c>
      <c r="AD15" s="53">
        <v>39</v>
      </c>
      <c r="AE15" s="53">
        <v>42</v>
      </c>
      <c r="AF15" s="53">
        <v>42</v>
      </c>
      <c r="AH15" s="53">
        <v>49</v>
      </c>
      <c r="AI15" s="53">
        <v>37</v>
      </c>
      <c r="AJ15" s="53">
        <v>48</v>
      </c>
      <c r="AL15" s="53">
        <v>13</v>
      </c>
      <c r="AM15" s="53">
        <v>37</v>
      </c>
      <c r="AN15" s="53">
        <v>48</v>
      </c>
      <c r="AP15" s="53">
        <v>52</v>
      </c>
      <c r="AQ15" s="53">
        <v>79</v>
      </c>
      <c r="AR15" s="53">
        <v>90</v>
      </c>
      <c r="AT15" s="53">
        <v>710500</v>
      </c>
      <c r="AU15" s="53">
        <v>0</v>
      </c>
      <c r="AV15" s="53">
        <v>0</v>
      </c>
      <c r="AX15" s="53">
        <v>4999640.0399999991</v>
      </c>
      <c r="AY15" s="53">
        <v>9612641.2502399962</v>
      </c>
      <c r="AZ15" s="53">
        <v>9612641.2502399962</v>
      </c>
      <c r="BB15" s="53">
        <v>4433552.1871999996</v>
      </c>
      <c r="BC15" s="53">
        <v>8279986.7743711965</v>
      </c>
      <c r="BD15" s="53">
        <v>8279986.7743711965</v>
      </c>
      <c r="BF15" s="53">
        <v>-637269.35279999999</v>
      </c>
      <c r="BG15" s="53">
        <v>-1191948.8744687994</v>
      </c>
      <c r="BH15" s="53">
        <v>-1191948.8744687994</v>
      </c>
      <c r="BJ15" s="53">
        <v>4089056.4</v>
      </c>
      <c r="BK15" s="53">
        <v>7861892.4383999966</v>
      </c>
      <c r="BL15" s="53">
        <v>7861892.4383999966</v>
      </c>
      <c r="BN15" s="53">
        <v>239756.39999999997</v>
      </c>
      <c r="BO15" s="53">
        <v>460971.63840000011</v>
      </c>
      <c r="BP15" s="53">
        <v>460971.63840000011</v>
      </c>
      <c r="BR15" s="53">
        <v>569806.37999999989</v>
      </c>
      <c r="BS15" s="53">
        <v>1095547.7332799996</v>
      </c>
      <c r="BT15" s="53">
        <v>1095547.7332799996</v>
      </c>
      <c r="BV15" s="53">
        <v>43831.26</v>
      </c>
      <c r="BW15" s="53">
        <v>84272.902560000002</v>
      </c>
      <c r="BX15" s="53">
        <v>84272.902560000002</v>
      </c>
      <c r="BZ15" s="53">
        <v>57189.599999999991</v>
      </c>
      <c r="CA15" s="53">
        <v>109956.53760000003</v>
      </c>
      <c r="CB15" s="53">
        <v>109956.53760000003</v>
      </c>
      <c r="CD15" s="53">
        <v>259904.37040888314</v>
      </c>
      <c r="CE15" s="53">
        <v>499709.46950614615</v>
      </c>
      <c r="CF15" s="53">
        <v>499709.46950614615</v>
      </c>
      <c r="CH15" s="53">
        <v>34728.414655334404</v>
      </c>
      <c r="CI15" s="53">
        <v>66771.165243989599</v>
      </c>
      <c r="CJ15" s="53">
        <v>66771.165243989599</v>
      </c>
      <c r="CL15" s="53">
        <v>310937.89999999997</v>
      </c>
      <c r="CM15" s="53">
        <v>320266.03700000001</v>
      </c>
      <c r="CN15" s="53">
        <v>320266.03700000001</v>
      </c>
      <c r="CP15" s="53">
        <v>211207.46810042876</v>
      </c>
      <c r="CQ15" s="53">
        <v>406081.55866775778</v>
      </c>
      <c r="CR15" s="53">
        <v>406081.55866775778</v>
      </c>
      <c r="CT15" s="53">
        <v>0</v>
      </c>
      <c r="CU15" s="53">
        <v>0</v>
      </c>
      <c r="CV15" s="53">
        <v>0</v>
      </c>
      <c r="CX15" s="53">
        <v>2178375.8122269628</v>
      </c>
      <c r="CY15" s="53">
        <v>4019910.7631824748</v>
      </c>
      <c r="CZ15" s="53">
        <v>4444525.5321673909</v>
      </c>
      <c r="DB15" s="53">
        <v>225000</v>
      </c>
      <c r="DC15" s="53">
        <v>231750</v>
      </c>
      <c r="DD15" s="53">
        <v>238702.5</v>
      </c>
      <c r="DF15" s="53">
        <v>72000</v>
      </c>
      <c r="DG15" s="53">
        <v>74880</v>
      </c>
      <c r="DH15" s="53">
        <v>77875.199999999997</v>
      </c>
      <c r="DJ15" s="53">
        <v>13656.1782</v>
      </c>
      <c r="DK15" s="53">
        <v>14787.622719999999</v>
      </c>
      <c r="DL15" s="53">
        <v>16312.079447040001</v>
      </c>
      <c r="DN15" s="53">
        <v>90000</v>
      </c>
      <c r="DO15" s="53">
        <v>91800</v>
      </c>
      <c r="DP15" s="53">
        <v>93636</v>
      </c>
      <c r="DR15" s="53">
        <v>149039</v>
      </c>
      <c r="DS15" s="53">
        <v>251487.12000000005</v>
      </c>
      <c r="DT15" s="53">
        <v>257449.06080000006</v>
      </c>
      <c r="DV15" s="53">
        <v>72000</v>
      </c>
      <c r="DW15" s="53">
        <v>75600</v>
      </c>
      <c r="DX15" s="53">
        <v>79380</v>
      </c>
      <c r="DZ15" s="53">
        <v>0</v>
      </c>
      <c r="EA15" s="53">
        <v>0</v>
      </c>
      <c r="EB15" s="53">
        <v>0</v>
      </c>
      <c r="ED15" s="53">
        <v>642783.62482308852</v>
      </c>
      <c r="EE15" s="53">
        <v>785855.73997469735</v>
      </c>
      <c r="EF15" s="53">
        <v>681781.06209451566</v>
      </c>
      <c r="EH15" s="53">
        <v>0</v>
      </c>
      <c r="EI15" s="53">
        <v>0</v>
      </c>
      <c r="EJ15" s="53">
        <v>0</v>
      </c>
      <c r="EL15" s="53">
        <v>-699421.48919759982</v>
      </c>
      <c r="EM15" s="53">
        <v>-1122927.0538174799</v>
      </c>
      <c r="EN15" s="53">
        <v>-1241998.0161556797</v>
      </c>
      <c r="EP15" s="53">
        <v>60301.186894086881</v>
      </c>
      <c r="EQ15" s="53">
        <v>118513.13115425488</v>
      </c>
      <c r="ER15" s="53">
        <v>150348.97109767265</v>
      </c>
      <c r="ET15" s="53">
        <v>1</v>
      </c>
      <c r="EU15" s="53">
        <v>1</v>
      </c>
      <c r="EV15" s="53">
        <v>1</v>
      </c>
      <c r="EX15" s="53">
        <v>1</v>
      </c>
      <c r="EY15" s="53">
        <v>1</v>
      </c>
      <c r="EZ15" s="53">
        <v>1</v>
      </c>
      <c r="FB15" s="53">
        <v>1</v>
      </c>
      <c r="FC15" s="53">
        <v>1</v>
      </c>
      <c r="FD15" s="53">
        <v>1</v>
      </c>
      <c r="FE15">
        <f>SUMIFS(FB:FB,I:I,FF15)</f>
        <v>9</v>
      </c>
      <c r="FF15" t="str">
        <v>New Jersey</v>
      </c>
      <c r="FG15" s="127" t="str">
        <v>AZB1-Remote</v>
      </c>
      <c r="FH15" s="89">
        <v>1064.74</v>
      </c>
      <c r="FI15" s="89">
        <v>1064.74</v>
      </c>
      <c r="FJ15" s="89">
        <v>1064.74</v>
      </c>
      <c r="FK15" s="89">
        <v>1064.74</v>
      </c>
      <c r="FL15" s="89">
        <v>1064.74</v>
      </c>
      <c r="FM15" s="89">
        <v>1064.74</v>
      </c>
      <c r="FN15" s="89">
        <v>1064.74</v>
      </c>
      <c r="FO15" s="89">
        <v>1064.74</v>
      </c>
      <c r="FP15" s="89">
        <v>1064.74</v>
      </c>
      <c r="FQ15" s="89">
        <v>1064.74</v>
      </c>
      <c r="FR15" s="89">
        <v>1064.74</v>
      </c>
      <c r="FS15" s="89">
        <v>1064.74</v>
      </c>
    </row>
    <row r="16" spans="1:175" x14ac:dyDescent="0.25">
      <c r="A16" s="117"/>
      <c r="B16" t="str">
        <v>New Jersey</v>
      </c>
      <c r="C16" s="116" t="str">
        <v>NJ-2026-01-Center</v>
      </c>
      <c r="D16" s="3">
        <v>2026</v>
      </c>
      <c r="E16">
        <v>9</v>
      </c>
      <c r="G16" t="str">
        <v>JV1</v>
      </c>
      <c r="H16" t="str">
        <v>Center</v>
      </c>
      <c r="I16" t="str">
        <v>New Jersey</v>
      </c>
      <c r="J16" s="53">
        <v>28353.599999999995</v>
      </c>
      <c r="K16" s="53">
        <v>52926.719999999979</v>
      </c>
      <c r="L16" s="53">
        <v>52926.719999999979</v>
      </c>
      <c r="N16" s="53">
        <v>36.71</v>
      </c>
      <c r="O16" s="53">
        <v>39.53</v>
      </c>
      <c r="P16" s="53">
        <v>39.53</v>
      </c>
      <c r="R16" s="53">
        <v>5.58</v>
      </c>
      <c r="S16" s="53">
        <v>6</v>
      </c>
      <c r="T16" s="53">
        <v>6</v>
      </c>
      <c r="V16" s="53">
        <v>42</v>
      </c>
      <c r="W16" s="53">
        <v>46</v>
      </c>
      <c r="X16" s="53">
        <v>46</v>
      </c>
      <c r="Z16" s="53">
        <v>9</v>
      </c>
      <c r="AA16" s="53">
        <v>8</v>
      </c>
      <c r="AB16" s="53">
        <v>8</v>
      </c>
      <c r="AD16" s="53">
        <v>39</v>
      </c>
      <c r="AE16" s="53">
        <v>42</v>
      </c>
      <c r="AF16" s="53">
        <v>42</v>
      </c>
      <c r="AH16" s="53">
        <v>49</v>
      </c>
      <c r="AI16" s="53">
        <v>37</v>
      </c>
      <c r="AJ16" s="53">
        <v>48</v>
      </c>
      <c r="AL16" s="53">
        <v>13</v>
      </c>
      <c r="AM16" s="53">
        <v>37</v>
      </c>
      <c r="AN16" s="53">
        <v>48</v>
      </c>
      <c r="AP16" s="53">
        <v>52</v>
      </c>
      <c r="AQ16" s="53">
        <v>79</v>
      </c>
      <c r="AR16" s="53">
        <v>90</v>
      </c>
      <c r="AT16" s="53">
        <v>710500</v>
      </c>
      <c r="AU16" s="53">
        <v>0</v>
      </c>
      <c r="AV16" s="53">
        <v>0</v>
      </c>
      <c r="AX16" s="53">
        <v>4999640.0399999991</v>
      </c>
      <c r="AY16" s="53">
        <v>9612641.2502399962</v>
      </c>
      <c r="AZ16" s="53">
        <v>9612641.2502399962</v>
      </c>
      <c r="BB16" s="53">
        <v>4433552.1871999996</v>
      </c>
      <c r="BC16" s="53">
        <v>8279986.7743711965</v>
      </c>
      <c r="BD16" s="53">
        <v>8279986.7743711965</v>
      </c>
      <c r="BF16" s="53">
        <v>-637269.35279999999</v>
      </c>
      <c r="BG16" s="53">
        <v>-1191948.8744687994</v>
      </c>
      <c r="BH16" s="53">
        <v>-1191948.8744687994</v>
      </c>
      <c r="BJ16" s="53">
        <v>4089056.4</v>
      </c>
      <c r="BK16" s="53">
        <v>7861892.4383999966</v>
      </c>
      <c r="BL16" s="53">
        <v>7861892.4383999966</v>
      </c>
      <c r="BN16" s="53">
        <v>239756.39999999997</v>
      </c>
      <c r="BO16" s="53">
        <v>460971.63840000011</v>
      </c>
      <c r="BP16" s="53">
        <v>460971.63840000011</v>
      </c>
      <c r="BR16" s="53">
        <v>569806.37999999989</v>
      </c>
      <c r="BS16" s="53">
        <v>1095547.7332799996</v>
      </c>
      <c r="BT16" s="53">
        <v>1095547.7332799996</v>
      </c>
      <c r="BV16" s="53">
        <v>43831.26</v>
      </c>
      <c r="BW16" s="53">
        <v>84272.902560000002</v>
      </c>
      <c r="BX16" s="53">
        <v>84272.902560000002</v>
      </c>
      <c r="BZ16" s="53">
        <v>57189.599999999991</v>
      </c>
      <c r="CA16" s="53">
        <v>109956.53760000003</v>
      </c>
      <c r="CB16" s="53">
        <v>109956.53760000003</v>
      </c>
      <c r="CD16" s="53">
        <v>259904.37040888314</v>
      </c>
      <c r="CE16" s="53">
        <v>499709.46950614615</v>
      </c>
      <c r="CF16" s="53">
        <v>499709.46950614615</v>
      </c>
      <c r="CH16" s="53">
        <v>34728.414655334404</v>
      </c>
      <c r="CI16" s="53">
        <v>66771.165243989599</v>
      </c>
      <c r="CJ16" s="53">
        <v>66771.165243989599</v>
      </c>
      <c r="CL16" s="53">
        <v>310937.89999999997</v>
      </c>
      <c r="CM16" s="53">
        <v>320266.03700000001</v>
      </c>
      <c r="CN16" s="53">
        <v>320266.03700000001</v>
      </c>
      <c r="CP16" s="53">
        <v>211207.46810042876</v>
      </c>
      <c r="CQ16" s="53">
        <v>406081.55866775778</v>
      </c>
      <c r="CR16" s="53">
        <v>406081.55866775778</v>
      </c>
      <c r="CT16" s="53">
        <v>0</v>
      </c>
      <c r="CU16" s="53">
        <v>0</v>
      </c>
      <c r="CV16" s="53">
        <v>0</v>
      </c>
      <c r="CX16" s="53">
        <v>2178375.8122269628</v>
      </c>
      <c r="CY16" s="53">
        <v>4019910.7631824748</v>
      </c>
      <c r="CZ16" s="53">
        <v>4444525.5321673909</v>
      </c>
      <c r="DB16" s="53">
        <v>120000</v>
      </c>
      <c r="DC16" s="53">
        <v>123600</v>
      </c>
      <c r="DD16" s="53">
        <v>127308</v>
      </c>
      <c r="DF16" s="53">
        <v>100800</v>
      </c>
      <c r="DG16" s="53">
        <v>104832</v>
      </c>
      <c r="DH16" s="53">
        <v>109025.28000000001</v>
      </c>
      <c r="DJ16" s="53">
        <v>13656.1782</v>
      </c>
      <c r="DK16" s="53">
        <v>14787.622719999999</v>
      </c>
      <c r="DL16" s="53">
        <v>16312.079447040001</v>
      </c>
      <c r="DN16" s="53">
        <v>90000</v>
      </c>
      <c r="DO16" s="53">
        <v>91800</v>
      </c>
      <c r="DP16" s="53">
        <v>93636</v>
      </c>
      <c r="DR16" s="53">
        <v>149039</v>
      </c>
      <c r="DS16" s="53">
        <v>251487.12000000005</v>
      </c>
      <c r="DT16" s="53">
        <v>257449.06080000006</v>
      </c>
      <c r="DV16" s="53">
        <v>72000</v>
      </c>
      <c r="DW16" s="53">
        <v>75600</v>
      </c>
      <c r="DX16" s="53">
        <v>79380</v>
      </c>
      <c r="DZ16" s="53">
        <v>0</v>
      </c>
      <c r="EA16" s="53">
        <v>0</v>
      </c>
      <c r="EB16" s="53">
        <v>0</v>
      </c>
      <c r="ED16" s="53">
        <v>642783.62482308852</v>
      </c>
      <c r="EE16" s="53">
        <v>785855.73997469735</v>
      </c>
      <c r="EF16" s="53">
        <v>681781.06209451566</v>
      </c>
      <c r="EH16" s="53">
        <v>0</v>
      </c>
      <c r="EI16" s="53">
        <v>0</v>
      </c>
      <c r="EJ16" s="53">
        <v>0</v>
      </c>
      <c r="EL16" s="53">
        <v>-699421.48919759982</v>
      </c>
      <c r="EM16" s="53">
        <v>-1122927.0538174799</v>
      </c>
      <c r="EN16" s="53">
        <v>-1241998.0161556797</v>
      </c>
      <c r="EP16" s="53">
        <v>60301.186894086881</v>
      </c>
      <c r="EQ16" s="53">
        <v>118513.13115425488</v>
      </c>
      <c r="ER16" s="53">
        <v>150348.97109767265</v>
      </c>
      <c r="ET16" s="53">
        <v>1</v>
      </c>
      <c r="EU16" s="53">
        <v>1</v>
      </c>
      <c r="EV16" s="53">
        <v>1</v>
      </c>
      <c r="EX16" s="53">
        <v>1</v>
      </c>
      <c r="EY16" s="53">
        <v>1</v>
      </c>
      <c r="EZ16" s="53">
        <v>1</v>
      </c>
      <c r="FB16" s="53">
        <v>1</v>
      </c>
      <c r="FC16" s="53">
        <v>1</v>
      </c>
      <c r="FD16" s="53">
        <v>1</v>
      </c>
      <c r="FF16" t="str">
        <v>New Jersey</v>
      </c>
      <c r="FG16" s="127" t="str">
        <v>NJA1-Center</v>
      </c>
      <c r="FH16" s="89">
        <v>963.65</v>
      </c>
      <c r="FI16" s="89">
        <v>993.98</v>
      </c>
      <c r="FJ16" s="89">
        <v>1024.3</v>
      </c>
      <c r="FK16" s="89">
        <v>1054.6299999999999</v>
      </c>
      <c r="FL16" s="89">
        <v>1095.06</v>
      </c>
      <c r="FM16" s="89">
        <v>1122.02</v>
      </c>
      <c r="FN16" s="89">
        <v>1155.71</v>
      </c>
      <c r="FO16" s="89">
        <v>1186.03</v>
      </c>
      <c r="FP16" s="89">
        <v>1212.99</v>
      </c>
      <c r="FQ16" s="89">
        <v>1250.05</v>
      </c>
      <c r="FR16" s="89">
        <v>1283.75</v>
      </c>
      <c r="FS16" s="89">
        <v>1314.07</v>
      </c>
    </row>
    <row r="17" spans="1:175" x14ac:dyDescent="0.25">
      <c r="A17" s="117"/>
      <c r="B17" t="str">
        <v>New Jersey</v>
      </c>
      <c r="C17" s="116" t="str">
        <v>NJA7-Center</v>
      </c>
      <c r="D17" s="3">
        <v>2026</v>
      </c>
      <c r="E17">
        <v>11</v>
      </c>
      <c r="G17" t="str">
        <v>JV1</v>
      </c>
      <c r="H17" t="str">
        <v>Center</v>
      </c>
      <c r="I17" t="str">
        <v>New Jersey</v>
      </c>
      <c r="J17" s="53">
        <v>17327.199999999997</v>
      </c>
      <c r="K17" s="53">
        <v>51036.479999999981</v>
      </c>
      <c r="L17" s="53">
        <v>52926.719999999979</v>
      </c>
      <c r="N17" s="53">
        <v>28.240000000000002</v>
      </c>
      <c r="O17" s="53">
        <v>39.53</v>
      </c>
      <c r="P17" s="53">
        <v>39.53</v>
      </c>
      <c r="R17" s="53">
        <v>4.29</v>
      </c>
      <c r="S17" s="53">
        <v>6</v>
      </c>
      <c r="T17" s="53">
        <v>6</v>
      </c>
      <c r="V17" s="53">
        <v>33</v>
      </c>
      <c r="W17" s="53">
        <v>46</v>
      </c>
      <c r="X17" s="53">
        <v>46</v>
      </c>
      <c r="Z17" s="53">
        <v>8</v>
      </c>
      <c r="AA17" s="53">
        <v>9</v>
      </c>
      <c r="AB17" s="53">
        <v>8</v>
      </c>
      <c r="AD17" s="53">
        <v>30</v>
      </c>
      <c r="AE17" s="53">
        <v>42</v>
      </c>
      <c r="AF17" s="53">
        <v>42</v>
      </c>
      <c r="AH17" s="53">
        <v>34.5</v>
      </c>
      <c r="AI17" s="53">
        <v>40</v>
      </c>
      <c r="AJ17" s="53">
        <v>47.5</v>
      </c>
      <c r="AL17" s="53">
        <v>7.5</v>
      </c>
      <c r="AM17" s="53">
        <v>31</v>
      </c>
      <c r="AN17" s="53">
        <v>47.5</v>
      </c>
      <c r="AP17" s="53">
        <v>37.5</v>
      </c>
      <c r="AQ17" s="53">
        <v>73</v>
      </c>
      <c r="AR17" s="53">
        <v>89.5</v>
      </c>
      <c r="AT17" s="53">
        <v>1421000</v>
      </c>
      <c r="AU17" s="53">
        <v>0</v>
      </c>
      <c r="AV17" s="53">
        <v>0</v>
      </c>
      <c r="AX17" s="53">
        <v>3055335.5799999996</v>
      </c>
      <c r="AY17" s="53">
        <v>9269332.6341599971</v>
      </c>
      <c r="AZ17" s="53">
        <v>9612641.2502399962</v>
      </c>
      <c r="BB17" s="53">
        <v>2770198.6370666665</v>
      </c>
      <c r="BC17" s="53">
        <v>7994338.4650207972</v>
      </c>
      <c r="BD17" s="53">
        <v>8279986.7743711965</v>
      </c>
      <c r="BF17" s="53">
        <v>-397734.05959999998</v>
      </c>
      <c r="BG17" s="53">
        <v>-1150751.8405391995</v>
      </c>
      <c r="BH17" s="53">
        <v>-1191948.8744687994</v>
      </c>
      <c r="BJ17" s="53">
        <v>2498867.7999999998</v>
      </c>
      <c r="BK17" s="53">
        <v>7581110.5655999966</v>
      </c>
      <c r="BL17" s="53">
        <v>7861892.4383999966</v>
      </c>
      <c r="BN17" s="53">
        <v>146517.79999999999</v>
      </c>
      <c r="BO17" s="53">
        <v>444508.36560000008</v>
      </c>
      <c r="BP17" s="53">
        <v>460971.63840000011</v>
      </c>
      <c r="BR17" s="53">
        <v>348215.00999999989</v>
      </c>
      <c r="BS17" s="53">
        <v>1056421.0285199995</v>
      </c>
      <c r="BT17" s="53">
        <v>1095547.7332799996</v>
      </c>
      <c r="BV17" s="53">
        <v>26785.77</v>
      </c>
      <c r="BW17" s="53">
        <v>81263.156040000002</v>
      </c>
      <c r="BX17" s="53">
        <v>84272.902560000002</v>
      </c>
      <c r="BZ17" s="53">
        <v>34949.199999999997</v>
      </c>
      <c r="CA17" s="53">
        <v>106029.51840000002</v>
      </c>
      <c r="CB17" s="53">
        <v>109956.53760000003</v>
      </c>
      <c r="CD17" s="53">
        <v>158830.44858320637</v>
      </c>
      <c r="CE17" s="53">
        <v>481862.70273806958</v>
      </c>
      <c r="CF17" s="53">
        <v>499709.46950614615</v>
      </c>
      <c r="CH17" s="53">
        <v>21222.920067148803</v>
      </c>
      <c r="CI17" s="53">
        <v>64386.480770989976</v>
      </c>
      <c r="CJ17" s="53">
        <v>66771.165243989599</v>
      </c>
      <c r="CL17" s="53">
        <v>259114.91666666666</v>
      </c>
      <c r="CM17" s="53">
        <v>320266.03700000001</v>
      </c>
      <c r="CN17" s="53">
        <v>320266.03700000001</v>
      </c>
      <c r="CP17" s="53">
        <v>129071.2305058176</v>
      </c>
      <c r="CQ17" s="53">
        <v>391578.64585819503</v>
      </c>
      <c r="CR17" s="53">
        <v>406081.55866775778</v>
      </c>
      <c r="CT17" s="53">
        <v>0</v>
      </c>
      <c r="CU17" s="53">
        <v>0</v>
      </c>
      <c r="CV17" s="53">
        <v>0</v>
      </c>
      <c r="CX17" s="53">
        <v>1414310.9151535141</v>
      </c>
      <c r="CY17" s="53">
        <v>3899168.4797507199</v>
      </c>
      <c r="CZ17" s="53">
        <v>4443500.9041673904</v>
      </c>
      <c r="DB17" s="53">
        <v>150000</v>
      </c>
      <c r="DC17" s="53">
        <v>185400</v>
      </c>
      <c r="DD17" s="53">
        <v>190962</v>
      </c>
      <c r="DF17" s="53">
        <v>87000</v>
      </c>
      <c r="DG17" s="53">
        <v>108576</v>
      </c>
      <c r="DH17" s="53">
        <v>112919.03999999999</v>
      </c>
      <c r="DJ17" s="53">
        <v>10172.2186</v>
      </c>
      <c r="DK17" s="53">
        <v>14910.26888</v>
      </c>
      <c r="DL17" s="53">
        <v>16268.34733056</v>
      </c>
      <c r="DN17" s="53">
        <v>75000</v>
      </c>
      <c r="DO17" s="53">
        <v>91800</v>
      </c>
      <c r="DP17" s="53">
        <v>93636</v>
      </c>
      <c r="DR17" s="53">
        <v>98077.5</v>
      </c>
      <c r="DS17" s="53">
        <v>244015.11000000004</v>
      </c>
      <c r="DT17" s="53">
        <v>257405.36400000009</v>
      </c>
      <c r="DV17" s="53">
        <v>60000</v>
      </c>
      <c r="DW17" s="53">
        <v>75600</v>
      </c>
      <c r="DX17" s="53">
        <v>79380</v>
      </c>
      <c r="DZ17" s="53">
        <v>129000</v>
      </c>
      <c r="EA17" s="53">
        <v>0</v>
      </c>
      <c r="EB17" s="53">
        <v>0</v>
      </c>
      <c r="ED17" s="53">
        <v>374825.72173784679</v>
      </c>
      <c r="EE17" s="53">
        <v>754627.25119858491</v>
      </c>
      <c r="EF17" s="53">
        <v>681781.06209451566</v>
      </c>
      <c r="EH17" s="53">
        <v>0</v>
      </c>
      <c r="EI17" s="53">
        <v>0</v>
      </c>
      <c r="EJ17" s="53">
        <v>0</v>
      </c>
      <c r="EL17" s="53">
        <v>-556461.89098773326</v>
      </c>
      <c r="EM17" s="53">
        <v>-976081.63653491996</v>
      </c>
      <c r="EN17" s="53">
        <v>-1241998.0161556797</v>
      </c>
      <c r="EP17" s="53">
        <v>36850.72532416421</v>
      </c>
      <c r="EQ17" s="53">
        <v>114280.51932731722</v>
      </c>
      <c r="ER17" s="53">
        <v>150348.97109767265</v>
      </c>
      <c r="ET17" s="53">
        <v>1</v>
      </c>
      <c r="EU17" s="53">
        <v>1</v>
      </c>
      <c r="EV17" s="53">
        <v>1</v>
      </c>
      <c r="EX17" s="53">
        <v>1</v>
      </c>
      <c r="EY17" s="53">
        <v>1</v>
      </c>
      <c r="EZ17" s="53">
        <v>1</v>
      </c>
      <c r="FB17" s="53">
        <v>1</v>
      </c>
      <c r="FC17" s="53">
        <v>1</v>
      </c>
      <c r="FD17" s="53">
        <v>1</v>
      </c>
      <c r="FF17" t="str">
        <v>New Jersey</v>
      </c>
      <c r="FG17" s="127" t="str">
        <v>NJA2-Center</v>
      </c>
      <c r="FH17" s="89">
        <v>963.65</v>
      </c>
      <c r="FI17" s="89">
        <v>993.98</v>
      </c>
      <c r="FJ17" s="89">
        <v>1024.3</v>
      </c>
      <c r="FK17" s="89">
        <v>1054.6299999999999</v>
      </c>
      <c r="FL17" s="89">
        <v>1095.06</v>
      </c>
      <c r="FM17" s="89">
        <v>1122.02</v>
      </c>
      <c r="FN17" s="89">
        <v>1155.71</v>
      </c>
      <c r="FO17" s="89">
        <v>1186.03</v>
      </c>
      <c r="FP17" s="89">
        <v>1212.99</v>
      </c>
      <c r="FQ17" s="89">
        <v>1250.05</v>
      </c>
      <c r="FR17" s="89">
        <v>1283.75</v>
      </c>
      <c r="FS17" s="89">
        <v>1314.07</v>
      </c>
    </row>
    <row r="18" spans="1:175" x14ac:dyDescent="0.25">
      <c r="A18" s="117"/>
      <c r="B18" t="str">
        <v>New Jersey</v>
      </c>
      <c r="C18" s="116" t="str">
        <v>NJ-2027-01-Center</v>
      </c>
      <c r="D18" s="3">
        <v>2027</v>
      </c>
      <c r="E18">
        <v>3</v>
      </c>
      <c r="G18" t="str">
        <v>JV1</v>
      </c>
      <c r="H18" t="str">
        <v>Remote</v>
      </c>
      <c r="I18" t="str">
        <v>New Jersey</v>
      </c>
      <c r="J18" s="53">
        <v>3629.5599999999995</v>
      </c>
      <c r="K18" s="53">
        <v>13374.680000000002</v>
      </c>
      <c r="L18" s="53">
        <v>14319.360000000002</v>
      </c>
      <c r="N18" s="53">
        <v>6.4799999999999995</v>
      </c>
      <c r="O18" s="53">
        <v>10.36</v>
      </c>
      <c r="P18" s="53">
        <v>10.36</v>
      </c>
      <c r="R18" s="53">
        <v>1.37</v>
      </c>
      <c r="S18" s="53">
        <v>2.19</v>
      </c>
      <c r="T18" s="53">
        <v>2.19</v>
      </c>
      <c r="V18" s="53">
        <v>8</v>
      </c>
      <c r="W18" s="53">
        <v>13</v>
      </c>
      <c r="X18" s="53">
        <v>13</v>
      </c>
      <c r="Z18" s="53">
        <v>3</v>
      </c>
      <c r="AA18" s="53">
        <v>4</v>
      </c>
      <c r="AB18" s="53">
        <v>2</v>
      </c>
      <c r="AD18" s="53">
        <v>15</v>
      </c>
      <c r="AE18" s="53">
        <v>24</v>
      </c>
      <c r="AF18" s="53">
        <v>24</v>
      </c>
      <c r="AH18" s="53">
        <v>19.714285714285712</v>
      </c>
      <c r="AI18" s="53">
        <v>29.857142857142858</v>
      </c>
      <c r="AJ18" s="53">
        <v>24</v>
      </c>
      <c r="AL18" s="53">
        <v>6</v>
      </c>
      <c r="AM18" s="53">
        <v>23</v>
      </c>
      <c r="AN18" s="53">
        <v>24</v>
      </c>
      <c r="AP18" s="53">
        <v>21</v>
      </c>
      <c r="AQ18" s="53">
        <v>47</v>
      </c>
      <c r="AR18" s="53">
        <v>48</v>
      </c>
      <c r="AT18" s="53">
        <v>0</v>
      </c>
      <c r="AU18" s="53">
        <v>0</v>
      </c>
      <c r="AV18" s="53">
        <v>0</v>
      </c>
      <c r="AX18" s="53">
        <v>657122.27499999979</v>
      </c>
      <c r="AY18" s="53">
        <v>2494094.0922499998</v>
      </c>
      <c r="AZ18" s="53">
        <v>2670256.8719999995</v>
      </c>
      <c r="BB18" s="53">
        <v>578267.60199999996</v>
      </c>
      <c r="BC18" s="53">
        <v>2194802.8011800004</v>
      </c>
      <c r="BD18" s="53">
        <v>2349826.0473600007</v>
      </c>
      <c r="BF18" s="53">
        <v>-78854.672999999981</v>
      </c>
      <c r="BG18" s="53">
        <v>-299291.29107000004</v>
      </c>
      <c r="BH18" s="53">
        <v>-320430.82464000001</v>
      </c>
      <c r="BJ18" s="53">
        <v>552779.84666666656</v>
      </c>
      <c r="BK18" s="53">
        <v>2098064.5495333332</v>
      </c>
      <c r="BL18" s="53">
        <v>2246254.9823999996</v>
      </c>
      <c r="BN18" s="53">
        <v>0</v>
      </c>
      <c r="BO18" s="53">
        <v>0</v>
      </c>
      <c r="BP18" s="53">
        <v>0</v>
      </c>
      <c r="BR18" s="53">
        <v>77029.380999999965</v>
      </c>
      <c r="BS18" s="53">
        <v>292363.43278999982</v>
      </c>
      <c r="BT18" s="53">
        <v>313013.63807999983</v>
      </c>
      <c r="BV18" s="53">
        <v>11850.673999999999</v>
      </c>
      <c r="BW18" s="53">
        <v>44978.989660000007</v>
      </c>
      <c r="BX18" s="53">
        <v>48155.944320000002</v>
      </c>
      <c r="BZ18" s="53">
        <v>15462.373333333331</v>
      </c>
      <c r="CA18" s="53">
        <v>58687.120266666672</v>
      </c>
      <c r="CB18" s="53">
        <v>62832.307200000003</v>
      </c>
      <c r="CD18" s="53">
        <v>0</v>
      </c>
      <c r="CE18" s="53">
        <v>0</v>
      </c>
      <c r="CF18" s="53">
        <v>0</v>
      </c>
      <c r="CH18" s="53">
        <v>0</v>
      </c>
      <c r="CI18" s="53">
        <v>0</v>
      </c>
      <c r="CJ18" s="53">
        <v>0</v>
      </c>
      <c r="CL18" s="53">
        <v>0</v>
      </c>
      <c r="CM18" s="53">
        <v>0</v>
      </c>
      <c r="CN18" s="53">
        <v>0</v>
      </c>
      <c r="CP18" s="53">
        <v>0</v>
      </c>
      <c r="CQ18" s="53">
        <v>0</v>
      </c>
      <c r="CR18" s="53">
        <v>0</v>
      </c>
      <c r="CT18" s="53">
        <v>0</v>
      </c>
      <c r="CU18" s="53">
        <v>0</v>
      </c>
      <c r="CV18" s="53">
        <v>0</v>
      </c>
      <c r="CX18" s="53">
        <v>316513.191876792</v>
      </c>
      <c r="CY18" s="53">
        <v>852657.07482433028</v>
      </c>
      <c r="CZ18" s="53">
        <v>972001.26309081947</v>
      </c>
      <c r="DB18" s="53">
        <v>0</v>
      </c>
      <c r="DC18" s="53">
        <v>0</v>
      </c>
      <c r="DD18" s="53">
        <v>0</v>
      </c>
      <c r="DF18" s="53">
        <v>0</v>
      </c>
      <c r="DG18" s="53">
        <v>0</v>
      </c>
      <c r="DH18" s="53">
        <v>0</v>
      </c>
      <c r="DJ18" s="53">
        <v>7773.2057999999997</v>
      </c>
      <c r="DK18" s="53">
        <v>12688.621295999999</v>
      </c>
      <c r="DL18" s="53">
        <v>12857.242245120004</v>
      </c>
      <c r="DN18" s="53">
        <v>0</v>
      </c>
      <c r="DO18" s="53">
        <v>0</v>
      </c>
      <c r="DP18" s="53">
        <v>0</v>
      </c>
      <c r="DR18" s="53">
        <v>42890</v>
      </c>
      <c r="DS18" s="53">
        <v>106845.00000000001</v>
      </c>
      <c r="DT18" s="53">
        <v>113674.10400000004</v>
      </c>
      <c r="DV18" s="53">
        <v>0</v>
      </c>
      <c r="DW18" s="53">
        <v>0</v>
      </c>
      <c r="DX18" s="53">
        <v>0</v>
      </c>
      <c r="DZ18" s="53">
        <v>0</v>
      </c>
      <c r="EA18" s="53">
        <v>0</v>
      </c>
      <c r="EB18" s="53">
        <v>0</v>
      </c>
      <c r="ED18" s="53">
        <v>75228.456050717956</v>
      </c>
      <c r="EE18" s="53">
        <v>206321.47745313763</v>
      </c>
      <c r="EF18" s="53">
        <v>193486.64943104613</v>
      </c>
      <c r="EH18" s="53">
        <v>0</v>
      </c>
      <c r="EI18" s="53">
        <v>0</v>
      </c>
      <c r="EJ18" s="53">
        <v>0</v>
      </c>
      <c r="EL18" s="53">
        <v>-17823.316499999997</v>
      </c>
      <c r="EM18" s="53">
        <v>-251273.11601700002</v>
      </c>
      <c r="EN18" s="53">
        <v>-352473.90710399998</v>
      </c>
      <c r="EP18" s="53">
        <v>7719.1882478169264</v>
      </c>
      <c r="EQ18" s="53">
        <v>29948.487361132346</v>
      </c>
      <c r="ER18" s="53">
        <v>40677.016122993664</v>
      </c>
      <c r="ET18" s="53">
        <v>0</v>
      </c>
      <c r="EU18" s="53">
        <v>0</v>
      </c>
      <c r="EV18" s="53">
        <v>0</v>
      </c>
      <c r="EX18" s="53">
        <v>0</v>
      </c>
      <c r="EY18" s="53">
        <v>0</v>
      </c>
      <c r="EZ18" s="53">
        <v>0</v>
      </c>
      <c r="FB18" s="53">
        <v>0</v>
      </c>
      <c r="FC18" s="53">
        <v>0</v>
      </c>
      <c r="FD18" s="53">
        <v>0</v>
      </c>
      <c r="FF18" t="str">
        <v>New Jersey</v>
      </c>
      <c r="FG18" s="127" t="str">
        <v>NJA3-Center</v>
      </c>
      <c r="FH18" s="89">
        <v>0</v>
      </c>
      <c r="FI18" s="89">
        <v>0</v>
      </c>
      <c r="FJ18" s="89">
        <v>363.9</v>
      </c>
      <c r="FK18" s="89">
        <v>963.65</v>
      </c>
      <c r="FL18" s="89">
        <v>993.98</v>
      </c>
      <c r="FM18" s="89">
        <v>1024.3</v>
      </c>
      <c r="FN18" s="89">
        <v>1054.6299999999999</v>
      </c>
      <c r="FO18" s="89">
        <v>1095.06</v>
      </c>
      <c r="FP18" s="89">
        <v>1122.02</v>
      </c>
      <c r="FQ18" s="89">
        <v>1155.71</v>
      </c>
      <c r="FR18" s="89">
        <v>1186.03</v>
      </c>
      <c r="FS18" s="89">
        <v>1212.99</v>
      </c>
    </row>
    <row r="19" spans="1:175" x14ac:dyDescent="0.25">
      <c r="A19" s="117"/>
      <c r="B19" t="str">
        <v>New Jersey</v>
      </c>
      <c r="C19" s="116" t="str">
        <v>NJ-2027-05-Center</v>
      </c>
      <c r="D19" s="3">
        <v>2027</v>
      </c>
      <c r="E19">
        <v>7</v>
      </c>
      <c r="G19" t="str">
        <v>JV1</v>
      </c>
      <c r="H19" t="str">
        <v>Center</v>
      </c>
      <c r="I19" t="str">
        <v>New Jersey</v>
      </c>
      <c r="J19" s="53">
        <v>50616.426666666652</v>
      </c>
      <c r="K19" s="53">
        <v>52926.719999999979</v>
      </c>
      <c r="L19" s="53">
        <v>52926.719999999979</v>
      </c>
      <c r="N19" s="53">
        <v>39.53</v>
      </c>
      <c r="O19" s="53">
        <v>39.53</v>
      </c>
      <c r="P19" s="53">
        <v>39.53</v>
      </c>
      <c r="R19" s="53">
        <v>6</v>
      </c>
      <c r="S19" s="53">
        <v>6</v>
      </c>
      <c r="T19" s="53">
        <v>6</v>
      </c>
      <c r="V19" s="53">
        <v>46</v>
      </c>
      <c r="W19" s="53">
        <v>46</v>
      </c>
      <c r="X19" s="53">
        <v>46</v>
      </c>
      <c r="Z19" s="53">
        <v>9</v>
      </c>
      <c r="AA19" s="53">
        <v>8</v>
      </c>
      <c r="AB19" s="53">
        <v>8</v>
      </c>
      <c r="AD19" s="53">
        <v>42</v>
      </c>
      <c r="AE19" s="53">
        <v>42</v>
      </c>
      <c r="AF19" s="53">
        <v>42</v>
      </c>
      <c r="AH19" s="53">
        <v>37.499999999999993</v>
      </c>
      <c r="AI19" s="53">
        <v>46.333333333333336</v>
      </c>
      <c r="AJ19" s="53">
        <v>48</v>
      </c>
      <c r="AL19" s="53">
        <v>27</v>
      </c>
      <c r="AM19" s="53">
        <v>46.333333333333336</v>
      </c>
      <c r="AN19" s="53">
        <v>48</v>
      </c>
      <c r="AP19" s="53">
        <v>69</v>
      </c>
      <c r="AQ19" s="53">
        <v>88.333333333333343</v>
      </c>
      <c r="AR19" s="53">
        <v>90</v>
      </c>
      <c r="AT19" s="53">
        <v>0</v>
      </c>
      <c r="AU19" s="53">
        <v>0</v>
      </c>
      <c r="AV19" s="53">
        <v>0</v>
      </c>
      <c r="AX19" s="53">
        <v>8925283.3306666631</v>
      </c>
      <c r="AY19" s="53">
        <v>9612641.2502399962</v>
      </c>
      <c r="AZ19" s="53">
        <v>9612641.2502399962</v>
      </c>
      <c r="BB19" s="53">
        <v>7699865.1096533304</v>
      </c>
      <c r="BC19" s="53">
        <v>8279986.7743711965</v>
      </c>
      <c r="BD19" s="53">
        <v>8279986.7743711965</v>
      </c>
      <c r="BF19" s="53">
        <v>-1108346.5476799996</v>
      </c>
      <c r="BG19" s="53">
        <v>-1191948.8744687994</v>
      </c>
      <c r="BH19" s="53">
        <v>-1191948.8744687994</v>
      </c>
      <c r="BJ19" s="53">
        <v>7299722.9066666644</v>
      </c>
      <c r="BK19" s="53">
        <v>7861892.4383999966</v>
      </c>
      <c r="BL19" s="53">
        <v>7861892.4383999966</v>
      </c>
      <c r="BN19" s="53">
        <v>428009.5733333333</v>
      </c>
      <c r="BO19" s="53">
        <v>460971.63840000011</v>
      </c>
      <c r="BP19" s="53">
        <v>460971.63840000011</v>
      </c>
      <c r="BR19" s="53">
        <v>1017209.9079999996</v>
      </c>
      <c r="BS19" s="53">
        <v>1095547.7332799996</v>
      </c>
      <c r="BT19" s="53">
        <v>1095547.7332799996</v>
      </c>
      <c r="BV19" s="53">
        <v>78246.915999999983</v>
      </c>
      <c r="BW19" s="53">
        <v>84272.902560000002</v>
      </c>
      <c r="BX19" s="53">
        <v>84272.902560000002</v>
      </c>
      <c r="BZ19" s="53">
        <v>102094.02666666669</v>
      </c>
      <c r="CA19" s="53">
        <v>109956.53760000003</v>
      </c>
      <c r="CB19" s="53">
        <v>109956.53760000003</v>
      </c>
      <c r="CD19" s="53">
        <v>463977.43161882111</v>
      </c>
      <c r="CE19" s="53">
        <v>499709.46950614615</v>
      </c>
      <c r="CF19" s="53">
        <v>499709.46950614615</v>
      </c>
      <c r="CH19" s="53">
        <v>61996.651347671068</v>
      </c>
      <c r="CI19" s="53">
        <v>66771.165243989599</v>
      </c>
      <c r="CJ19" s="53">
        <v>66771.165243989599</v>
      </c>
      <c r="CL19" s="53">
        <v>310937.89999999997</v>
      </c>
      <c r="CM19" s="53">
        <v>320266.03700000001</v>
      </c>
      <c r="CN19" s="53">
        <v>320266.03700000001</v>
      </c>
      <c r="CP19" s="53">
        <v>377044.44305335794</v>
      </c>
      <c r="CQ19" s="53">
        <v>406081.55866775778</v>
      </c>
      <c r="CR19" s="53">
        <v>406081.55866775778</v>
      </c>
      <c r="CT19" s="53">
        <v>0</v>
      </c>
      <c r="CU19" s="53">
        <v>0</v>
      </c>
      <c r="CV19" s="53">
        <v>0</v>
      </c>
      <c r="CX19" s="53">
        <v>4396523.1642343067</v>
      </c>
      <c r="CY19" s="53">
        <v>5007054.1365158074</v>
      </c>
      <c r="CZ19" s="53">
        <v>5511261.53216739</v>
      </c>
      <c r="DB19" s="53">
        <v>268937.87999999995</v>
      </c>
      <c r="DC19" s="53">
        <v>277006.01640000002</v>
      </c>
      <c r="DD19" s="53">
        <v>285316.19689200009</v>
      </c>
      <c r="DF19" s="53">
        <v>91940.04</v>
      </c>
      <c r="DG19" s="53">
        <v>95617.641600000032</v>
      </c>
      <c r="DH19" s="53">
        <v>99442.347263999996</v>
      </c>
      <c r="DJ19" s="53">
        <v>14127.894200000001</v>
      </c>
      <c r="DK19" s="53">
        <v>15544.524735999999</v>
      </c>
      <c r="DL19" s="53">
        <v>16312.079447040001</v>
      </c>
      <c r="DN19" s="53">
        <v>90000</v>
      </c>
      <c r="DO19" s="53">
        <v>91800</v>
      </c>
      <c r="DP19" s="53">
        <v>93636</v>
      </c>
      <c r="DR19" s="53">
        <v>237351</v>
      </c>
      <c r="DS19" s="53">
        <v>252258.24000000008</v>
      </c>
      <c r="DT19" s="53">
        <v>257449.06080000006</v>
      </c>
      <c r="DV19" s="53">
        <v>72000</v>
      </c>
      <c r="DW19" s="53">
        <v>75600</v>
      </c>
      <c r="DX19" s="53">
        <v>79380</v>
      </c>
      <c r="DZ19" s="53">
        <v>0</v>
      </c>
      <c r="EA19" s="53">
        <v>0</v>
      </c>
      <c r="EB19" s="53">
        <v>0</v>
      </c>
      <c r="ED19" s="53">
        <v>1221631.474089433</v>
      </c>
      <c r="EE19" s="53">
        <v>785855.73997469735</v>
      </c>
      <c r="EF19" s="53">
        <v>681781.06209451566</v>
      </c>
      <c r="EH19" s="53">
        <v>0</v>
      </c>
      <c r="EI19" s="53">
        <v>0</v>
      </c>
      <c r="EJ19" s="53">
        <v>0</v>
      </c>
      <c r="EL19" s="53">
        <v>-1027870.890928</v>
      </c>
      <c r="EM19" s="53">
        <v>-1226925.2246974797</v>
      </c>
      <c r="EN19" s="53">
        <v>-1241998.0161556797</v>
      </c>
      <c r="EP19" s="53">
        <v>107648.78549240694</v>
      </c>
      <c r="EQ19" s="53">
        <v>118513.13115425488</v>
      </c>
      <c r="ER19" s="53">
        <v>150348.97109767265</v>
      </c>
      <c r="ET19" s="53">
        <v>1</v>
      </c>
      <c r="EU19" s="53">
        <v>1</v>
      </c>
      <c r="EV19" s="53">
        <v>1</v>
      </c>
      <c r="EX19" s="53">
        <v>1</v>
      </c>
      <c r="EY19" s="53">
        <v>1</v>
      </c>
      <c r="EZ19" s="53">
        <v>1</v>
      </c>
      <c r="FB19" s="53">
        <v>1</v>
      </c>
      <c r="FC19" s="53">
        <v>1</v>
      </c>
      <c r="FD19" s="53">
        <v>1</v>
      </c>
      <c r="FF19" t="str">
        <v>New Jersey</v>
      </c>
      <c r="FG19" s="127" t="str">
        <v>NJB1-Remote</v>
      </c>
      <c r="FH19" s="89">
        <v>0</v>
      </c>
      <c r="FI19" s="89">
        <v>0</v>
      </c>
      <c r="FJ19" s="89">
        <v>0</v>
      </c>
      <c r="FK19" s="89">
        <v>350.42</v>
      </c>
      <c r="FL19" s="89">
        <v>849.09</v>
      </c>
      <c r="FM19" s="89">
        <v>865.93999999999994</v>
      </c>
      <c r="FN19" s="89">
        <v>892.9</v>
      </c>
      <c r="FO19" s="89">
        <v>919.85</v>
      </c>
      <c r="FP19" s="89">
        <v>936.7</v>
      </c>
      <c r="FQ19" s="89">
        <v>963.65</v>
      </c>
      <c r="FR19" s="89">
        <v>987.24</v>
      </c>
      <c r="FS19" s="89">
        <v>1007.46</v>
      </c>
    </row>
    <row r="20" spans="1:175" x14ac:dyDescent="0.25">
      <c r="A20" s="117"/>
      <c r="B20" t="str">
        <v>New Jersey</v>
      </c>
      <c r="C20" s="116" t="str">
        <v>NJ-2027-02-Center</v>
      </c>
      <c r="D20" s="3">
        <v>2027</v>
      </c>
      <c r="E20">
        <v>8</v>
      </c>
      <c r="G20" t="str">
        <v>JV1</v>
      </c>
      <c r="H20" t="str">
        <v>Remote</v>
      </c>
      <c r="I20" t="str">
        <v>New Jersey</v>
      </c>
      <c r="J20" s="53">
        <v>14248.960000000003</v>
      </c>
      <c r="K20" s="53">
        <v>14868.480000000003</v>
      </c>
      <c r="L20" s="53">
        <v>14868.480000000003</v>
      </c>
      <c r="N20" s="53">
        <v>10.83</v>
      </c>
      <c r="O20" s="53">
        <v>10.83</v>
      </c>
      <c r="P20" s="53">
        <v>10.83</v>
      </c>
      <c r="R20" s="53">
        <v>2.19</v>
      </c>
      <c r="S20" s="53">
        <v>2.19</v>
      </c>
      <c r="T20" s="53">
        <v>2.19</v>
      </c>
      <c r="V20" s="53">
        <v>13</v>
      </c>
      <c r="W20" s="53">
        <v>13</v>
      </c>
      <c r="X20" s="53">
        <v>13</v>
      </c>
      <c r="Z20" s="53">
        <v>3</v>
      </c>
      <c r="AA20" s="53">
        <v>3</v>
      </c>
      <c r="AB20" s="53">
        <v>3</v>
      </c>
      <c r="AD20" s="53">
        <v>24</v>
      </c>
      <c r="AE20" s="53">
        <v>24</v>
      </c>
      <c r="AF20" s="53">
        <v>24</v>
      </c>
      <c r="AH20" s="53">
        <v>28.333333333333336</v>
      </c>
      <c r="AI20" s="53">
        <v>24</v>
      </c>
      <c r="AJ20" s="53">
        <v>24</v>
      </c>
      <c r="AL20" s="53">
        <v>22.333333333333332</v>
      </c>
      <c r="AM20" s="53">
        <v>24</v>
      </c>
      <c r="AN20" s="53">
        <v>24</v>
      </c>
      <c r="AP20" s="53">
        <v>46.333333333333329</v>
      </c>
      <c r="AQ20" s="53">
        <v>48</v>
      </c>
      <c r="AR20" s="53">
        <v>48</v>
      </c>
      <c r="AT20" s="53">
        <v>0</v>
      </c>
      <c r="AU20" s="53">
        <v>0</v>
      </c>
      <c r="AV20" s="53">
        <v>0</v>
      </c>
      <c r="AX20" s="53">
        <v>2579460.5800000005</v>
      </c>
      <c r="AY20" s="53">
        <v>2772359.3711999999</v>
      </c>
      <c r="AZ20" s="53">
        <v>2772359.3711999999</v>
      </c>
      <c r="BB20" s="53">
        <v>2269925.3104000003</v>
      </c>
      <c r="BC20" s="53">
        <v>2439676.2466559992</v>
      </c>
      <c r="BD20" s="53">
        <v>2439676.2466559992</v>
      </c>
      <c r="BF20" s="53">
        <v>-309535.2696</v>
      </c>
      <c r="BG20" s="53">
        <v>-332683.12454399996</v>
      </c>
      <c r="BH20" s="53">
        <v>-332683.12454399996</v>
      </c>
      <c r="BJ20" s="53">
        <v>2184960.4400000004</v>
      </c>
      <c r="BK20" s="53">
        <v>2348357.4816000001</v>
      </c>
      <c r="BL20" s="53">
        <v>2348357.4816000001</v>
      </c>
      <c r="BN20" s="53">
        <v>0</v>
      </c>
      <c r="BO20" s="53">
        <v>0</v>
      </c>
      <c r="BP20" s="53">
        <v>0</v>
      </c>
      <c r="BR20" s="53">
        <v>291234.37199999997</v>
      </c>
      <c r="BS20" s="53">
        <v>313013.63807999983</v>
      </c>
      <c r="BT20" s="53">
        <v>313013.63807999983</v>
      </c>
      <c r="BV20" s="53">
        <v>44805.288</v>
      </c>
      <c r="BW20" s="53">
        <v>48155.944320000002</v>
      </c>
      <c r="BX20" s="53">
        <v>48155.944320000002</v>
      </c>
      <c r="BZ20" s="53">
        <v>58460.479999999981</v>
      </c>
      <c r="CA20" s="53">
        <v>62832.307200000003</v>
      </c>
      <c r="CB20" s="53">
        <v>62832.307200000003</v>
      </c>
      <c r="CD20" s="53">
        <v>0</v>
      </c>
      <c r="CE20" s="53">
        <v>0</v>
      </c>
      <c r="CF20" s="53">
        <v>0</v>
      </c>
      <c r="CH20" s="53">
        <v>0</v>
      </c>
      <c r="CI20" s="53">
        <v>0</v>
      </c>
      <c r="CJ20" s="53">
        <v>0</v>
      </c>
      <c r="CL20" s="53">
        <v>0</v>
      </c>
      <c r="CM20" s="53">
        <v>0</v>
      </c>
      <c r="CN20" s="53">
        <v>0</v>
      </c>
      <c r="CP20" s="53">
        <v>0</v>
      </c>
      <c r="CQ20" s="53">
        <v>0</v>
      </c>
      <c r="CR20" s="53">
        <v>0</v>
      </c>
      <c r="CT20" s="53">
        <v>0</v>
      </c>
      <c r="CU20" s="53">
        <v>0</v>
      </c>
      <c r="CV20" s="53">
        <v>0</v>
      </c>
      <c r="CX20" s="53">
        <v>803172.38788120414</v>
      </c>
      <c r="CY20" s="53">
        <v>902837.01603407832</v>
      </c>
      <c r="CZ20" s="53">
        <v>993120.71763748594</v>
      </c>
      <c r="DB20" s="53">
        <v>0</v>
      </c>
      <c r="DC20" s="53">
        <v>0</v>
      </c>
      <c r="DD20" s="53">
        <v>0</v>
      </c>
      <c r="DF20" s="53">
        <v>0</v>
      </c>
      <c r="DG20" s="53">
        <v>0</v>
      </c>
      <c r="DH20" s="53">
        <v>0</v>
      </c>
      <c r="DJ20" s="53">
        <v>12129.840000000002</v>
      </c>
      <c r="DK20" s="53">
        <v>12362.732927999999</v>
      </c>
      <c r="DL20" s="53">
        <v>12857.242245120004</v>
      </c>
      <c r="DN20" s="53">
        <v>0</v>
      </c>
      <c r="DO20" s="53">
        <v>0</v>
      </c>
      <c r="DP20" s="53">
        <v>0</v>
      </c>
      <c r="DR20" s="53">
        <v>109175</v>
      </c>
      <c r="DS20" s="53">
        <v>114321.60000000002</v>
      </c>
      <c r="DT20" s="53">
        <v>116608.03199999996</v>
      </c>
      <c r="DV20" s="53">
        <v>0</v>
      </c>
      <c r="DW20" s="53">
        <v>0</v>
      </c>
      <c r="DX20" s="53">
        <v>0</v>
      </c>
      <c r="DZ20" s="53">
        <v>0</v>
      </c>
      <c r="EA20" s="53">
        <v>0</v>
      </c>
      <c r="EB20" s="53">
        <v>0</v>
      </c>
      <c r="ED20" s="53">
        <v>360183.25931462442</v>
      </c>
      <c r="EE20" s="53">
        <v>231550.31938564198</v>
      </c>
      <c r="EF20" s="53">
        <v>200884.99027079737</v>
      </c>
      <c r="EH20" s="53">
        <v>0</v>
      </c>
      <c r="EI20" s="53">
        <v>0</v>
      </c>
      <c r="EJ20" s="53">
        <v>0</v>
      </c>
      <c r="EL20" s="53">
        <v>-303479.14475999994</v>
      </c>
      <c r="EM20" s="53">
        <v>-361510.2787823999</v>
      </c>
      <c r="EN20" s="53">
        <v>-365951.43699839985</v>
      </c>
      <c r="EP20" s="53">
        <v>30304.060154843424</v>
      </c>
      <c r="EQ20" s="53">
        <v>33293.39358842597</v>
      </c>
      <c r="ER20" s="53">
        <v>42236.901697031775</v>
      </c>
      <c r="ET20" s="53">
        <v>0</v>
      </c>
      <c r="EU20" s="53">
        <v>0</v>
      </c>
      <c r="EV20" s="53">
        <v>0</v>
      </c>
      <c r="EX20" s="53">
        <v>0</v>
      </c>
      <c r="EY20" s="53">
        <v>0</v>
      </c>
      <c r="EZ20" s="53">
        <v>0</v>
      </c>
      <c r="FB20" s="53">
        <v>0</v>
      </c>
      <c r="FC20" s="53">
        <v>0</v>
      </c>
      <c r="FD20" s="53">
        <v>0</v>
      </c>
      <c r="FF20" t="str">
        <v>New Jersey</v>
      </c>
      <c r="FG20" s="127" t="str">
        <v>NJA4-Center</v>
      </c>
      <c r="FH20" s="89">
        <v>1253.42</v>
      </c>
      <c r="FI20" s="89">
        <v>1287.1199999999999</v>
      </c>
      <c r="FJ20" s="89">
        <v>1320.81</v>
      </c>
      <c r="FK20" s="89">
        <v>1091.69</v>
      </c>
      <c r="FL20" s="89">
        <v>1105.17</v>
      </c>
      <c r="FM20" s="89">
        <v>1111.9100000000001</v>
      </c>
      <c r="FN20" s="89">
        <v>1125.3799999999999</v>
      </c>
      <c r="FO20" s="89">
        <v>1142.23</v>
      </c>
      <c r="FP20" s="89">
        <v>1152.3399999999999</v>
      </c>
      <c r="FQ20" s="89">
        <v>1165.82</v>
      </c>
      <c r="FR20" s="89">
        <v>1182.6600000000001</v>
      </c>
      <c r="FS20" s="89">
        <v>1189.4000000000001</v>
      </c>
    </row>
    <row r="21" spans="1:175" x14ac:dyDescent="0.25">
      <c r="A21" s="117"/>
      <c r="B21" t="str">
        <v>New Jersey</v>
      </c>
      <c r="C21" s="116" t="str">
        <v>NJ-2027-03-Center</v>
      </c>
      <c r="D21" s="3">
        <v>2027</v>
      </c>
      <c r="E21">
        <v>11</v>
      </c>
      <c r="G21" t="str">
        <v>JV1</v>
      </c>
      <c r="H21" t="str">
        <v>Center</v>
      </c>
      <c r="I21" t="str">
        <v>New Jersey</v>
      </c>
      <c r="J21" s="53">
        <v>14176.799999999997</v>
      </c>
      <c r="K21" s="53">
        <v>49776.319999999978</v>
      </c>
      <c r="L21" s="53">
        <v>52926.719999999979</v>
      </c>
      <c r="N21" s="53">
        <v>25.42</v>
      </c>
      <c r="O21" s="53">
        <v>39.53</v>
      </c>
      <c r="P21" s="53">
        <v>39.53</v>
      </c>
      <c r="R21" s="53">
        <v>3.86</v>
      </c>
      <c r="S21" s="53">
        <v>6</v>
      </c>
      <c r="T21" s="53">
        <v>6</v>
      </c>
      <c r="V21" s="53">
        <v>29</v>
      </c>
      <c r="W21" s="53">
        <v>46</v>
      </c>
      <c r="X21" s="53">
        <v>46</v>
      </c>
      <c r="Z21" s="53">
        <v>8</v>
      </c>
      <c r="AA21" s="53">
        <v>9</v>
      </c>
      <c r="AB21" s="53">
        <v>8</v>
      </c>
      <c r="AD21" s="53">
        <v>27</v>
      </c>
      <c r="AE21" s="53">
        <v>42</v>
      </c>
      <c r="AF21" s="53">
        <v>42</v>
      </c>
      <c r="AH21" s="53">
        <v>30</v>
      </c>
      <c r="AI21" s="53">
        <v>41</v>
      </c>
      <c r="AJ21" s="53">
        <v>47</v>
      </c>
      <c r="AL21" s="53">
        <v>6</v>
      </c>
      <c r="AM21" s="53">
        <v>29</v>
      </c>
      <c r="AN21" s="53">
        <v>47</v>
      </c>
      <c r="AP21" s="53">
        <v>33</v>
      </c>
      <c r="AQ21" s="53">
        <v>71</v>
      </c>
      <c r="AR21" s="53">
        <v>89</v>
      </c>
      <c r="AT21" s="53">
        <v>1411000</v>
      </c>
      <c r="AU21" s="53">
        <v>0</v>
      </c>
      <c r="AV21" s="53">
        <v>0</v>
      </c>
      <c r="AX21" s="53">
        <v>2499820.0199999996</v>
      </c>
      <c r="AY21" s="53">
        <v>9040460.2234399971</v>
      </c>
      <c r="AZ21" s="53">
        <v>9612641.2502399962</v>
      </c>
      <c r="BB21" s="53">
        <v>2285182.4315999998</v>
      </c>
      <c r="BC21" s="53">
        <v>7803906.2587871971</v>
      </c>
      <c r="BD21" s="53">
        <v>8279986.7743711965</v>
      </c>
      <c r="BF21" s="53">
        <v>-327962.81339999998</v>
      </c>
      <c r="BG21" s="53">
        <v>-1123287.1512527994</v>
      </c>
      <c r="BH21" s="53">
        <v>-1191948.8744687994</v>
      </c>
      <c r="BJ21" s="53">
        <v>2044528.1999999997</v>
      </c>
      <c r="BK21" s="53">
        <v>7393922.6503999978</v>
      </c>
      <c r="BL21" s="53">
        <v>7861892.4383999966</v>
      </c>
      <c r="BN21" s="53">
        <v>119878.19999999998</v>
      </c>
      <c r="BO21" s="53">
        <v>433532.85040000005</v>
      </c>
      <c r="BP21" s="53">
        <v>460971.63840000011</v>
      </c>
      <c r="BR21" s="53">
        <v>284903.18999999994</v>
      </c>
      <c r="BS21" s="53">
        <v>1030336.5586799996</v>
      </c>
      <c r="BT21" s="53">
        <v>1095547.7332799996</v>
      </c>
      <c r="BV21" s="53">
        <v>21915.63</v>
      </c>
      <c r="BW21" s="53">
        <v>79256.658360000001</v>
      </c>
      <c r="BX21" s="53">
        <v>84272.902560000002</v>
      </c>
      <c r="BZ21" s="53">
        <v>28594.799999999999</v>
      </c>
      <c r="CA21" s="53">
        <v>103411.50560000002</v>
      </c>
      <c r="CB21" s="53">
        <v>109956.53760000003</v>
      </c>
      <c r="CD21" s="53">
        <v>129952.18520444157</v>
      </c>
      <c r="CE21" s="53">
        <v>469964.85822601838</v>
      </c>
      <c r="CF21" s="53">
        <v>499709.46950614615</v>
      </c>
      <c r="CH21" s="53">
        <v>17364.207327667202</v>
      </c>
      <c r="CI21" s="53">
        <v>62796.691122323558</v>
      </c>
      <c r="CJ21" s="53">
        <v>66771.165243989599</v>
      </c>
      <c r="CL21" s="53">
        <v>233203.42499999999</v>
      </c>
      <c r="CM21" s="53">
        <v>320266.03700000001</v>
      </c>
      <c r="CN21" s="53">
        <v>320266.03700000001</v>
      </c>
      <c r="CP21" s="53">
        <v>105603.73405021439</v>
      </c>
      <c r="CQ21" s="53">
        <v>381910.03731848649</v>
      </c>
      <c r="CR21" s="53">
        <v>406081.55866775778</v>
      </c>
      <c r="CT21" s="53">
        <v>0</v>
      </c>
      <c r="CU21" s="53">
        <v>0</v>
      </c>
      <c r="CV21" s="53">
        <v>0</v>
      </c>
      <c r="CX21" s="53">
        <v>1184222.3387134813</v>
      </c>
      <c r="CY21" s="53">
        <v>3816530.2574584382</v>
      </c>
      <c r="CZ21" s="53">
        <v>4442432.9985007234</v>
      </c>
      <c r="DB21" s="53">
        <v>135000</v>
      </c>
      <c r="DC21" s="53">
        <v>185400</v>
      </c>
      <c r="DD21" s="53">
        <v>190962</v>
      </c>
      <c r="DF21" s="53">
        <v>78300</v>
      </c>
      <c r="DG21" s="53">
        <v>108576</v>
      </c>
      <c r="DH21" s="53">
        <v>112919.03999999999</v>
      </c>
      <c r="DJ21" s="53">
        <v>8959.2345999999998</v>
      </c>
      <c r="DK21" s="53">
        <v>14906.764703999999</v>
      </c>
      <c r="DL21" s="53">
        <v>16224.61521408</v>
      </c>
      <c r="DN21" s="53">
        <v>67500</v>
      </c>
      <c r="DO21" s="53">
        <v>91800</v>
      </c>
      <c r="DP21" s="53">
        <v>93636</v>
      </c>
      <c r="DR21" s="53">
        <v>82472</v>
      </c>
      <c r="DS21" s="53">
        <v>238942.14</v>
      </c>
      <c r="DT21" s="53">
        <v>257361.66720000008</v>
      </c>
      <c r="DV21" s="53">
        <v>54000</v>
      </c>
      <c r="DW21" s="53">
        <v>75600</v>
      </c>
      <c r="DX21" s="53">
        <v>79380</v>
      </c>
      <c r="DZ21" s="53">
        <v>151234.47</v>
      </c>
      <c r="EA21" s="53">
        <v>0</v>
      </c>
      <c r="EB21" s="53">
        <v>0</v>
      </c>
      <c r="ED21" s="53">
        <v>301630.29595187807</v>
      </c>
      <c r="EE21" s="53">
        <v>734462.53588599036</v>
      </c>
      <c r="EF21" s="53">
        <v>681781.06209451566</v>
      </c>
      <c r="EH21" s="53">
        <v>0</v>
      </c>
      <c r="EI21" s="53">
        <v>0</v>
      </c>
      <c r="EJ21" s="53">
        <v>0</v>
      </c>
      <c r="EL21" s="53">
        <v>-374707.5051136</v>
      </c>
      <c r="EM21" s="53">
        <v>-912850.74863987998</v>
      </c>
      <c r="EN21" s="53">
        <v>-1241998.0161556797</v>
      </c>
      <c r="EP21" s="53">
        <v>30150.59344704344</v>
      </c>
      <c r="EQ21" s="53">
        <v>111458.77810935874</v>
      </c>
      <c r="ER21" s="53">
        <v>150348.97109767265</v>
      </c>
      <c r="ET21" s="53">
        <v>1</v>
      </c>
      <c r="EU21" s="53">
        <v>1</v>
      </c>
      <c r="EV21" s="53">
        <v>1</v>
      </c>
      <c r="EX21" s="53">
        <v>1</v>
      </c>
      <c r="EY21" s="53">
        <v>1</v>
      </c>
      <c r="EZ21" s="53">
        <v>1</v>
      </c>
      <c r="FB21" s="53">
        <v>1</v>
      </c>
      <c r="FC21" s="53">
        <v>1</v>
      </c>
      <c r="FD21" s="53">
        <v>1</v>
      </c>
      <c r="FF21" t="str">
        <v>New Jersey</v>
      </c>
      <c r="FG21" s="127" t="str">
        <v>NJB2-Remote</v>
      </c>
      <c r="FH21" s="89">
        <v>1054.6299999999999</v>
      </c>
      <c r="FI21" s="89">
        <v>1071.47</v>
      </c>
      <c r="FJ21" s="89">
        <v>1101.8</v>
      </c>
      <c r="FK21" s="89">
        <v>977.13</v>
      </c>
      <c r="FL21" s="89">
        <v>990.61</v>
      </c>
      <c r="FM21" s="89">
        <v>990.61</v>
      </c>
      <c r="FN21" s="89">
        <v>990.61</v>
      </c>
      <c r="FO21" s="89">
        <v>990.61</v>
      </c>
      <c r="FP21" s="89">
        <v>990.61</v>
      </c>
      <c r="FQ21" s="89">
        <v>990.61</v>
      </c>
      <c r="FR21" s="89">
        <v>990.61</v>
      </c>
      <c r="FS21" s="89">
        <v>990.61</v>
      </c>
    </row>
    <row r="22" spans="1:175" x14ac:dyDescent="0.25">
      <c r="A22" s="117"/>
      <c r="B22" t="str">
        <v>New Jersey</v>
      </c>
      <c r="C22" s="116" t="str">
        <v>NJ-2027-04-Center</v>
      </c>
      <c r="D22" s="3">
        <v>2027</v>
      </c>
      <c r="E22">
        <v>12</v>
      </c>
      <c r="G22" t="str">
        <v>JV1</v>
      </c>
      <c r="H22" t="str">
        <v>Remote</v>
      </c>
      <c r="I22" t="str">
        <v>New Jersey</v>
      </c>
      <c r="J22" s="53">
        <v>2994.3466666666664</v>
      </c>
      <c r="K22" s="53">
        <v>13422.933333333334</v>
      </c>
      <c r="L22" s="53">
        <v>14868.480000000003</v>
      </c>
      <c r="N22" s="53">
        <v>5.87</v>
      </c>
      <c r="O22" s="53">
        <v>10.83</v>
      </c>
      <c r="P22" s="53">
        <v>10.83</v>
      </c>
      <c r="R22" s="53">
        <v>1.19</v>
      </c>
      <c r="S22" s="53">
        <v>2.19</v>
      </c>
      <c r="T22" s="53">
        <v>2.19</v>
      </c>
      <c r="V22" s="53">
        <v>7</v>
      </c>
      <c r="W22" s="53">
        <v>13</v>
      </c>
      <c r="X22" s="53">
        <v>13</v>
      </c>
      <c r="Z22" s="53">
        <v>3</v>
      </c>
      <c r="AA22" s="53">
        <v>3</v>
      </c>
      <c r="AB22" s="53">
        <v>3</v>
      </c>
      <c r="AD22" s="53">
        <v>13</v>
      </c>
      <c r="AE22" s="53">
        <v>24</v>
      </c>
      <c r="AF22" s="53">
        <v>24</v>
      </c>
      <c r="AH22" s="53">
        <v>16.666666666666664</v>
      </c>
      <c r="AI22" s="53">
        <v>30.904761904761905</v>
      </c>
      <c r="AJ22" s="53">
        <v>24</v>
      </c>
      <c r="AL22" s="53">
        <v>4.666666666666667</v>
      </c>
      <c r="AM22" s="53">
        <v>22.333333333333332</v>
      </c>
      <c r="AN22" s="53">
        <v>24</v>
      </c>
      <c r="AP22" s="53">
        <v>17.666666666666668</v>
      </c>
      <c r="AQ22" s="53">
        <v>46.333333333333329</v>
      </c>
      <c r="AR22" s="53">
        <v>48</v>
      </c>
      <c r="AT22" s="53">
        <v>0</v>
      </c>
      <c r="AU22" s="53">
        <v>0</v>
      </c>
      <c r="AV22" s="53">
        <v>0</v>
      </c>
      <c r="AX22" s="53">
        <v>542060.55666666664</v>
      </c>
      <c r="AY22" s="53">
        <v>2502824.4323333334</v>
      </c>
      <c r="AZ22" s="53">
        <v>2772359.3711999999</v>
      </c>
      <c r="BB22" s="53">
        <v>477013.2898666666</v>
      </c>
      <c r="BC22" s="53">
        <v>2202485.5004533324</v>
      </c>
      <c r="BD22" s="53">
        <v>2439676.2466559992</v>
      </c>
      <c r="BF22" s="53">
        <v>-65047.266799999998</v>
      </c>
      <c r="BG22" s="53">
        <v>-300338.93187999999</v>
      </c>
      <c r="BH22" s="53">
        <v>-332683.12454399996</v>
      </c>
      <c r="BJ22" s="53">
        <v>459158.35333333327</v>
      </c>
      <c r="BK22" s="53">
        <v>2120044.9486666666</v>
      </c>
      <c r="BL22" s="53">
        <v>2348357.4816000001</v>
      </c>
      <c r="BN22" s="53">
        <v>0</v>
      </c>
      <c r="BO22" s="53">
        <v>0</v>
      </c>
      <c r="BP22" s="53">
        <v>0</v>
      </c>
      <c r="BR22" s="53">
        <v>61201.425999999978</v>
      </c>
      <c r="BS22" s="53">
        <v>282581.75659999985</v>
      </c>
      <c r="BT22" s="53">
        <v>313013.63807999983</v>
      </c>
      <c r="BV22" s="53">
        <v>9415.6039999999994</v>
      </c>
      <c r="BW22" s="53">
        <v>43474.116399999999</v>
      </c>
      <c r="BX22" s="53">
        <v>48155.944320000002</v>
      </c>
      <c r="BZ22" s="53">
        <v>12285.173333333332</v>
      </c>
      <c r="CA22" s="53">
        <v>56723.610666666667</v>
      </c>
      <c r="CB22" s="53">
        <v>62832.307200000003</v>
      </c>
      <c r="CD22" s="53">
        <v>0</v>
      </c>
      <c r="CE22" s="53">
        <v>0</v>
      </c>
      <c r="CF22" s="53">
        <v>0</v>
      </c>
      <c r="CH22" s="53">
        <v>0</v>
      </c>
      <c r="CI22" s="53">
        <v>0</v>
      </c>
      <c r="CJ22" s="53">
        <v>0</v>
      </c>
      <c r="CL22" s="53">
        <v>0</v>
      </c>
      <c r="CM22" s="53">
        <v>0</v>
      </c>
      <c r="CN22" s="53">
        <v>0</v>
      </c>
      <c r="CP22" s="53">
        <v>0</v>
      </c>
      <c r="CQ22" s="53">
        <v>0</v>
      </c>
      <c r="CR22" s="53">
        <v>0</v>
      </c>
      <c r="CT22" s="53">
        <v>0</v>
      </c>
      <c r="CU22" s="53">
        <v>0</v>
      </c>
      <c r="CV22" s="53">
        <v>0</v>
      </c>
      <c r="CX22" s="53">
        <v>269237.64616634004</v>
      </c>
      <c r="CY22" s="53">
        <v>852205.82688965416</v>
      </c>
      <c r="CZ22" s="53">
        <v>993120.71763748594</v>
      </c>
      <c r="DB22" s="53">
        <v>0</v>
      </c>
      <c r="DC22" s="53">
        <v>0</v>
      </c>
      <c r="DD22" s="53">
        <v>0</v>
      </c>
      <c r="DF22" s="53">
        <v>0</v>
      </c>
      <c r="DG22" s="53">
        <v>0</v>
      </c>
      <c r="DH22" s="53">
        <v>0</v>
      </c>
      <c r="DJ22" s="53">
        <v>6765.7551999999996</v>
      </c>
      <c r="DK22" s="53">
        <v>12706.142175999999</v>
      </c>
      <c r="DL22" s="53">
        <v>12857.242245120004</v>
      </c>
      <c r="DN22" s="53">
        <v>0</v>
      </c>
      <c r="DO22" s="53">
        <v>0</v>
      </c>
      <c r="DP22" s="53">
        <v>0</v>
      </c>
      <c r="DR22" s="53">
        <v>36680</v>
      </c>
      <c r="DS22" s="53">
        <v>107064.30000000002</v>
      </c>
      <c r="DT22" s="53">
        <v>116608.03199999996</v>
      </c>
      <c r="DV22" s="53">
        <v>0</v>
      </c>
      <c r="DW22" s="53">
        <v>0</v>
      </c>
      <c r="DX22" s="53">
        <v>0</v>
      </c>
      <c r="DZ22" s="53">
        <v>0</v>
      </c>
      <c r="EA22" s="53">
        <v>0</v>
      </c>
      <c r="EB22" s="53">
        <v>0</v>
      </c>
      <c r="ED22" s="53">
        <v>60620.040298080916</v>
      </c>
      <c r="EE22" s="53">
        <v>206302.11338848405</v>
      </c>
      <c r="EF22" s="53">
        <v>200884.99027079737</v>
      </c>
      <c r="EH22" s="53">
        <v>0</v>
      </c>
      <c r="EI22" s="53">
        <v>0</v>
      </c>
      <c r="EJ22" s="53">
        <v>0</v>
      </c>
      <c r="EL22" s="53">
        <v>-11102.895539999998</v>
      </c>
      <c r="EM22" s="53">
        <v>-238342.15759199997</v>
      </c>
      <c r="EN22" s="53">
        <v>-365951.43699839985</v>
      </c>
      <c r="EP22" s="53">
        <v>6368.2445252931821</v>
      </c>
      <c r="EQ22" s="53">
        <v>30056.535878440107</v>
      </c>
      <c r="ER22" s="53">
        <v>42236.901697031775</v>
      </c>
      <c r="ET22" s="53">
        <v>0</v>
      </c>
      <c r="EU22" s="53">
        <v>0</v>
      </c>
      <c r="EV22" s="53">
        <v>0</v>
      </c>
      <c r="EX22" s="53">
        <v>0</v>
      </c>
      <c r="EY22" s="53">
        <v>0</v>
      </c>
      <c r="EZ22" s="53">
        <v>0</v>
      </c>
      <c r="FB22" s="53">
        <v>0</v>
      </c>
      <c r="FC22" s="53">
        <v>0</v>
      </c>
      <c r="FD22" s="53">
        <v>0</v>
      </c>
      <c r="FF22" t="str">
        <v>New Jersey</v>
      </c>
      <c r="FG22" s="127" t="str">
        <v>NJA5-Center</v>
      </c>
      <c r="FH22" s="89">
        <v>0</v>
      </c>
      <c r="FI22" s="89">
        <v>0</v>
      </c>
      <c r="FJ22" s="89">
        <v>0</v>
      </c>
      <c r="FK22" s="89">
        <v>363.9</v>
      </c>
      <c r="FL22" s="89">
        <v>963.65</v>
      </c>
      <c r="FM22" s="89">
        <v>993.98</v>
      </c>
      <c r="FN22" s="89">
        <v>1024.3</v>
      </c>
      <c r="FO22" s="89">
        <v>1054.6299999999999</v>
      </c>
      <c r="FP22" s="89">
        <v>1095.06</v>
      </c>
      <c r="FQ22" s="89">
        <v>1122.02</v>
      </c>
      <c r="FR22" s="89">
        <v>1155.71</v>
      </c>
      <c r="FS22" s="89">
        <v>1186.03</v>
      </c>
    </row>
    <row r="23" spans="1:175" x14ac:dyDescent="0.25">
      <c r="A23" s="117"/>
      <c r="B23" t="str">
        <v>New Jersey</v>
      </c>
      <c r="C23" s="116" t="str">
        <v>NJ-2028-01-Center</v>
      </c>
      <c r="D23" s="3">
        <v>2028</v>
      </c>
      <c r="E23">
        <v>7</v>
      </c>
      <c r="G23" t="str">
        <v>JV1</v>
      </c>
      <c r="H23" t="str">
        <v>Center</v>
      </c>
      <c r="I23" t="str">
        <v>New Jersey</v>
      </c>
      <c r="J23" s="53">
        <v>17327.199999999997</v>
      </c>
      <c r="K23" s="53">
        <v>51036.479999999981</v>
      </c>
      <c r="L23" s="53">
        <v>52926.719999999979</v>
      </c>
      <c r="N23" s="53">
        <v>28.240000000000002</v>
      </c>
      <c r="O23" s="53">
        <v>39.53</v>
      </c>
      <c r="P23" s="53">
        <v>39.53</v>
      </c>
      <c r="R23" s="53">
        <v>4.29</v>
      </c>
      <c r="S23" s="53">
        <v>6</v>
      </c>
      <c r="T23" s="53">
        <v>6</v>
      </c>
      <c r="V23" s="53">
        <v>33</v>
      </c>
      <c r="W23" s="53">
        <v>46</v>
      </c>
      <c r="X23" s="53">
        <v>46</v>
      </c>
      <c r="Z23" s="53">
        <v>8</v>
      </c>
      <c r="AA23" s="53">
        <v>9</v>
      </c>
      <c r="AB23" s="53">
        <v>8</v>
      </c>
      <c r="AD23" s="53">
        <v>30</v>
      </c>
      <c r="AE23" s="53">
        <v>42</v>
      </c>
      <c r="AF23" s="53">
        <v>42</v>
      </c>
      <c r="AH23" s="53">
        <v>34.5</v>
      </c>
      <c r="AI23" s="53">
        <v>40</v>
      </c>
      <c r="AJ23" s="53">
        <v>47.5</v>
      </c>
      <c r="AL23" s="53">
        <v>7.5</v>
      </c>
      <c r="AM23" s="53">
        <v>31</v>
      </c>
      <c r="AN23" s="53">
        <v>47.5</v>
      </c>
      <c r="AP23" s="53">
        <v>37.5</v>
      </c>
      <c r="AQ23" s="53">
        <v>73</v>
      </c>
      <c r="AR23" s="53">
        <v>89.5</v>
      </c>
      <c r="AT23" s="53">
        <v>1411000</v>
      </c>
      <c r="AU23" s="53">
        <v>0</v>
      </c>
      <c r="AV23" s="53">
        <v>0</v>
      </c>
      <c r="AX23" s="53">
        <v>3055335.5799999996</v>
      </c>
      <c r="AY23" s="53">
        <v>9269332.6341599971</v>
      </c>
      <c r="AZ23" s="53">
        <v>9612641.2502399962</v>
      </c>
      <c r="BB23" s="53">
        <v>2770198.6370666665</v>
      </c>
      <c r="BC23" s="53">
        <v>7994338.4650207972</v>
      </c>
      <c r="BD23" s="53">
        <v>8279986.7743711965</v>
      </c>
      <c r="BF23" s="53">
        <v>-397734.05959999998</v>
      </c>
      <c r="BG23" s="53">
        <v>-1150751.8405391995</v>
      </c>
      <c r="BH23" s="53">
        <v>-1191948.8744687994</v>
      </c>
      <c r="BJ23" s="53">
        <v>2498867.7999999998</v>
      </c>
      <c r="BK23" s="53">
        <v>7581110.5655999966</v>
      </c>
      <c r="BL23" s="53">
        <v>7861892.4383999966</v>
      </c>
      <c r="BN23" s="53">
        <v>146517.79999999999</v>
      </c>
      <c r="BO23" s="53">
        <v>444508.36560000008</v>
      </c>
      <c r="BP23" s="53">
        <v>460971.63840000011</v>
      </c>
      <c r="BR23" s="53">
        <v>348215.00999999989</v>
      </c>
      <c r="BS23" s="53">
        <v>1056421.0285199995</v>
      </c>
      <c r="BT23" s="53">
        <v>1095547.7332799996</v>
      </c>
      <c r="BV23" s="53">
        <v>26785.77</v>
      </c>
      <c r="BW23" s="53">
        <v>81263.156040000002</v>
      </c>
      <c r="BX23" s="53">
        <v>84272.902560000002</v>
      </c>
      <c r="BZ23" s="53">
        <v>34949.199999999997</v>
      </c>
      <c r="CA23" s="53">
        <v>106029.51840000002</v>
      </c>
      <c r="CB23" s="53">
        <v>109956.53760000003</v>
      </c>
      <c r="CD23" s="53">
        <v>158830.44858320637</v>
      </c>
      <c r="CE23" s="53">
        <v>481862.70273806958</v>
      </c>
      <c r="CF23" s="53">
        <v>499709.46950614615</v>
      </c>
      <c r="CH23" s="53">
        <v>21222.920067148803</v>
      </c>
      <c r="CI23" s="53">
        <v>64386.480770989976</v>
      </c>
      <c r="CJ23" s="53">
        <v>66771.165243989599</v>
      </c>
      <c r="CL23" s="53">
        <v>259114.91666666666</v>
      </c>
      <c r="CM23" s="53">
        <v>320266.03700000001</v>
      </c>
      <c r="CN23" s="53">
        <v>320266.03700000001</v>
      </c>
      <c r="CP23" s="53">
        <v>129071.2305058176</v>
      </c>
      <c r="CQ23" s="53">
        <v>391578.64585819503</v>
      </c>
      <c r="CR23" s="53">
        <v>406081.55866775778</v>
      </c>
      <c r="CT23" s="53">
        <v>0</v>
      </c>
      <c r="CU23" s="53">
        <v>0</v>
      </c>
      <c r="CV23" s="53">
        <v>0</v>
      </c>
      <c r="CX23" s="53">
        <v>1414310.9151535141</v>
      </c>
      <c r="CY23" s="53">
        <v>3899168.4797507199</v>
      </c>
      <c r="CZ23" s="53">
        <v>4443500.9041673904</v>
      </c>
      <c r="DB23" s="53">
        <v>150000</v>
      </c>
      <c r="DC23" s="53">
        <v>185400</v>
      </c>
      <c r="DD23" s="53">
        <v>190962</v>
      </c>
      <c r="DF23" s="53">
        <v>87000</v>
      </c>
      <c r="DG23" s="53">
        <v>108576</v>
      </c>
      <c r="DH23" s="53">
        <v>112919.03999999999</v>
      </c>
      <c r="DJ23" s="53">
        <v>10172.2186</v>
      </c>
      <c r="DK23" s="53">
        <v>14910.26888</v>
      </c>
      <c r="DL23" s="53">
        <v>16268.34733056</v>
      </c>
      <c r="DN23" s="53">
        <v>75000</v>
      </c>
      <c r="DO23" s="53">
        <v>91800</v>
      </c>
      <c r="DP23" s="53">
        <v>93636</v>
      </c>
      <c r="DR23" s="53">
        <v>98077.5</v>
      </c>
      <c r="DS23" s="53">
        <v>244015.11000000004</v>
      </c>
      <c r="DT23" s="53">
        <v>257405.36400000009</v>
      </c>
      <c r="DV23" s="53">
        <v>60000</v>
      </c>
      <c r="DW23" s="53">
        <v>75600</v>
      </c>
      <c r="DX23" s="53">
        <v>79380</v>
      </c>
      <c r="DZ23" s="53">
        <v>151234.47</v>
      </c>
      <c r="EA23" s="53">
        <v>0</v>
      </c>
      <c r="EB23" s="53">
        <v>0</v>
      </c>
      <c r="ED23" s="53">
        <v>374825.72173784679</v>
      </c>
      <c r="EE23" s="53">
        <v>754627.25119858491</v>
      </c>
      <c r="EF23" s="53">
        <v>681781.06209451566</v>
      </c>
      <c r="EH23" s="53">
        <v>0</v>
      </c>
      <c r="EI23" s="53">
        <v>0</v>
      </c>
      <c r="EJ23" s="53">
        <v>0</v>
      </c>
      <c r="EL23" s="53">
        <v>-556461.89098773326</v>
      </c>
      <c r="EM23" s="53">
        <v>-976081.63653491996</v>
      </c>
      <c r="EN23" s="53">
        <v>-1241998.0161556797</v>
      </c>
      <c r="EP23" s="53">
        <v>36850.72532416421</v>
      </c>
      <c r="EQ23" s="53">
        <v>114280.51932731722</v>
      </c>
      <c r="ER23" s="53">
        <v>150348.97109767265</v>
      </c>
      <c r="ET23" s="53">
        <v>1</v>
      </c>
      <c r="EU23" s="53">
        <v>1</v>
      </c>
      <c r="EV23" s="53">
        <v>1</v>
      </c>
      <c r="EX23" s="53">
        <v>1</v>
      </c>
      <c r="EY23" s="53">
        <v>1</v>
      </c>
      <c r="EZ23" s="53">
        <v>1</v>
      </c>
      <c r="FB23" s="53">
        <v>1</v>
      </c>
      <c r="FC23" s="53">
        <v>1</v>
      </c>
      <c r="FD23" s="53">
        <v>1</v>
      </c>
      <c r="FF23" t="str">
        <v>New Jersey</v>
      </c>
      <c r="FG23" s="127" t="str">
        <v>NJB3-Remote</v>
      </c>
      <c r="FH23" s="89">
        <v>0</v>
      </c>
      <c r="FI23" s="89">
        <v>0</v>
      </c>
      <c r="FJ23" s="89">
        <v>0</v>
      </c>
      <c r="FK23" s="89">
        <v>0</v>
      </c>
      <c r="FL23" s="89">
        <v>350.42</v>
      </c>
      <c r="FM23" s="89">
        <v>849.09</v>
      </c>
      <c r="FN23" s="89">
        <v>865.93999999999994</v>
      </c>
      <c r="FO23" s="89">
        <v>892.9</v>
      </c>
      <c r="FP23" s="89">
        <v>919.85</v>
      </c>
      <c r="FQ23" s="89">
        <v>936.7</v>
      </c>
      <c r="FR23" s="89">
        <v>963.65</v>
      </c>
      <c r="FS23" s="89">
        <v>987.24</v>
      </c>
    </row>
    <row r="24" spans="1:175" x14ac:dyDescent="0.25">
      <c r="A24" s="117"/>
      <c r="B24" t="str">
        <v>New Jersey</v>
      </c>
      <c r="C24" s="116" t="str">
        <v>NJ-2028-02-Center</v>
      </c>
      <c r="D24" s="3">
        <v>2028</v>
      </c>
      <c r="E24">
        <v>8</v>
      </c>
      <c r="G24" t="str">
        <v>JV1</v>
      </c>
      <c r="H24" t="str">
        <v>Center</v>
      </c>
      <c r="I24" t="str">
        <v>New Jersey</v>
      </c>
      <c r="J24" s="53">
        <v>945.11999999999989</v>
      </c>
      <c r="K24" s="53">
        <v>32134.079999999994</v>
      </c>
      <c r="L24" s="53">
        <v>52926.719999999979</v>
      </c>
      <c r="N24" s="53">
        <v>5.6499999999999995</v>
      </c>
      <c r="O24" s="53">
        <v>39.53</v>
      </c>
      <c r="P24" s="53">
        <v>39.53</v>
      </c>
      <c r="R24" s="53">
        <v>0.86</v>
      </c>
      <c r="S24" s="53">
        <v>6</v>
      </c>
      <c r="T24" s="53">
        <v>6</v>
      </c>
      <c r="V24" s="53">
        <v>7</v>
      </c>
      <c r="W24" s="53">
        <v>46</v>
      </c>
      <c r="X24" s="53">
        <v>46</v>
      </c>
      <c r="Z24" s="53">
        <v>4</v>
      </c>
      <c r="AA24" s="53">
        <v>9</v>
      </c>
      <c r="AB24" s="53">
        <v>8</v>
      </c>
      <c r="AD24" s="53">
        <v>6</v>
      </c>
      <c r="AE24" s="53">
        <v>42</v>
      </c>
      <c r="AF24" s="53">
        <v>42</v>
      </c>
      <c r="AH24" s="53">
        <v>3.1666666666666665</v>
      </c>
      <c r="AI24" s="53">
        <v>48</v>
      </c>
      <c r="AJ24" s="53">
        <v>38.833333333333329</v>
      </c>
      <c r="AL24" s="53">
        <v>0.16666666666666666</v>
      </c>
      <c r="AM24" s="53">
        <v>15</v>
      </c>
      <c r="AN24" s="53">
        <v>38.833333333333329</v>
      </c>
      <c r="AP24" s="53">
        <v>6.166666666666667</v>
      </c>
      <c r="AQ24" s="53">
        <v>57</v>
      </c>
      <c r="AR24" s="53">
        <v>80.833333333333329</v>
      </c>
      <c r="AT24" s="53">
        <v>940666.66666666663</v>
      </c>
      <c r="AU24" s="53">
        <v>470333.33333333331</v>
      </c>
      <c r="AV24" s="53">
        <v>0</v>
      </c>
      <c r="AX24" s="53">
        <v>166654.66800000001</v>
      </c>
      <c r="AY24" s="53">
        <v>5836246.4733600002</v>
      </c>
      <c r="AZ24" s="53">
        <v>9612641.2502399962</v>
      </c>
      <c r="BB24" s="53">
        <v>184268.45317333337</v>
      </c>
      <c r="BC24" s="53">
        <v>5137855.3715167996</v>
      </c>
      <c r="BD24" s="53">
        <v>8279986.7743711965</v>
      </c>
      <c r="BF24" s="53">
        <v>-26217.318159999999</v>
      </c>
      <c r="BG24" s="53">
        <v>-738781.50124319992</v>
      </c>
      <c r="BH24" s="53">
        <v>-1191948.8744687994</v>
      </c>
      <c r="BJ24" s="53">
        <v>136301.88</v>
      </c>
      <c r="BK24" s="53">
        <v>4773291.8376000002</v>
      </c>
      <c r="BL24" s="53">
        <v>7861892.4383999966</v>
      </c>
      <c r="BN24" s="53">
        <v>7991.8799999999992</v>
      </c>
      <c r="BO24" s="53">
        <v>279875.63759999996</v>
      </c>
      <c r="BP24" s="53">
        <v>460971.63840000011</v>
      </c>
      <c r="BR24" s="53">
        <v>18993.545999999995</v>
      </c>
      <c r="BS24" s="53">
        <v>665153.98091999977</v>
      </c>
      <c r="BT24" s="53">
        <v>1095547.7332799996</v>
      </c>
      <c r="BV24" s="53">
        <v>1461.0419999999999</v>
      </c>
      <c r="BW24" s="53">
        <v>51165.690840000003</v>
      </c>
      <c r="BX24" s="53">
        <v>84272.902560000002</v>
      </c>
      <c r="BZ24" s="53">
        <v>1906.3199999999997</v>
      </c>
      <c r="CA24" s="53">
        <v>66759.326400000005</v>
      </c>
      <c r="CB24" s="53">
        <v>109956.53760000003</v>
      </c>
      <c r="CD24" s="53">
        <v>8663.4790136294378</v>
      </c>
      <c r="CE24" s="53">
        <v>303395.03505730297</v>
      </c>
      <c r="CF24" s="53">
        <v>499709.46950614615</v>
      </c>
      <c r="CH24" s="53">
        <v>1157.6138218444803</v>
      </c>
      <c r="CI24" s="53">
        <v>40539.636040993697</v>
      </c>
      <c r="CJ24" s="53">
        <v>66771.165243989599</v>
      </c>
      <c r="CL24" s="53">
        <v>51822.98333333333</v>
      </c>
      <c r="CM24" s="53">
        <v>320266.03700000001</v>
      </c>
      <c r="CN24" s="53">
        <v>320266.03700000001</v>
      </c>
      <c r="CP24" s="53">
        <v>7040.2489366809586</v>
      </c>
      <c r="CQ24" s="53">
        <v>246549.51776256718</v>
      </c>
      <c r="CR24" s="53">
        <v>406081.55866775778</v>
      </c>
      <c r="CT24" s="53">
        <v>0</v>
      </c>
      <c r="CU24" s="53">
        <v>0</v>
      </c>
      <c r="CV24" s="53">
        <v>0</v>
      </c>
      <c r="CX24" s="53">
        <v>118034.8743053432</v>
      </c>
      <c r="CY24" s="53">
        <v>2775192.5236731688</v>
      </c>
      <c r="CZ24" s="53">
        <v>4566071.4438340571</v>
      </c>
      <c r="DB24" s="53">
        <v>30000</v>
      </c>
      <c r="DC24" s="53">
        <v>185400</v>
      </c>
      <c r="DD24" s="53">
        <v>190962</v>
      </c>
      <c r="DF24" s="53">
        <v>17400</v>
      </c>
      <c r="DG24" s="53">
        <v>108576</v>
      </c>
      <c r="DH24" s="53">
        <v>112919.03999999999</v>
      </c>
      <c r="DJ24" s="53">
        <v>1327.5436</v>
      </c>
      <c r="DK24" s="53">
        <v>14356.609071999999</v>
      </c>
      <c r="DL24" s="53">
        <v>15535.834379520003</v>
      </c>
      <c r="DN24" s="53">
        <v>15000</v>
      </c>
      <c r="DO24" s="53">
        <v>91800</v>
      </c>
      <c r="DP24" s="53">
        <v>93636</v>
      </c>
      <c r="DR24" s="53">
        <v>8933.4999999999982</v>
      </c>
      <c r="DS24" s="53">
        <v>167392.19999999998</v>
      </c>
      <c r="DT24" s="53">
        <v>256673.44260000004</v>
      </c>
      <c r="DV24" s="53">
        <v>12000</v>
      </c>
      <c r="DW24" s="53">
        <v>75600</v>
      </c>
      <c r="DX24" s="53">
        <v>79380</v>
      </c>
      <c r="DZ24" s="53">
        <v>151234.47</v>
      </c>
      <c r="EA24" s="53">
        <v>0</v>
      </c>
      <c r="EB24" s="53">
        <v>0</v>
      </c>
      <c r="ED24" s="53">
        <v>20785.663425660037</v>
      </c>
      <c r="EE24" s="53">
        <v>469856.20136986481</v>
      </c>
      <c r="EF24" s="53">
        <v>681781.06209451566</v>
      </c>
      <c r="EH24" s="53">
        <v>0</v>
      </c>
      <c r="EI24" s="53">
        <v>0</v>
      </c>
      <c r="EJ24" s="53">
        <v>0</v>
      </c>
      <c r="EL24" s="53">
        <v>0</v>
      </c>
      <c r="EM24" s="53">
        <v>-653892.59673527197</v>
      </c>
      <c r="EN24" s="53">
        <v>-1170585.9388180799</v>
      </c>
      <c r="EP24" s="53">
        <v>2010.0395631362296</v>
      </c>
      <c r="EQ24" s="53">
        <v>71954.401057940486</v>
      </c>
      <c r="ER24" s="53">
        <v>150348.97109767265</v>
      </c>
      <c r="ET24" s="53">
        <v>0</v>
      </c>
      <c r="EU24" s="53">
        <v>1</v>
      </c>
      <c r="EV24" s="53">
        <v>1</v>
      </c>
      <c r="EX24" s="53">
        <v>0</v>
      </c>
      <c r="EY24" s="53">
        <v>1</v>
      </c>
      <c r="EZ24" s="53">
        <v>1</v>
      </c>
      <c r="FB24" s="53">
        <v>1</v>
      </c>
      <c r="FC24" s="53">
        <v>1</v>
      </c>
      <c r="FD24" s="53">
        <v>1</v>
      </c>
      <c r="FF24" t="str">
        <v>New Jersey</v>
      </c>
      <c r="FG24" s="127" t="str">
        <v>NJA6-Center</v>
      </c>
      <c r="FH24" s="89">
        <v>0</v>
      </c>
      <c r="FI24" s="89">
        <v>0</v>
      </c>
      <c r="FJ24" s="89">
        <v>363.9</v>
      </c>
      <c r="FK24" s="89">
        <v>963.65</v>
      </c>
      <c r="FL24" s="89">
        <v>993.98</v>
      </c>
      <c r="FM24" s="89">
        <v>1024.3</v>
      </c>
      <c r="FN24" s="89">
        <v>1054.6299999999999</v>
      </c>
      <c r="FO24" s="89">
        <v>1095.06</v>
      </c>
      <c r="FP24" s="89">
        <v>1122.02</v>
      </c>
      <c r="FQ24" s="89">
        <v>1155.71</v>
      </c>
      <c r="FR24" s="89">
        <v>1186.03</v>
      </c>
      <c r="FS24" s="89">
        <v>1212.99</v>
      </c>
    </row>
    <row r="25" spans="1:175" x14ac:dyDescent="0.25">
      <c r="A25" s="117"/>
      <c r="B25" t="str">
        <v>New Jersey</v>
      </c>
      <c r="C25" s="116" t="str">
        <v>NJ-2028-03-Center</v>
      </c>
      <c r="D25" s="3">
        <v>2028</v>
      </c>
      <c r="E25">
        <v>9</v>
      </c>
      <c r="G25" t="str">
        <v>JV1</v>
      </c>
      <c r="H25" t="str">
        <v>Remote</v>
      </c>
      <c r="I25" t="str">
        <v>New Jersey</v>
      </c>
      <c r="J25" s="53">
        <v>206.50666666666666</v>
      </c>
      <c r="K25" s="53">
        <v>8776.5333333333328</v>
      </c>
      <c r="L25" s="53">
        <v>14868.480000000003</v>
      </c>
      <c r="N25" s="53">
        <v>1.36</v>
      </c>
      <c r="O25" s="53">
        <v>10.83</v>
      </c>
      <c r="P25" s="53">
        <v>10.83</v>
      </c>
      <c r="R25" s="53">
        <v>0.28000000000000003</v>
      </c>
      <c r="S25" s="53">
        <v>2.19</v>
      </c>
      <c r="T25" s="53">
        <v>2.19</v>
      </c>
      <c r="V25" s="53">
        <v>2</v>
      </c>
      <c r="W25" s="53">
        <v>13</v>
      </c>
      <c r="X25" s="53">
        <v>13</v>
      </c>
      <c r="Z25" s="53">
        <v>2</v>
      </c>
      <c r="AA25" s="53">
        <v>3</v>
      </c>
      <c r="AB25" s="53">
        <v>3</v>
      </c>
      <c r="AD25" s="53">
        <v>3</v>
      </c>
      <c r="AE25" s="53">
        <v>24</v>
      </c>
      <c r="AF25" s="53">
        <v>24</v>
      </c>
      <c r="AH25" s="53">
        <v>1.8809523809523809</v>
      </c>
      <c r="AI25" s="53">
        <v>33.69047619047619</v>
      </c>
      <c r="AJ25" s="53">
        <v>24</v>
      </c>
      <c r="AL25" s="53">
        <v>0.16666666666666666</v>
      </c>
      <c r="AM25" s="53">
        <v>14.833333333333334</v>
      </c>
      <c r="AN25" s="53">
        <v>24</v>
      </c>
      <c r="AP25" s="53">
        <v>3.1666666666666665</v>
      </c>
      <c r="AQ25" s="53">
        <v>38.833333333333336</v>
      </c>
      <c r="AR25" s="53">
        <v>48</v>
      </c>
      <c r="AT25" s="53">
        <v>0</v>
      </c>
      <c r="AU25" s="53">
        <v>0</v>
      </c>
      <c r="AV25" s="53">
        <v>0</v>
      </c>
      <c r="AX25" s="53">
        <v>37383.486666666664</v>
      </c>
      <c r="AY25" s="53">
        <v>1636462.1288333333</v>
      </c>
      <c r="AZ25" s="53">
        <v>2772359.3711999999</v>
      </c>
      <c r="BB25" s="53">
        <v>32897.468266666663</v>
      </c>
      <c r="BC25" s="53">
        <v>1440086.6733733332</v>
      </c>
      <c r="BD25" s="53">
        <v>2439676.2466559992</v>
      </c>
      <c r="BF25" s="53">
        <v>-4486.0183999999999</v>
      </c>
      <c r="BG25" s="53">
        <v>-196375.45545999997</v>
      </c>
      <c r="BH25" s="53">
        <v>-332683.12454399996</v>
      </c>
      <c r="BJ25" s="53">
        <v>31666.093333333331</v>
      </c>
      <c r="BK25" s="53">
        <v>1386183.2356666666</v>
      </c>
      <c r="BL25" s="53">
        <v>2348357.4816000001</v>
      </c>
      <c r="BN25" s="53">
        <v>0</v>
      </c>
      <c r="BO25" s="53">
        <v>0</v>
      </c>
      <c r="BP25" s="53">
        <v>0</v>
      </c>
      <c r="BR25" s="53">
        <v>4220.7879999999986</v>
      </c>
      <c r="BS25" s="53">
        <v>184764.99469999998</v>
      </c>
      <c r="BT25" s="53">
        <v>313013.63807999983</v>
      </c>
      <c r="BV25" s="53">
        <v>649.35199999999998</v>
      </c>
      <c r="BW25" s="53">
        <v>28425.3838</v>
      </c>
      <c r="BX25" s="53">
        <v>48155.944320000002</v>
      </c>
      <c r="BZ25" s="53">
        <v>847.25333333333322</v>
      </c>
      <c r="CA25" s="53">
        <v>37088.514666666662</v>
      </c>
      <c r="CB25" s="53">
        <v>62832.307200000003</v>
      </c>
      <c r="CD25" s="53">
        <v>0</v>
      </c>
      <c r="CE25" s="53">
        <v>0</v>
      </c>
      <c r="CF25" s="53">
        <v>0</v>
      </c>
      <c r="CH25" s="53">
        <v>0</v>
      </c>
      <c r="CI25" s="53">
        <v>0</v>
      </c>
      <c r="CJ25" s="53">
        <v>0</v>
      </c>
      <c r="CL25" s="53">
        <v>0</v>
      </c>
      <c r="CM25" s="53">
        <v>0</v>
      </c>
      <c r="CN25" s="53">
        <v>0</v>
      </c>
      <c r="CP25" s="53">
        <v>0</v>
      </c>
      <c r="CQ25" s="53">
        <v>0</v>
      </c>
      <c r="CR25" s="53">
        <v>0</v>
      </c>
      <c r="CT25" s="53">
        <v>0</v>
      </c>
      <c r="CU25" s="53">
        <v>0</v>
      </c>
      <c r="CV25" s="53">
        <v>0</v>
      </c>
      <c r="CX25" s="53">
        <v>37566.221395379776</v>
      </c>
      <c r="CY25" s="53">
        <v>655625.88612067117</v>
      </c>
      <c r="CZ25" s="53">
        <v>993120.71763748594</v>
      </c>
      <c r="DB25" s="53">
        <v>0</v>
      </c>
      <c r="DC25" s="53">
        <v>0</v>
      </c>
      <c r="DD25" s="53">
        <v>0</v>
      </c>
      <c r="DF25" s="53">
        <v>0</v>
      </c>
      <c r="DG25" s="53">
        <v>0</v>
      </c>
      <c r="DH25" s="53">
        <v>0</v>
      </c>
      <c r="DJ25" s="53">
        <v>1199.5064</v>
      </c>
      <c r="DK25" s="53">
        <v>12313.674464</v>
      </c>
      <c r="DL25" s="53">
        <v>12857.242245120004</v>
      </c>
      <c r="DN25" s="53">
        <v>0</v>
      </c>
      <c r="DO25" s="53">
        <v>0</v>
      </c>
      <c r="DP25" s="53">
        <v>0</v>
      </c>
      <c r="DR25" s="53">
        <v>5600</v>
      </c>
      <c r="DS25" s="53">
        <v>81605.100000000006</v>
      </c>
      <c r="DT25" s="53">
        <v>116608.03199999996</v>
      </c>
      <c r="DV25" s="53">
        <v>0</v>
      </c>
      <c r="DW25" s="53">
        <v>0</v>
      </c>
      <c r="DX25" s="53">
        <v>0</v>
      </c>
      <c r="DZ25" s="53">
        <v>0</v>
      </c>
      <c r="EA25" s="53">
        <v>0</v>
      </c>
      <c r="EB25" s="53">
        <v>0</v>
      </c>
      <c r="ED25" s="53">
        <v>3685.117614301093</v>
      </c>
      <c r="EE25" s="53">
        <v>131218.46547506101</v>
      </c>
      <c r="EF25" s="53">
        <v>200884.99027079737</v>
      </c>
      <c r="EH25" s="53">
        <v>0</v>
      </c>
      <c r="EI25" s="53">
        <v>0</v>
      </c>
      <c r="EJ25" s="53">
        <v>0</v>
      </c>
      <c r="EL25" s="53">
        <v>0</v>
      </c>
      <c r="EM25" s="53">
        <v>-92610.485354199976</v>
      </c>
      <c r="EN25" s="53">
        <v>-341808.80747419992</v>
      </c>
      <c r="EP25" s="53">
        <v>439.1892776064264</v>
      </c>
      <c r="EQ25" s="53">
        <v>19652.350382056993</v>
      </c>
      <c r="ER25" s="53">
        <v>42236.901697031775</v>
      </c>
      <c r="ET25" s="53">
        <v>0</v>
      </c>
      <c r="EU25" s="53">
        <v>0</v>
      </c>
      <c r="EV25" s="53">
        <v>0</v>
      </c>
      <c r="EX25" s="53">
        <v>0</v>
      </c>
      <c r="EY25" s="53">
        <v>0</v>
      </c>
      <c r="EZ25" s="53">
        <v>0</v>
      </c>
      <c r="FB25" s="53">
        <v>0</v>
      </c>
      <c r="FC25" s="53">
        <v>0</v>
      </c>
      <c r="FD25" s="53">
        <v>0</v>
      </c>
      <c r="FF25" t="str">
        <v>New Jersey</v>
      </c>
      <c r="FG25" s="127" t="str">
        <v>NJA7-Center</v>
      </c>
      <c r="FH25" s="89">
        <v>0</v>
      </c>
      <c r="FI25" s="89">
        <v>0</v>
      </c>
      <c r="FJ25" s="89">
        <v>0</v>
      </c>
      <c r="FK25" s="89">
        <v>0</v>
      </c>
      <c r="FL25" s="89">
        <v>0</v>
      </c>
      <c r="FM25" s="89">
        <v>0</v>
      </c>
      <c r="FN25" s="89">
        <v>0</v>
      </c>
      <c r="FO25" s="89">
        <v>0</v>
      </c>
      <c r="FP25" s="89">
        <v>0</v>
      </c>
      <c r="FQ25" s="89">
        <v>0</v>
      </c>
      <c r="FR25" s="89">
        <v>363.9</v>
      </c>
      <c r="FS25" s="89">
        <v>963.65</v>
      </c>
    </row>
    <row r="26" spans="1:175" x14ac:dyDescent="0.25">
      <c r="A26" s="117"/>
      <c r="B26" t="str">
        <v>New Jersey</v>
      </c>
      <c r="C26" s="116" t="str">
        <v>NJ-2028-04-Center</v>
      </c>
      <c r="D26" s="3">
        <v>2028</v>
      </c>
      <c r="E26">
        <v>10</v>
      </c>
      <c r="G26" t="str">
        <v>JV1</v>
      </c>
      <c r="H26" t="str">
        <v>Center</v>
      </c>
      <c r="I26" t="str">
        <v>New Jersey</v>
      </c>
      <c r="J26" s="53">
        <v>3150.3999999999996</v>
      </c>
      <c r="K26" s="53">
        <v>38749.919999999991</v>
      </c>
      <c r="L26" s="53">
        <v>52926.719999999979</v>
      </c>
      <c r="N26" s="53">
        <v>11.299999999999999</v>
      </c>
      <c r="O26" s="53">
        <v>39.53</v>
      </c>
      <c r="P26" s="53">
        <v>39.53</v>
      </c>
      <c r="R26" s="53">
        <v>1.72</v>
      </c>
      <c r="S26" s="53">
        <v>6</v>
      </c>
      <c r="T26" s="53">
        <v>6</v>
      </c>
      <c r="V26" s="53">
        <v>13</v>
      </c>
      <c r="W26" s="53">
        <v>46</v>
      </c>
      <c r="X26" s="53">
        <v>46</v>
      </c>
      <c r="Z26" s="53">
        <v>5</v>
      </c>
      <c r="AA26" s="53">
        <v>9</v>
      </c>
      <c r="AB26" s="53">
        <v>8</v>
      </c>
      <c r="AD26" s="53">
        <v>12</v>
      </c>
      <c r="AE26" s="53">
        <v>42</v>
      </c>
      <c r="AF26" s="53">
        <v>42</v>
      </c>
      <c r="AH26" s="53">
        <v>10</v>
      </c>
      <c r="AI26" s="53">
        <v>46</v>
      </c>
      <c r="AJ26" s="53">
        <v>42</v>
      </c>
      <c r="AL26" s="53">
        <v>1</v>
      </c>
      <c r="AM26" s="53">
        <v>19</v>
      </c>
      <c r="AN26" s="53">
        <v>42</v>
      </c>
      <c r="AP26" s="53">
        <v>13</v>
      </c>
      <c r="AQ26" s="53">
        <v>61</v>
      </c>
      <c r="AR26" s="53">
        <v>84</v>
      </c>
      <c r="AT26" s="53">
        <v>1411000</v>
      </c>
      <c r="AU26" s="53">
        <v>0</v>
      </c>
      <c r="AV26" s="53">
        <v>0</v>
      </c>
      <c r="AX26" s="53">
        <v>555515.55999999994</v>
      </c>
      <c r="AY26" s="53">
        <v>7037826.6296399981</v>
      </c>
      <c r="AZ26" s="53">
        <v>9612641.2502399962</v>
      </c>
      <c r="BB26" s="53">
        <v>553422.54346666671</v>
      </c>
      <c r="BC26" s="53">
        <v>6137624.454243199</v>
      </c>
      <c r="BD26" s="53">
        <v>8279986.7743711965</v>
      </c>
      <c r="BF26" s="53">
        <v>-79099.383199999997</v>
      </c>
      <c r="BG26" s="53">
        <v>-882971.11999679974</v>
      </c>
      <c r="BH26" s="53">
        <v>-1191948.8744687994</v>
      </c>
      <c r="BJ26" s="53">
        <v>454339.6</v>
      </c>
      <c r="BK26" s="53">
        <v>5756028.3923999984</v>
      </c>
      <c r="BL26" s="53">
        <v>7861892.4383999966</v>
      </c>
      <c r="BN26" s="53">
        <v>26639.599999999999</v>
      </c>
      <c r="BO26" s="53">
        <v>337497.09240000002</v>
      </c>
      <c r="BP26" s="53">
        <v>460971.63840000011</v>
      </c>
      <c r="BR26" s="53">
        <v>63311.819999999978</v>
      </c>
      <c r="BS26" s="53">
        <v>802097.44757999969</v>
      </c>
      <c r="BT26" s="53">
        <v>1095547.7332799996</v>
      </c>
      <c r="BV26" s="53">
        <v>4870.1399999999994</v>
      </c>
      <c r="BW26" s="53">
        <v>61699.803660000005</v>
      </c>
      <c r="BX26" s="53">
        <v>84272.902560000002</v>
      </c>
      <c r="BZ26" s="53">
        <v>6354.4</v>
      </c>
      <c r="CA26" s="53">
        <v>80503.89360000001</v>
      </c>
      <c r="CB26" s="53">
        <v>109956.53760000003</v>
      </c>
      <c r="CD26" s="53">
        <v>21156.236907519993</v>
      </c>
      <c r="CE26" s="53">
        <v>268028.36538137082</v>
      </c>
      <c r="CF26" s="53">
        <v>366087.5234477261</v>
      </c>
      <c r="CH26" s="53">
        <v>2826.8957798400006</v>
      </c>
      <c r="CI26" s="53">
        <v>35813.942634792969</v>
      </c>
      <c r="CJ26" s="53">
        <v>48916.604574351368</v>
      </c>
      <c r="CL26" s="53">
        <v>103645.96666666666</v>
      </c>
      <c r="CM26" s="53">
        <v>320266.03700000001</v>
      </c>
      <c r="CN26" s="53">
        <v>320266.03700000001</v>
      </c>
      <c r="CP26" s="53">
        <v>17192.30509568</v>
      </c>
      <c r="CQ26" s="53">
        <v>217809.31325716991</v>
      </c>
      <c r="CR26" s="53">
        <v>297495.64737564669</v>
      </c>
      <c r="CT26" s="53">
        <v>0</v>
      </c>
      <c r="CU26" s="53">
        <v>0</v>
      </c>
      <c r="CV26" s="53">
        <v>0</v>
      </c>
      <c r="CX26" s="53">
        <v>332473.78114003281</v>
      </c>
      <c r="CY26" s="53">
        <v>3185301.4031473109</v>
      </c>
      <c r="CZ26" s="53">
        <v>4579566.9988828544</v>
      </c>
      <c r="DB26" s="53">
        <v>60000</v>
      </c>
      <c r="DC26" s="53">
        <v>185400</v>
      </c>
      <c r="DD26" s="53">
        <v>190962</v>
      </c>
      <c r="DF26" s="53">
        <v>34800</v>
      </c>
      <c r="DG26" s="53">
        <v>108576</v>
      </c>
      <c r="DH26" s="53">
        <v>112919.03999999999</v>
      </c>
      <c r="DJ26" s="53">
        <v>3345.8141999999998</v>
      </c>
      <c r="DK26" s="53">
        <v>14615.918095999999</v>
      </c>
      <c r="DL26" s="53">
        <v>15801.871421440001</v>
      </c>
      <c r="DN26" s="53">
        <v>30000</v>
      </c>
      <c r="DO26" s="53">
        <v>91800</v>
      </c>
      <c r="DP26" s="53">
        <v>93636</v>
      </c>
      <c r="DR26" s="53">
        <v>23561.499999999996</v>
      </c>
      <c r="DS26" s="53">
        <v>194277.87</v>
      </c>
      <c r="DT26" s="53">
        <v>256939.26480000006</v>
      </c>
      <c r="DV26" s="53">
        <v>24000</v>
      </c>
      <c r="DW26" s="53">
        <v>75600</v>
      </c>
      <c r="DX26" s="53">
        <v>79380</v>
      </c>
      <c r="DZ26" s="53">
        <v>151234.47</v>
      </c>
      <c r="EA26" s="53">
        <v>0</v>
      </c>
      <c r="EB26" s="53">
        <v>0</v>
      </c>
      <c r="ED26" s="53">
        <v>65214.235581622168</v>
      </c>
      <c r="EE26" s="53">
        <v>566434.4084841786</v>
      </c>
      <c r="EF26" s="53">
        <v>681781.06209451566</v>
      </c>
      <c r="EH26" s="53">
        <v>0</v>
      </c>
      <c r="EI26" s="53">
        <v>0</v>
      </c>
      <c r="EJ26" s="53">
        <v>0</v>
      </c>
      <c r="EL26" s="53">
        <v>-54276.210786933363</v>
      </c>
      <c r="EM26" s="53">
        <v>-759388.49043877865</v>
      </c>
      <c r="EN26" s="53">
        <v>-1220574.3929543998</v>
      </c>
      <c r="EP26" s="53">
        <v>6700.1318771207661</v>
      </c>
      <c r="EQ26" s="53">
        <v>86768.542452222333</v>
      </c>
      <c r="ER26" s="53">
        <v>150348.97109767265</v>
      </c>
      <c r="ET26" s="53">
        <v>0</v>
      </c>
      <c r="EU26" s="53">
        <v>1</v>
      </c>
      <c r="EV26" s="53">
        <v>1</v>
      </c>
      <c r="EX26" s="53">
        <v>0</v>
      </c>
      <c r="EY26" s="53">
        <v>1</v>
      </c>
      <c r="EZ26" s="53">
        <v>1</v>
      </c>
      <c r="FB26" s="53">
        <v>1</v>
      </c>
      <c r="FC26" s="53">
        <v>1</v>
      </c>
      <c r="FD26" s="53">
        <v>1</v>
      </c>
      <c r="FF26" t="str">
        <v>New Jersey</v>
      </c>
      <c r="FG26" s="127" t="str">
        <v>NJB4-Remote</v>
      </c>
      <c r="FH26" s="89">
        <v>0</v>
      </c>
      <c r="FI26" s="89">
        <v>0</v>
      </c>
      <c r="FJ26" s="89">
        <v>0</v>
      </c>
      <c r="FK26" s="89">
        <v>0</v>
      </c>
      <c r="FL26" s="89">
        <v>0</v>
      </c>
      <c r="FM26" s="89">
        <v>0</v>
      </c>
      <c r="FN26" s="89">
        <v>0</v>
      </c>
      <c r="FO26" s="89">
        <v>0</v>
      </c>
      <c r="FP26" s="89">
        <v>0</v>
      </c>
      <c r="FQ26" s="89">
        <v>0</v>
      </c>
      <c r="FR26" s="89">
        <v>350.42</v>
      </c>
      <c r="FS26" s="89">
        <v>849.09</v>
      </c>
    </row>
    <row r="27" spans="1:175" x14ac:dyDescent="0.25">
      <c r="A27" s="117"/>
      <c r="B27" t="str">
        <v>New Jersey</v>
      </c>
      <c r="C27" s="116" t="str">
        <v>NJ-2028-05-Center</v>
      </c>
      <c r="D27" s="3">
        <v>2028</v>
      </c>
      <c r="E27">
        <v>11</v>
      </c>
      <c r="G27" t="str">
        <v>JV1</v>
      </c>
      <c r="H27" t="str">
        <v>Remote</v>
      </c>
      <c r="I27" t="str">
        <v>New Jersey</v>
      </c>
      <c r="J27" s="53">
        <v>464.64</v>
      </c>
      <c r="K27" s="53">
        <v>9757.4400000000023</v>
      </c>
      <c r="L27" s="53">
        <v>14868.480000000003</v>
      </c>
      <c r="N27" s="53">
        <v>2.2599999999999998</v>
      </c>
      <c r="O27" s="53">
        <v>10.83</v>
      </c>
      <c r="P27" s="53">
        <v>10.83</v>
      </c>
      <c r="R27" s="53">
        <v>0.46</v>
      </c>
      <c r="S27" s="53">
        <v>2.19</v>
      </c>
      <c r="T27" s="53">
        <v>2.19</v>
      </c>
      <c r="V27" s="53">
        <v>3</v>
      </c>
      <c r="W27" s="53">
        <v>13</v>
      </c>
      <c r="X27" s="53">
        <v>13</v>
      </c>
      <c r="Z27" s="53">
        <v>2</v>
      </c>
      <c r="AA27" s="53">
        <v>3</v>
      </c>
      <c r="AB27" s="53">
        <v>3</v>
      </c>
      <c r="AD27" s="53">
        <v>5</v>
      </c>
      <c r="AE27" s="53">
        <v>24</v>
      </c>
      <c r="AF27" s="53">
        <v>24</v>
      </c>
      <c r="AH27" s="53">
        <v>3.9285714285714284</v>
      </c>
      <c r="AI27" s="53">
        <v>33.642857142857139</v>
      </c>
      <c r="AJ27" s="53">
        <v>24</v>
      </c>
      <c r="AL27" s="53">
        <v>0.5</v>
      </c>
      <c r="AM27" s="53">
        <v>16.5</v>
      </c>
      <c r="AN27" s="53">
        <v>24</v>
      </c>
      <c r="AP27" s="53">
        <v>5.5</v>
      </c>
      <c r="AQ27" s="53">
        <v>40.5</v>
      </c>
      <c r="AR27" s="53">
        <v>48</v>
      </c>
      <c r="AT27" s="53">
        <v>0</v>
      </c>
      <c r="AU27" s="53">
        <v>0</v>
      </c>
      <c r="AV27" s="53">
        <v>0</v>
      </c>
      <c r="AX27" s="53">
        <v>84112.845000000001</v>
      </c>
      <c r="AY27" s="53">
        <v>1819360.8373499999</v>
      </c>
      <c r="AZ27" s="53">
        <v>2772359.3711999999</v>
      </c>
      <c r="BB27" s="53">
        <v>74019.303599999985</v>
      </c>
      <c r="BC27" s="53">
        <v>1601037.5368679997</v>
      </c>
      <c r="BD27" s="53">
        <v>2439676.2466559992</v>
      </c>
      <c r="BF27" s="53">
        <v>-10093.541399999998</v>
      </c>
      <c r="BG27" s="53">
        <v>-218323.30048199996</v>
      </c>
      <c r="BH27" s="53">
        <v>-332683.12454399996</v>
      </c>
      <c r="BJ27" s="53">
        <v>71248.709999999992</v>
      </c>
      <c r="BK27" s="53">
        <v>1541109.5973</v>
      </c>
      <c r="BL27" s="53">
        <v>2348357.4816000001</v>
      </c>
      <c r="BN27" s="53">
        <v>0</v>
      </c>
      <c r="BO27" s="53">
        <v>0</v>
      </c>
      <c r="BP27" s="53">
        <v>0</v>
      </c>
      <c r="BR27" s="53">
        <v>9496.7729999999974</v>
      </c>
      <c r="BS27" s="53">
        <v>205415.19998999994</v>
      </c>
      <c r="BT27" s="53">
        <v>313013.63807999983</v>
      </c>
      <c r="BV27" s="53">
        <v>1461.0419999999999</v>
      </c>
      <c r="BW27" s="53">
        <v>31602.338460000003</v>
      </c>
      <c r="BX27" s="53">
        <v>48155.944320000002</v>
      </c>
      <c r="BZ27" s="53">
        <v>1906.3199999999997</v>
      </c>
      <c r="CA27" s="53">
        <v>41233.701599999993</v>
      </c>
      <c r="CB27" s="53">
        <v>62832.307200000003</v>
      </c>
      <c r="CD27" s="53">
        <v>0</v>
      </c>
      <c r="CE27" s="53">
        <v>0</v>
      </c>
      <c r="CF27" s="53">
        <v>0</v>
      </c>
      <c r="CH27" s="53">
        <v>0</v>
      </c>
      <c r="CI27" s="53">
        <v>0</v>
      </c>
      <c r="CJ27" s="53">
        <v>0</v>
      </c>
      <c r="CL27" s="53">
        <v>0</v>
      </c>
      <c r="CM27" s="53">
        <v>0</v>
      </c>
      <c r="CN27" s="53">
        <v>0</v>
      </c>
      <c r="CP27" s="53">
        <v>0</v>
      </c>
      <c r="CQ27" s="53">
        <v>0</v>
      </c>
      <c r="CR27" s="53">
        <v>0</v>
      </c>
      <c r="CT27" s="53">
        <v>0</v>
      </c>
      <c r="CU27" s="53">
        <v>0</v>
      </c>
      <c r="CV27" s="53">
        <v>0</v>
      </c>
      <c r="CX27" s="53">
        <v>67490.445039604499</v>
      </c>
      <c r="CY27" s="53">
        <v>704102.02475986385</v>
      </c>
      <c r="CZ27" s="53">
        <v>1002968.4243634861</v>
      </c>
      <c r="DB27" s="53">
        <v>0</v>
      </c>
      <c r="DC27" s="53">
        <v>0</v>
      </c>
      <c r="DD27" s="53">
        <v>0</v>
      </c>
      <c r="DF27" s="53">
        <v>0</v>
      </c>
      <c r="DG27" s="53">
        <v>0</v>
      </c>
      <c r="DH27" s="53">
        <v>0</v>
      </c>
      <c r="DJ27" s="53">
        <v>2065.4422</v>
      </c>
      <c r="DK27" s="53">
        <v>12443.328975999999</v>
      </c>
      <c r="DL27" s="53">
        <v>12857.242245120004</v>
      </c>
      <c r="DN27" s="53">
        <v>0</v>
      </c>
      <c r="DO27" s="53">
        <v>0</v>
      </c>
      <c r="DP27" s="53">
        <v>0</v>
      </c>
      <c r="DR27" s="53">
        <v>9605</v>
      </c>
      <c r="DS27" s="53">
        <v>87046.8</v>
      </c>
      <c r="DT27" s="53">
        <v>116608.03199999996</v>
      </c>
      <c r="DV27" s="53">
        <v>0</v>
      </c>
      <c r="DW27" s="53">
        <v>0</v>
      </c>
      <c r="DX27" s="53">
        <v>0</v>
      </c>
      <c r="DZ27" s="53">
        <v>0</v>
      </c>
      <c r="EA27" s="53">
        <v>0</v>
      </c>
      <c r="EB27" s="53">
        <v>0</v>
      </c>
      <c r="ED27" s="53">
        <v>8445.0185898519157</v>
      </c>
      <c r="EE27" s="53">
        <v>146583.82708175285</v>
      </c>
      <c r="EF27" s="53">
        <v>200884.99027079737</v>
      </c>
      <c r="EH27" s="53">
        <v>0</v>
      </c>
      <c r="EI27" s="53">
        <v>0</v>
      </c>
      <c r="EJ27" s="53">
        <v>0</v>
      </c>
      <c r="EL27" s="53">
        <v>0</v>
      </c>
      <c r="EM27" s="53">
        <v>-114026.73719579997</v>
      </c>
      <c r="EN27" s="53">
        <v>-350703.46045679989</v>
      </c>
      <c r="EP27" s="53">
        <v>988.1758746144593</v>
      </c>
      <c r="EQ27" s="53">
        <v>21848.789542404546</v>
      </c>
      <c r="ER27" s="53">
        <v>42236.901697031775</v>
      </c>
      <c r="ET27" s="53">
        <v>0</v>
      </c>
      <c r="EU27" s="53">
        <v>0</v>
      </c>
      <c r="EV27" s="53">
        <v>0</v>
      </c>
      <c r="EX27" s="53">
        <v>0</v>
      </c>
      <c r="EY27" s="53">
        <v>0</v>
      </c>
      <c r="EZ27" s="53">
        <v>0</v>
      </c>
      <c r="FB27" s="53">
        <v>0</v>
      </c>
      <c r="FC27" s="53">
        <v>0</v>
      </c>
      <c r="FD27" s="53">
        <v>0</v>
      </c>
      <c r="FF27" t="str">
        <v>New Jersey</v>
      </c>
      <c r="FG27" s="127" t="str">
        <v>NJ-2026-01-Center</v>
      </c>
      <c r="FH27" s="89">
        <v>0</v>
      </c>
      <c r="FI27" s="89">
        <v>0</v>
      </c>
      <c r="FJ27" s="89">
        <v>0</v>
      </c>
      <c r="FK27" s="89">
        <v>0</v>
      </c>
      <c r="FL27" s="89">
        <v>0</v>
      </c>
      <c r="FM27" s="89">
        <v>0</v>
      </c>
      <c r="FN27" s="89">
        <v>0</v>
      </c>
      <c r="FO27" s="89">
        <v>0</v>
      </c>
      <c r="FP27" s="89">
        <v>363.9</v>
      </c>
      <c r="FQ27" s="89">
        <v>963.65</v>
      </c>
      <c r="FR27" s="89">
        <v>993.98</v>
      </c>
      <c r="FS27" s="89">
        <v>1024.3</v>
      </c>
    </row>
    <row r="28" spans="1:175" x14ac:dyDescent="0.25">
      <c r="A28" s="117"/>
      <c r="B28" t="str">
        <v>North Carolina</v>
      </c>
      <c r="C28" s="116" t="str">
        <v>GBA1-Center</v>
      </c>
      <c r="D28" s="3">
        <v>2025</v>
      </c>
      <c r="E28">
        <v>2</v>
      </c>
      <c r="G28" t="str">
        <v>JV1</v>
      </c>
      <c r="H28" t="str">
        <v>Center</v>
      </c>
      <c r="I28" t="str">
        <v>New Jersey</v>
      </c>
      <c r="J28" s="53">
        <v>6615.8399999999992</v>
      </c>
      <c r="K28" s="53">
        <v>44105.599999999991</v>
      </c>
      <c r="L28" s="53">
        <v>52926.719999999979</v>
      </c>
      <c r="N28" s="53">
        <v>16.950000000000003</v>
      </c>
      <c r="O28" s="53">
        <v>39.53</v>
      </c>
      <c r="P28" s="53">
        <v>39.53</v>
      </c>
      <c r="R28" s="53">
        <v>2.5799999999999996</v>
      </c>
      <c r="S28" s="53">
        <v>6</v>
      </c>
      <c r="T28" s="53">
        <v>6</v>
      </c>
      <c r="V28" s="53">
        <v>20</v>
      </c>
      <c r="W28" s="53">
        <v>46</v>
      </c>
      <c r="X28" s="53">
        <v>46</v>
      </c>
      <c r="Z28" s="53">
        <v>6</v>
      </c>
      <c r="AA28" s="53">
        <v>9</v>
      </c>
      <c r="AB28" s="53">
        <v>8</v>
      </c>
      <c r="AD28" s="53">
        <v>18</v>
      </c>
      <c r="AE28" s="53">
        <v>42</v>
      </c>
      <c r="AF28" s="53">
        <v>42</v>
      </c>
      <c r="AH28" s="53">
        <v>17.5</v>
      </c>
      <c r="AI28" s="53">
        <v>44</v>
      </c>
      <c r="AJ28" s="53">
        <v>44.5</v>
      </c>
      <c r="AL28" s="53">
        <v>2.5</v>
      </c>
      <c r="AM28" s="53">
        <v>23</v>
      </c>
      <c r="AN28" s="53">
        <v>44.5</v>
      </c>
      <c r="AP28" s="53">
        <v>20.5</v>
      </c>
      <c r="AQ28" s="53">
        <v>65</v>
      </c>
      <c r="AR28" s="53">
        <v>86.5</v>
      </c>
      <c r="AT28" s="53">
        <v>1411000</v>
      </c>
      <c r="AU28" s="53">
        <v>0</v>
      </c>
      <c r="AV28" s="53">
        <v>0</v>
      </c>
      <c r="AX28" s="53">
        <v>1166582.676</v>
      </c>
      <c r="AY28" s="53">
        <v>8010534.3751999969</v>
      </c>
      <c r="AZ28" s="53">
        <v>9612641.2502399962</v>
      </c>
      <c r="BB28" s="53">
        <v>1107462.27088</v>
      </c>
      <c r="BC28" s="53">
        <v>6946961.3307359982</v>
      </c>
      <c r="BD28" s="53">
        <v>8279986.7743711965</v>
      </c>
      <c r="BF28" s="53">
        <v>-158646.19511999999</v>
      </c>
      <c r="BG28" s="53">
        <v>-999696.04946399957</v>
      </c>
      <c r="BH28" s="53">
        <v>-1191948.8744687994</v>
      </c>
      <c r="BJ28" s="53">
        <v>954113.15999999992</v>
      </c>
      <c r="BK28" s="53">
        <v>6551577.0319999978</v>
      </c>
      <c r="BL28" s="53">
        <v>7861892.4383999966</v>
      </c>
      <c r="BN28" s="53">
        <v>55943.159999999989</v>
      </c>
      <c r="BO28" s="53">
        <v>384143.03200000006</v>
      </c>
      <c r="BP28" s="53">
        <v>460971.63840000011</v>
      </c>
      <c r="BR28" s="53">
        <v>132954.82199999996</v>
      </c>
      <c r="BS28" s="53">
        <v>912956.44439999957</v>
      </c>
      <c r="BT28" s="53">
        <v>1095547.7332799996</v>
      </c>
      <c r="BV28" s="53">
        <v>10227.294</v>
      </c>
      <c r="BW28" s="53">
        <v>70227.418799999999</v>
      </c>
      <c r="BX28" s="53">
        <v>84272.902560000002</v>
      </c>
      <c r="BZ28" s="53">
        <v>13344.239999999998</v>
      </c>
      <c r="CA28" s="53">
        <v>91630.448000000019</v>
      </c>
      <c r="CB28" s="53">
        <v>109956.53760000003</v>
      </c>
      <c r="CD28" s="53">
        <v>44428.097505791986</v>
      </c>
      <c r="CE28" s="53">
        <v>305072.93620643835</v>
      </c>
      <c r="CF28" s="53">
        <v>366087.5234477261</v>
      </c>
      <c r="CH28" s="53">
        <v>5936.4811376640009</v>
      </c>
      <c r="CI28" s="53">
        <v>40763.837145292811</v>
      </c>
      <c r="CJ28" s="53">
        <v>48916.604574351368</v>
      </c>
      <c r="CL28" s="53">
        <v>155468.94999999998</v>
      </c>
      <c r="CM28" s="53">
        <v>320266.03700000001</v>
      </c>
      <c r="CN28" s="53">
        <v>320266.03700000001</v>
      </c>
      <c r="CP28" s="53">
        <v>36103.840700927998</v>
      </c>
      <c r="CQ28" s="53">
        <v>247913.03947970559</v>
      </c>
      <c r="CR28" s="53">
        <v>297495.64737564669</v>
      </c>
      <c r="CT28" s="53">
        <v>0</v>
      </c>
      <c r="CU28" s="53">
        <v>0</v>
      </c>
      <c r="CV28" s="53">
        <v>0</v>
      </c>
      <c r="CX28" s="53">
        <v>625696.694314069</v>
      </c>
      <c r="CY28" s="53">
        <v>3553824.7358098393</v>
      </c>
      <c r="CZ28" s="53">
        <v>4584708.8535495214</v>
      </c>
      <c r="DB28" s="53">
        <v>90000</v>
      </c>
      <c r="DC28" s="53">
        <v>185400</v>
      </c>
      <c r="DD28" s="53">
        <v>190962</v>
      </c>
      <c r="DF28" s="53">
        <v>52200</v>
      </c>
      <c r="DG28" s="53">
        <v>108576</v>
      </c>
      <c r="DH28" s="53">
        <v>112919.03999999999</v>
      </c>
      <c r="DJ28" s="53">
        <v>5495.4913999999999</v>
      </c>
      <c r="DK28" s="53">
        <v>14791.126896000002</v>
      </c>
      <c r="DL28" s="53">
        <v>16013.243317760001</v>
      </c>
      <c r="DN28" s="53">
        <v>45000</v>
      </c>
      <c r="DO28" s="53">
        <v>91800</v>
      </c>
      <c r="DP28" s="53">
        <v>93636</v>
      </c>
      <c r="DR28" s="53">
        <v>43299.499999999993</v>
      </c>
      <c r="DS28" s="53">
        <v>216004.89000000004</v>
      </c>
      <c r="DT28" s="53">
        <v>257150.46600000007</v>
      </c>
      <c r="DV28" s="53">
        <v>36000</v>
      </c>
      <c r="DW28" s="53">
        <v>75600</v>
      </c>
      <c r="DX28" s="53">
        <v>79380</v>
      </c>
      <c r="DZ28" s="53">
        <v>151234.47</v>
      </c>
      <c r="EA28" s="53">
        <v>0</v>
      </c>
      <c r="EB28" s="53">
        <v>0</v>
      </c>
      <c r="ED28" s="53">
        <v>136277.0768875785</v>
      </c>
      <c r="EE28" s="53">
        <v>646613.9363344505</v>
      </c>
      <c r="EF28" s="53">
        <v>681781.06209451566</v>
      </c>
      <c r="EH28" s="53">
        <v>0</v>
      </c>
      <c r="EI28" s="53">
        <v>0</v>
      </c>
      <c r="EJ28" s="53">
        <v>0</v>
      </c>
      <c r="EL28" s="53">
        <v>-173015.85792079996</v>
      </c>
      <c r="EM28" s="53">
        <v>-822055.72508452798</v>
      </c>
      <c r="EN28" s="53">
        <v>-1241998.0161556797</v>
      </c>
      <c r="EP28" s="53">
        <v>14070.276941953607</v>
      </c>
      <c r="EQ28" s="53">
        <v>98760.942628545759</v>
      </c>
      <c r="ER28" s="53">
        <v>150348.97109767265</v>
      </c>
      <c r="ET28" s="53">
        <v>0</v>
      </c>
      <c r="EU28" s="53">
        <v>1</v>
      </c>
      <c r="EV28" s="53">
        <v>1</v>
      </c>
      <c r="EX28" s="53">
        <v>0</v>
      </c>
      <c r="EY28" s="53">
        <v>1</v>
      </c>
      <c r="EZ28" s="53">
        <v>1</v>
      </c>
      <c r="FB28" s="53">
        <v>1</v>
      </c>
      <c r="FC28" s="53">
        <v>1</v>
      </c>
      <c r="FD28" s="53">
        <v>1</v>
      </c>
      <c r="FF28" t="str">
        <v>New Jersey</v>
      </c>
      <c r="FG28" s="127" t="str">
        <v>NJ-2026-01-Remote</v>
      </c>
      <c r="FH28" s="89">
        <v>0</v>
      </c>
      <c r="FI28" s="89">
        <v>0</v>
      </c>
      <c r="FJ28" s="89">
        <v>0</v>
      </c>
      <c r="FK28" s="89">
        <v>0</v>
      </c>
      <c r="FL28" s="89">
        <v>0</v>
      </c>
      <c r="FM28" s="89">
        <v>0</v>
      </c>
      <c r="FN28" s="89">
        <v>0</v>
      </c>
      <c r="FO28" s="89">
        <v>0</v>
      </c>
      <c r="FP28" s="89">
        <v>0</v>
      </c>
      <c r="FQ28" s="89">
        <v>350.42</v>
      </c>
      <c r="FR28" s="89">
        <v>849.09</v>
      </c>
      <c r="FS28" s="89">
        <v>865.93999999999994</v>
      </c>
    </row>
    <row r="29" spans="1:175" x14ac:dyDescent="0.25">
      <c r="A29" s="117"/>
      <c r="B29" t="str">
        <v>North Carolina</v>
      </c>
      <c r="C29" s="116" t="str">
        <v>NC-2026-01-Center</v>
      </c>
      <c r="D29" s="3">
        <v>2026</v>
      </c>
      <c r="E29">
        <v>6</v>
      </c>
      <c r="G29" t="str">
        <v>JV1</v>
      </c>
      <c r="H29" t="str">
        <v>Remote</v>
      </c>
      <c r="I29" t="str">
        <v>New Jersey</v>
      </c>
      <c r="J29" s="53">
        <v>0</v>
      </c>
      <c r="K29" s="53">
        <v>5575.6799999999994</v>
      </c>
      <c r="L29" s="53">
        <v>14558.720000000005</v>
      </c>
      <c r="N29" s="53">
        <v>0</v>
      </c>
      <c r="O29" s="53">
        <v>8.1199999999999992</v>
      </c>
      <c r="P29" s="53">
        <v>10.83</v>
      </c>
      <c r="R29" s="53">
        <v>0</v>
      </c>
      <c r="S29" s="53">
        <v>1.64</v>
      </c>
      <c r="T29" s="53">
        <v>2.19</v>
      </c>
      <c r="V29" s="53">
        <v>0</v>
      </c>
      <c r="W29" s="53">
        <v>10</v>
      </c>
      <c r="X29" s="53">
        <v>13</v>
      </c>
      <c r="Z29" s="53">
        <v>0</v>
      </c>
      <c r="AA29" s="53">
        <v>3</v>
      </c>
      <c r="AB29" s="53">
        <v>3</v>
      </c>
      <c r="AD29" s="53">
        <v>0</v>
      </c>
      <c r="AE29" s="53">
        <v>18</v>
      </c>
      <c r="AF29" s="53">
        <v>24</v>
      </c>
      <c r="AH29" s="53">
        <v>0</v>
      </c>
      <c r="AI29" s="53">
        <v>26.309523809523807</v>
      </c>
      <c r="AJ29" s="53">
        <v>27.261904761904763</v>
      </c>
      <c r="AL29" s="53">
        <v>0</v>
      </c>
      <c r="AM29" s="53">
        <v>9.1666666666666661</v>
      </c>
      <c r="AN29" s="53">
        <v>23.833333333333332</v>
      </c>
      <c r="AP29" s="53">
        <v>0</v>
      </c>
      <c r="AQ29" s="53">
        <v>27.166666666666664</v>
      </c>
      <c r="AR29" s="53">
        <v>47.833333333333329</v>
      </c>
      <c r="AT29" s="53">
        <v>0</v>
      </c>
      <c r="AU29" s="53">
        <v>0</v>
      </c>
      <c r="AV29" s="53">
        <v>0</v>
      </c>
      <c r="AX29" s="53">
        <v>0</v>
      </c>
      <c r="AY29" s="53">
        <v>1039634.7642</v>
      </c>
      <c r="AZ29" s="53">
        <v>2714601.8842999996</v>
      </c>
      <c r="BB29" s="53">
        <v>0</v>
      </c>
      <c r="BC29" s="53">
        <v>914878.592496</v>
      </c>
      <c r="BD29" s="53">
        <v>2388849.6581839989</v>
      </c>
      <c r="BF29" s="53">
        <v>0</v>
      </c>
      <c r="BG29" s="53">
        <v>-124756.17170399999</v>
      </c>
      <c r="BH29" s="53">
        <v>-325752.22611599998</v>
      </c>
      <c r="BJ29" s="53">
        <v>0</v>
      </c>
      <c r="BK29" s="53">
        <v>880634.05559999996</v>
      </c>
      <c r="BL29" s="53">
        <v>2299433.3673999999</v>
      </c>
      <c r="BN29" s="53">
        <v>0</v>
      </c>
      <c r="BO29" s="53">
        <v>0</v>
      </c>
      <c r="BP29" s="53">
        <v>0</v>
      </c>
      <c r="BR29" s="53">
        <v>0</v>
      </c>
      <c r="BS29" s="53">
        <v>117380.11427999997</v>
      </c>
      <c r="BT29" s="53">
        <v>306492.52061999979</v>
      </c>
      <c r="BV29" s="53">
        <v>0</v>
      </c>
      <c r="BW29" s="53">
        <v>18058.47912</v>
      </c>
      <c r="BX29" s="53">
        <v>47152.695480000002</v>
      </c>
      <c r="BZ29" s="53">
        <v>0</v>
      </c>
      <c r="CA29" s="53">
        <v>23562.115199999997</v>
      </c>
      <c r="CB29" s="53">
        <v>61523.300800000005</v>
      </c>
      <c r="CD29" s="53">
        <v>0</v>
      </c>
      <c r="CE29" s="53">
        <v>0</v>
      </c>
      <c r="CF29" s="53">
        <v>0</v>
      </c>
      <c r="CH29" s="53">
        <v>0</v>
      </c>
      <c r="CI29" s="53">
        <v>0</v>
      </c>
      <c r="CJ29" s="53">
        <v>0</v>
      </c>
      <c r="CL29" s="53">
        <v>0</v>
      </c>
      <c r="CM29" s="53">
        <v>0</v>
      </c>
      <c r="CN29" s="53">
        <v>0</v>
      </c>
      <c r="CP29" s="53">
        <v>0</v>
      </c>
      <c r="CQ29" s="53">
        <v>0</v>
      </c>
      <c r="CR29" s="53">
        <v>0</v>
      </c>
      <c r="CT29" s="53">
        <v>0</v>
      </c>
      <c r="CU29" s="53">
        <v>0</v>
      </c>
      <c r="CV29" s="53">
        <v>0</v>
      </c>
      <c r="CX29" s="53">
        <v>0</v>
      </c>
      <c r="CY29" s="53">
        <v>482410.96606722375</v>
      </c>
      <c r="CZ29" s="53">
        <v>994169.21930214949</v>
      </c>
      <c r="DB29" s="53">
        <v>0</v>
      </c>
      <c r="DC29" s="53">
        <v>0</v>
      </c>
      <c r="DD29" s="53">
        <v>0</v>
      </c>
      <c r="DF29" s="53">
        <v>0</v>
      </c>
      <c r="DG29" s="53">
        <v>0</v>
      </c>
      <c r="DH29" s="53">
        <v>0</v>
      </c>
      <c r="DJ29" s="53">
        <v>0</v>
      </c>
      <c r="DK29" s="53">
        <v>10260.227327999999</v>
      </c>
      <c r="DL29" s="53">
        <v>13075.902827520003</v>
      </c>
      <c r="DN29" s="53">
        <v>0</v>
      </c>
      <c r="DO29" s="53">
        <v>0</v>
      </c>
      <c r="DP29" s="53">
        <v>0</v>
      </c>
      <c r="DR29" s="53">
        <v>0</v>
      </c>
      <c r="DS29" s="53">
        <v>60098.399999999994</v>
      </c>
      <c r="DT29" s="53">
        <v>115219.09799999997</v>
      </c>
      <c r="DV29" s="53">
        <v>0</v>
      </c>
      <c r="DW29" s="53">
        <v>0</v>
      </c>
      <c r="DX29" s="53">
        <v>0</v>
      </c>
      <c r="DZ29" s="53">
        <v>0</v>
      </c>
      <c r="EA29" s="53">
        <v>0</v>
      </c>
      <c r="EB29" s="53">
        <v>0</v>
      </c>
      <c r="ED29" s="53">
        <v>0</v>
      </c>
      <c r="EE29" s="53">
        <v>81456.23979650515</v>
      </c>
      <c r="EF29" s="53">
        <v>196371.87734596941</v>
      </c>
      <c r="EH29" s="53">
        <v>0</v>
      </c>
      <c r="EI29" s="53">
        <v>0</v>
      </c>
      <c r="EJ29" s="53">
        <v>0</v>
      </c>
      <c r="EL29" s="53">
        <v>0</v>
      </c>
      <c r="EM29" s="53">
        <v>-41931.935489399992</v>
      </c>
      <c r="EN29" s="53">
        <v>-301147.53669659997</v>
      </c>
      <c r="EP29" s="53">
        <v>0</v>
      </c>
      <c r="EQ29" s="53">
        <v>12485.022595659735</v>
      </c>
      <c r="ER29" s="53">
        <v>41356.966245010277</v>
      </c>
      <c r="ET29" s="53">
        <v>0</v>
      </c>
      <c r="EU29" s="53">
        <v>0</v>
      </c>
      <c r="EV29" s="53">
        <v>0</v>
      </c>
      <c r="EX29" s="53">
        <v>0</v>
      </c>
      <c r="EY29" s="53">
        <v>0</v>
      </c>
      <c r="EZ29" s="53">
        <v>0</v>
      </c>
      <c r="FB29" s="53">
        <v>0</v>
      </c>
      <c r="FC29" s="53">
        <v>0</v>
      </c>
      <c r="FD29" s="53">
        <v>0</v>
      </c>
      <c r="FF29" t="str">
        <v>New Jersey</v>
      </c>
      <c r="FG29" s="127" t="str">
        <v>NJ-2026-02-Center</v>
      </c>
      <c r="FH29" s="89">
        <v>0</v>
      </c>
      <c r="FI29" s="89">
        <v>0</v>
      </c>
      <c r="FJ29" s="89">
        <v>0</v>
      </c>
      <c r="FK29" s="89">
        <v>0</v>
      </c>
      <c r="FL29" s="89">
        <v>0</v>
      </c>
      <c r="FM29" s="89">
        <v>0</v>
      </c>
      <c r="FN29" s="89">
        <v>363.9</v>
      </c>
      <c r="FO29" s="89">
        <v>963.65</v>
      </c>
      <c r="FP29" s="89">
        <v>993.98</v>
      </c>
      <c r="FQ29" s="89">
        <v>1024.3</v>
      </c>
      <c r="FR29" s="89">
        <v>1054.6299999999999</v>
      </c>
      <c r="FS29" s="89">
        <v>1095.06</v>
      </c>
    </row>
    <row r="30" spans="1:175" x14ac:dyDescent="0.25">
      <c r="A30" s="117"/>
      <c r="B30" t="str">
        <v>North Carolina</v>
      </c>
      <c r="C30" s="116" t="str">
        <v>NC-2026-02-Center</v>
      </c>
      <c r="D30" s="3">
        <v>2026</v>
      </c>
      <c r="E30">
        <v>10</v>
      </c>
      <c r="G30" t="str">
        <v>JV1</v>
      </c>
      <c r="H30" t="str">
        <v>Center</v>
      </c>
      <c r="I30" t="str">
        <v>New Jersey</v>
      </c>
      <c r="J30" s="53">
        <v>0</v>
      </c>
      <c r="K30" s="53">
        <v>17327.199999999997</v>
      </c>
      <c r="L30" s="53">
        <v>51036.479999999981</v>
      </c>
      <c r="N30" s="53">
        <v>0</v>
      </c>
      <c r="O30" s="53">
        <v>28.240000000000002</v>
      </c>
      <c r="P30" s="53">
        <v>39.53</v>
      </c>
      <c r="R30" s="53">
        <v>0</v>
      </c>
      <c r="S30" s="53">
        <v>4.29</v>
      </c>
      <c r="T30" s="53">
        <v>6</v>
      </c>
      <c r="V30" s="53">
        <v>0</v>
      </c>
      <c r="W30" s="53">
        <v>33</v>
      </c>
      <c r="X30" s="53">
        <v>46</v>
      </c>
      <c r="Z30" s="53">
        <v>0</v>
      </c>
      <c r="AA30" s="53">
        <v>8</v>
      </c>
      <c r="AB30" s="53">
        <v>9</v>
      </c>
      <c r="AD30" s="53">
        <v>0</v>
      </c>
      <c r="AE30" s="53">
        <v>30</v>
      </c>
      <c r="AF30" s="53">
        <v>42</v>
      </c>
      <c r="AH30" s="53">
        <v>0</v>
      </c>
      <c r="AI30" s="53">
        <v>34.5</v>
      </c>
      <c r="AJ30" s="53">
        <v>40</v>
      </c>
      <c r="AL30" s="53">
        <v>0</v>
      </c>
      <c r="AM30" s="53">
        <v>7.5</v>
      </c>
      <c r="AN30" s="53">
        <v>31</v>
      </c>
      <c r="AP30" s="53">
        <v>0</v>
      </c>
      <c r="AQ30" s="53">
        <v>37.5</v>
      </c>
      <c r="AR30" s="53">
        <v>73</v>
      </c>
      <c r="AT30" s="53">
        <v>0</v>
      </c>
      <c r="AU30" s="53">
        <v>1411000</v>
      </c>
      <c r="AV30" s="53">
        <v>0</v>
      </c>
      <c r="AX30" s="53">
        <v>0</v>
      </c>
      <c r="AY30" s="53">
        <v>3146995.6473999997</v>
      </c>
      <c r="AZ30" s="53">
        <v>9269332.6341599971</v>
      </c>
      <c r="BB30" s="53">
        <v>0</v>
      </c>
      <c r="BC30" s="53">
        <v>2853304.5961786667</v>
      </c>
      <c r="BD30" s="53">
        <v>7994338.4650207972</v>
      </c>
      <c r="BF30" s="53">
        <v>0</v>
      </c>
      <c r="BG30" s="53">
        <v>-409666.08138799993</v>
      </c>
      <c r="BH30" s="53">
        <v>-1150751.8405391995</v>
      </c>
      <c r="BJ30" s="53">
        <v>0</v>
      </c>
      <c r="BK30" s="53">
        <v>2573833.8339999998</v>
      </c>
      <c r="BL30" s="53">
        <v>7581110.5655999966</v>
      </c>
      <c r="BN30" s="53">
        <v>0</v>
      </c>
      <c r="BO30" s="53">
        <v>150913.334</v>
      </c>
      <c r="BP30" s="53">
        <v>444508.36560000008</v>
      </c>
      <c r="BR30" s="53">
        <v>0</v>
      </c>
      <c r="BS30" s="53">
        <v>358661.46029999986</v>
      </c>
      <c r="BT30" s="53">
        <v>1056421.0285199995</v>
      </c>
      <c r="BV30" s="53">
        <v>0</v>
      </c>
      <c r="BW30" s="53">
        <v>27589.343100000002</v>
      </c>
      <c r="BX30" s="53">
        <v>81263.156040000002</v>
      </c>
      <c r="BZ30" s="53">
        <v>0</v>
      </c>
      <c r="CA30" s="53">
        <v>35997.675999999999</v>
      </c>
      <c r="CB30" s="53">
        <v>106029.51840000002</v>
      </c>
      <c r="CD30" s="53">
        <v>0</v>
      </c>
      <c r="CE30" s="53">
        <v>119850.08208110077</v>
      </c>
      <c r="CF30" s="53">
        <v>353012.96903887874</v>
      </c>
      <c r="CH30" s="53">
        <v>0</v>
      </c>
      <c r="CI30" s="53">
        <v>16014.364592793603</v>
      </c>
      <c r="CJ30" s="53">
        <v>47169.582982410247</v>
      </c>
      <c r="CL30" s="53">
        <v>0</v>
      </c>
      <c r="CM30" s="53">
        <v>266888.36416666664</v>
      </c>
      <c r="CN30" s="53">
        <v>320266.03700000001</v>
      </c>
      <c r="CP30" s="53">
        <v>0</v>
      </c>
      <c r="CQ30" s="53">
        <v>97394.408367027194</v>
      </c>
      <c r="CR30" s="53">
        <v>286870.80282651645</v>
      </c>
      <c r="CT30" s="53">
        <v>0</v>
      </c>
      <c r="CU30" s="53">
        <v>0</v>
      </c>
      <c r="CV30" s="53">
        <v>0</v>
      </c>
      <c r="CX30" s="53">
        <v>0</v>
      </c>
      <c r="CY30" s="53">
        <v>1599604.4891238655</v>
      </c>
      <c r="CZ30" s="53">
        <v>4431199.7708799914</v>
      </c>
      <c r="DB30" s="53">
        <v>0</v>
      </c>
      <c r="DC30" s="53">
        <v>154500</v>
      </c>
      <c r="DD30" s="53">
        <v>190962</v>
      </c>
      <c r="DF30" s="53">
        <v>0</v>
      </c>
      <c r="DG30" s="53">
        <v>90480</v>
      </c>
      <c r="DH30" s="53">
        <v>112919.03999999999</v>
      </c>
      <c r="DJ30" s="53">
        <v>0</v>
      </c>
      <c r="DK30" s="53">
        <v>10579.107344</v>
      </c>
      <c r="DL30" s="53">
        <v>15506.679635200004</v>
      </c>
      <c r="DN30" s="53">
        <v>0</v>
      </c>
      <c r="DO30" s="53">
        <v>76500</v>
      </c>
      <c r="DP30" s="53">
        <v>93636</v>
      </c>
      <c r="DR30" s="53">
        <v>0</v>
      </c>
      <c r="DS30" s="53">
        <v>100039.04999999999</v>
      </c>
      <c r="DT30" s="53">
        <v>248895.41220000005</v>
      </c>
      <c r="DV30" s="53">
        <v>0</v>
      </c>
      <c r="DW30" s="53">
        <v>63000</v>
      </c>
      <c r="DX30" s="53">
        <v>79380</v>
      </c>
      <c r="DZ30" s="53">
        <v>0</v>
      </c>
      <c r="EA30" s="53">
        <v>151234.47</v>
      </c>
      <c r="EB30" s="53">
        <v>0</v>
      </c>
      <c r="ED30" s="53">
        <v>0</v>
      </c>
      <c r="EE30" s="53">
        <v>253134.4708963414</v>
      </c>
      <c r="EF30" s="53">
        <v>656544.11633591563</v>
      </c>
      <c r="EH30" s="53">
        <v>0</v>
      </c>
      <c r="EI30" s="53">
        <v>0</v>
      </c>
      <c r="EJ30" s="53">
        <v>0</v>
      </c>
      <c r="EL30" s="53">
        <v>0</v>
      </c>
      <c r="EM30" s="53">
        <v>-425177.69534280809</v>
      </c>
      <c r="EN30" s="53">
        <v>-984914.53774032008</v>
      </c>
      <c r="EP30" s="53">
        <v>0</v>
      </c>
      <c r="EQ30" s="53">
        <v>38798.941746928685</v>
      </c>
      <c r="ER30" s="53">
        <v>144979.36498704148</v>
      </c>
      <c r="ET30" s="53">
        <v>0</v>
      </c>
      <c r="EU30" s="53">
        <v>1</v>
      </c>
      <c r="EV30" s="53">
        <v>1</v>
      </c>
      <c r="EX30" s="53">
        <v>0</v>
      </c>
      <c r="EY30" s="53">
        <v>1</v>
      </c>
      <c r="EZ30" s="53">
        <v>1</v>
      </c>
      <c r="FB30" s="53">
        <v>0</v>
      </c>
      <c r="FC30" s="53">
        <v>1</v>
      </c>
      <c r="FD30" s="53">
        <v>1</v>
      </c>
      <c r="FF30" t="str">
        <v>New Jersey</v>
      </c>
      <c r="FG30" s="127" t="str">
        <v>NJ-2026-02-Remote</v>
      </c>
      <c r="FH30" s="89">
        <v>0</v>
      </c>
      <c r="FI30" s="89">
        <v>0</v>
      </c>
      <c r="FJ30" s="89">
        <v>0</v>
      </c>
      <c r="FK30" s="89">
        <v>0</v>
      </c>
      <c r="FL30" s="89">
        <v>0</v>
      </c>
      <c r="FM30" s="89">
        <v>0</v>
      </c>
      <c r="FN30" s="89">
        <v>0</v>
      </c>
      <c r="FO30" s="89">
        <v>0</v>
      </c>
      <c r="FP30" s="89">
        <v>0</v>
      </c>
      <c r="FQ30" s="89">
        <v>0</v>
      </c>
      <c r="FR30" s="89">
        <v>0</v>
      </c>
      <c r="FS30" s="89">
        <v>0</v>
      </c>
    </row>
    <row r="31" spans="1:175" x14ac:dyDescent="0.25">
      <c r="A31" s="117"/>
      <c r="B31" t="str">
        <v>North Carolina</v>
      </c>
      <c r="C31" s="116" t="str">
        <v>NC-2027-01-Center</v>
      </c>
      <c r="D31" s="3">
        <v>2027</v>
      </c>
      <c r="E31">
        <v>7</v>
      </c>
      <c r="G31" t="str">
        <v>JV1</v>
      </c>
      <c r="H31" t="str">
        <v>Remote</v>
      </c>
      <c r="I31" t="str">
        <v>New Jersey</v>
      </c>
      <c r="J31" s="53">
        <v>0</v>
      </c>
      <c r="K31" s="53">
        <v>2323.1999999999998</v>
      </c>
      <c r="L31" s="53">
        <v>12855.04</v>
      </c>
      <c r="N31" s="53">
        <v>0</v>
      </c>
      <c r="O31" s="53">
        <v>5.42</v>
      </c>
      <c r="P31" s="53">
        <v>10.83</v>
      </c>
      <c r="R31" s="53">
        <v>0</v>
      </c>
      <c r="S31" s="53">
        <v>1.1000000000000001</v>
      </c>
      <c r="T31" s="53">
        <v>2.19</v>
      </c>
      <c r="V31" s="53">
        <v>0</v>
      </c>
      <c r="W31" s="53">
        <v>7</v>
      </c>
      <c r="X31" s="53">
        <v>13</v>
      </c>
      <c r="Z31" s="53">
        <v>0</v>
      </c>
      <c r="AA31" s="53">
        <v>3</v>
      </c>
      <c r="AB31" s="53">
        <v>3</v>
      </c>
      <c r="AD31" s="53">
        <v>0</v>
      </c>
      <c r="AE31" s="53">
        <v>12</v>
      </c>
      <c r="AF31" s="53">
        <v>24</v>
      </c>
      <c r="AH31" s="53">
        <v>0</v>
      </c>
      <c r="AI31" s="53">
        <v>13.785714285714285</v>
      </c>
      <c r="AJ31" s="53">
        <v>31.785714285714285</v>
      </c>
      <c r="AL31" s="53">
        <v>0</v>
      </c>
      <c r="AM31" s="53">
        <v>3.5</v>
      </c>
      <c r="AN31" s="53">
        <v>21.5</v>
      </c>
      <c r="AP31" s="53">
        <v>0</v>
      </c>
      <c r="AQ31" s="53">
        <v>15.5</v>
      </c>
      <c r="AR31" s="53">
        <v>45.5</v>
      </c>
      <c r="AT31" s="53">
        <v>0</v>
      </c>
      <c r="AU31" s="53">
        <v>0</v>
      </c>
      <c r="AV31" s="53">
        <v>0</v>
      </c>
      <c r="AX31" s="53">
        <v>0</v>
      </c>
      <c r="AY31" s="53">
        <v>433181.15174999996</v>
      </c>
      <c r="AZ31" s="53">
        <v>2396935.7063500001</v>
      </c>
      <c r="BB31" s="53">
        <v>0</v>
      </c>
      <c r="BC31" s="53">
        <v>381199.41353999998</v>
      </c>
      <c r="BD31" s="53">
        <v>2109303.4215879994</v>
      </c>
      <c r="BF31" s="53">
        <v>0</v>
      </c>
      <c r="BG31" s="53">
        <v>-51981.738209999996</v>
      </c>
      <c r="BH31" s="53">
        <v>-287632.28476199997</v>
      </c>
      <c r="BJ31" s="53">
        <v>0</v>
      </c>
      <c r="BK31" s="53">
        <v>366930.85649999999</v>
      </c>
      <c r="BL31" s="53">
        <v>2030350.7393000002</v>
      </c>
      <c r="BN31" s="53">
        <v>0</v>
      </c>
      <c r="BO31" s="53">
        <v>0</v>
      </c>
      <c r="BP31" s="53">
        <v>0</v>
      </c>
      <c r="BR31" s="53">
        <v>0</v>
      </c>
      <c r="BS31" s="53">
        <v>48908.380949999984</v>
      </c>
      <c r="BT31" s="53">
        <v>270626.37458999985</v>
      </c>
      <c r="BV31" s="53">
        <v>0</v>
      </c>
      <c r="BW31" s="53">
        <v>7524.3662999999997</v>
      </c>
      <c r="BX31" s="53">
        <v>41634.826860000001</v>
      </c>
      <c r="BZ31" s="53">
        <v>0</v>
      </c>
      <c r="CA31" s="53">
        <v>9817.5479999999989</v>
      </c>
      <c r="CB31" s="53">
        <v>54323.765599999999</v>
      </c>
      <c r="CD31" s="53">
        <v>0</v>
      </c>
      <c r="CE31" s="53">
        <v>0</v>
      </c>
      <c r="CF31" s="53">
        <v>0</v>
      </c>
      <c r="CH31" s="53">
        <v>0</v>
      </c>
      <c r="CI31" s="53">
        <v>0</v>
      </c>
      <c r="CJ31" s="53">
        <v>0</v>
      </c>
      <c r="CL31" s="53">
        <v>0</v>
      </c>
      <c r="CM31" s="53">
        <v>0</v>
      </c>
      <c r="CN31" s="53">
        <v>0</v>
      </c>
      <c r="CP31" s="53">
        <v>0</v>
      </c>
      <c r="CQ31" s="53">
        <v>0</v>
      </c>
      <c r="CR31" s="53">
        <v>0</v>
      </c>
      <c r="CT31" s="53">
        <v>0</v>
      </c>
      <c r="CU31" s="53">
        <v>0</v>
      </c>
      <c r="CV31" s="53">
        <v>0</v>
      </c>
      <c r="CX31" s="53">
        <v>0</v>
      </c>
      <c r="CY31" s="53">
        <v>243854.41923115804</v>
      </c>
      <c r="CZ31" s="53">
        <v>912204.040482493</v>
      </c>
      <c r="DB31" s="53">
        <v>0</v>
      </c>
      <c r="DC31" s="53">
        <v>0</v>
      </c>
      <c r="DD31" s="53">
        <v>0</v>
      </c>
      <c r="DF31" s="53">
        <v>0</v>
      </c>
      <c r="DG31" s="53">
        <v>0</v>
      </c>
      <c r="DH31" s="53">
        <v>0</v>
      </c>
      <c r="DJ31" s="53">
        <v>0</v>
      </c>
      <c r="DK31" s="53">
        <v>6009.6618399999998</v>
      </c>
      <c r="DL31" s="53">
        <v>13210.743520000004</v>
      </c>
      <c r="DN31" s="53">
        <v>0</v>
      </c>
      <c r="DO31" s="53">
        <v>0</v>
      </c>
      <c r="DP31" s="53">
        <v>0</v>
      </c>
      <c r="DR31" s="53">
        <v>0</v>
      </c>
      <c r="DS31" s="53">
        <v>30931.5</v>
      </c>
      <c r="DT31" s="53">
        <v>106099.99199999998</v>
      </c>
      <c r="DV31" s="53">
        <v>0</v>
      </c>
      <c r="DW31" s="53">
        <v>0</v>
      </c>
      <c r="DX31" s="53">
        <v>0</v>
      </c>
      <c r="DZ31" s="53">
        <v>0</v>
      </c>
      <c r="EA31" s="53">
        <v>0</v>
      </c>
      <c r="EB31" s="53">
        <v>0</v>
      </c>
      <c r="ED31" s="53">
        <v>0</v>
      </c>
      <c r="EE31" s="53">
        <v>32783.042098166203</v>
      </c>
      <c r="EF31" s="53">
        <v>172127.90915396798</v>
      </c>
      <c r="EH31" s="53">
        <v>0</v>
      </c>
      <c r="EI31" s="53">
        <v>0</v>
      </c>
      <c r="EJ31" s="53">
        <v>0</v>
      </c>
      <c r="EL31" s="53">
        <v>0</v>
      </c>
      <c r="EM31" s="53">
        <v>-5082.6588471999985</v>
      </c>
      <c r="EN31" s="53">
        <v>-216013.00100599995</v>
      </c>
      <c r="EP31" s="53">
        <v>0</v>
      </c>
      <c r="EQ31" s="53">
        <v>5202.092748191556</v>
      </c>
      <c r="ER31" s="53">
        <v>36517.321258892043</v>
      </c>
      <c r="ET31" s="53">
        <v>0</v>
      </c>
      <c r="EU31" s="53">
        <v>0</v>
      </c>
      <c r="EV31" s="53">
        <v>0</v>
      </c>
      <c r="EX31" s="53">
        <v>0</v>
      </c>
      <c r="EY31" s="53">
        <v>0</v>
      </c>
      <c r="EZ31" s="53">
        <v>0</v>
      </c>
      <c r="FB31" s="53">
        <v>0</v>
      </c>
      <c r="FC31" s="53">
        <v>0</v>
      </c>
      <c r="FD31" s="53">
        <v>0</v>
      </c>
      <c r="FF31" t="str">
        <v>New Jersey</v>
      </c>
      <c r="FG31" s="127" t="str">
        <v>NJ-2027-01-Center</v>
      </c>
      <c r="FH31" s="89">
        <v>0</v>
      </c>
      <c r="FI31" s="89">
        <v>0</v>
      </c>
      <c r="FJ31" s="89">
        <v>0</v>
      </c>
      <c r="FK31" s="89">
        <v>0</v>
      </c>
      <c r="FL31" s="89">
        <v>0</v>
      </c>
      <c r="FM31" s="89">
        <v>0</v>
      </c>
      <c r="FN31" s="89">
        <v>0</v>
      </c>
      <c r="FO31" s="89">
        <v>0</v>
      </c>
      <c r="FP31" s="89">
        <v>0</v>
      </c>
      <c r="FQ31" s="89">
        <v>0</v>
      </c>
      <c r="FR31" s="89">
        <v>0</v>
      </c>
      <c r="FS31" s="89">
        <v>0</v>
      </c>
    </row>
    <row r="32" spans="1:175" x14ac:dyDescent="0.25">
      <c r="A32" s="117"/>
      <c r="B32" t="str">
        <v>North Carolina</v>
      </c>
      <c r="C32" s="116" t="str">
        <v>NCA9-Center</v>
      </c>
      <c r="D32" s="3">
        <v>2028</v>
      </c>
      <c r="E32">
        <v>6</v>
      </c>
      <c r="G32" t="str">
        <v>JV1</v>
      </c>
      <c r="H32" t="str">
        <v>Center</v>
      </c>
      <c r="I32" t="str">
        <v>New Jersey</v>
      </c>
      <c r="J32" s="53">
        <v>0</v>
      </c>
      <c r="K32" s="53">
        <v>4725.5999999999995</v>
      </c>
      <c r="L32" s="53">
        <v>41585.279999999992</v>
      </c>
      <c r="N32" s="53">
        <v>0</v>
      </c>
      <c r="O32" s="53">
        <v>14.12</v>
      </c>
      <c r="P32" s="53">
        <v>39.53</v>
      </c>
      <c r="R32" s="53">
        <v>0</v>
      </c>
      <c r="S32" s="53">
        <v>2.15</v>
      </c>
      <c r="T32" s="53">
        <v>6</v>
      </c>
      <c r="V32" s="53">
        <v>0</v>
      </c>
      <c r="W32" s="53">
        <v>16</v>
      </c>
      <c r="X32" s="53">
        <v>46</v>
      </c>
      <c r="Z32" s="53">
        <v>0</v>
      </c>
      <c r="AA32" s="53">
        <v>6</v>
      </c>
      <c r="AB32" s="53">
        <v>9</v>
      </c>
      <c r="AD32" s="53">
        <v>0</v>
      </c>
      <c r="AE32" s="53">
        <v>15</v>
      </c>
      <c r="AF32" s="53">
        <v>42</v>
      </c>
      <c r="AH32" s="53">
        <v>0</v>
      </c>
      <c r="AI32" s="53">
        <v>13.666666666666666</v>
      </c>
      <c r="AJ32" s="53">
        <v>44.999999999999993</v>
      </c>
      <c r="AL32" s="53">
        <v>0</v>
      </c>
      <c r="AM32" s="53">
        <v>1.6666666666666665</v>
      </c>
      <c r="AN32" s="53">
        <v>21.000000000000004</v>
      </c>
      <c r="AP32" s="53">
        <v>0</v>
      </c>
      <c r="AQ32" s="53">
        <v>16.666666666666668</v>
      </c>
      <c r="AR32" s="53">
        <v>63</v>
      </c>
      <c r="AT32" s="53">
        <v>0</v>
      </c>
      <c r="AU32" s="53">
        <v>1411000</v>
      </c>
      <c r="AV32" s="53">
        <v>0</v>
      </c>
      <c r="AX32" s="53">
        <v>0</v>
      </c>
      <c r="AY32" s="53">
        <v>858271.54019999993</v>
      </c>
      <c r="AZ32" s="53">
        <v>7552789.5537599977</v>
      </c>
      <c r="BB32" s="53">
        <v>0</v>
      </c>
      <c r="BC32" s="53">
        <v>831551.65360933333</v>
      </c>
      <c r="BD32" s="53">
        <v>6566096.9182687979</v>
      </c>
      <c r="BF32" s="53">
        <v>0</v>
      </c>
      <c r="BG32" s="53">
        <v>-119005.88667399998</v>
      </c>
      <c r="BH32" s="53">
        <v>-944766.67089119973</v>
      </c>
      <c r="BJ32" s="53">
        <v>0</v>
      </c>
      <c r="BK32" s="53">
        <v>701954.68200000003</v>
      </c>
      <c r="BL32" s="53">
        <v>6177201.2015999984</v>
      </c>
      <c r="BN32" s="53">
        <v>0</v>
      </c>
      <c r="BO32" s="53">
        <v>41158.182000000001</v>
      </c>
      <c r="BP32" s="53">
        <v>362192.00160000008</v>
      </c>
      <c r="BR32" s="53">
        <v>0</v>
      </c>
      <c r="BS32" s="53">
        <v>97816.761899999969</v>
      </c>
      <c r="BT32" s="53">
        <v>860787.50471999962</v>
      </c>
      <c r="BV32" s="53">
        <v>0</v>
      </c>
      <c r="BW32" s="53">
        <v>7524.3662999999997</v>
      </c>
      <c r="BX32" s="53">
        <v>66214.423439999999</v>
      </c>
      <c r="BZ32" s="53">
        <v>0</v>
      </c>
      <c r="CA32" s="53">
        <v>9817.5479999999989</v>
      </c>
      <c r="CB32" s="53">
        <v>86394.42240000001</v>
      </c>
      <c r="CD32" s="53">
        <v>0</v>
      </c>
      <c r="CE32" s="53">
        <v>32686.386022118393</v>
      </c>
      <c r="CF32" s="53">
        <v>287640.19699464191</v>
      </c>
      <c r="CH32" s="53">
        <v>0</v>
      </c>
      <c r="CI32" s="53">
        <v>4367.5539798528007</v>
      </c>
      <c r="CJ32" s="53">
        <v>38434.475022704646</v>
      </c>
      <c r="CL32" s="53">
        <v>0</v>
      </c>
      <c r="CM32" s="53">
        <v>133444.18208333332</v>
      </c>
      <c r="CN32" s="53">
        <v>320266.03700000001</v>
      </c>
      <c r="CP32" s="53">
        <v>0</v>
      </c>
      <c r="CQ32" s="53">
        <v>26562.111372825599</v>
      </c>
      <c r="CR32" s="53">
        <v>233746.58008086527</v>
      </c>
      <c r="CT32" s="53">
        <v>0</v>
      </c>
      <c r="CU32" s="53">
        <v>0</v>
      </c>
      <c r="CV32" s="53">
        <v>0</v>
      </c>
      <c r="CX32" s="53">
        <v>0</v>
      </c>
      <c r="CY32" s="53">
        <v>515744.28720105422</v>
      </c>
      <c r="CZ32" s="53">
        <v>3718723.026821672</v>
      </c>
      <c r="DB32" s="53">
        <v>0</v>
      </c>
      <c r="DC32" s="53">
        <v>77250</v>
      </c>
      <c r="DD32" s="53">
        <v>190962</v>
      </c>
      <c r="DF32" s="53">
        <v>0</v>
      </c>
      <c r="DG32" s="53">
        <v>45240</v>
      </c>
      <c r="DH32" s="53">
        <v>112919.03999999999</v>
      </c>
      <c r="DJ32" s="53">
        <v>0</v>
      </c>
      <c r="DK32" s="53">
        <v>4576.4538560000001</v>
      </c>
      <c r="DL32" s="53">
        <v>15306.240768000005</v>
      </c>
      <c r="DN32" s="53">
        <v>0</v>
      </c>
      <c r="DO32" s="53">
        <v>33150</v>
      </c>
      <c r="DP32" s="53">
        <v>81151.200000000012</v>
      </c>
      <c r="DR32" s="53">
        <v>0</v>
      </c>
      <c r="DS32" s="53">
        <v>33442.229999999996</v>
      </c>
      <c r="DT32" s="53">
        <v>209906.9424</v>
      </c>
      <c r="DV32" s="53">
        <v>0</v>
      </c>
      <c r="DW32" s="53">
        <v>31500</v>
      </c>
      <c r="DX32" s="53">
        <v>79380</v>
      </c>
      <c r="DZ32" s="53">
        <v>0</v>
      </c>
      <c r="EA32" s="53">
        <v>151234.47</v>
      </c>
      <c r="EB32" s="53">
        <v>0</v>
      </c>
      <c r="ED32" s="53">
        <v>0</v>
      </c>
      <c r="EE32" s="53">
        <v>70735.253375440705</v>
      </c>
      <c r="EF32" s="53">
        <v>533896.26321369933</v>
      </c>
      <c r="EH32" s="53">
        <v>0</v>
      </c>
      <c r="EI32" s="53">
        <v>0</v>
      </c>
      <c r="EJ32" s="53">
        <v>0</v>
      </c>
      <c r="EL32" s="53">
        <v>0</v>
      </c>
      <c r="EM32" s="53">
        <v>-115623.99534040532</v>
      </c>
      <c r="EN32" s="53">
        <v>-784110.27207828267</v>
      </c>
      <c r="EP32" s="53">
        <v>0</v>
      </c>
      <c r="EQ32" s="53">
        <v>10581.529567344189</v>
      </c>
      <c r="ER32" s="53">
        <v>118131.33443388568</v>
      </c>
      <c r="ET32" s="53">
        <v>0</v>
      </c>
      <c r="EU32" s="53">
        <v>0</v>
      </c>
      <c r="EV32" s="53">
        <v>1</v>
      </c>
      <c r="EX32" s="53">
        <v>0</v>
      </c>
      <c r="EY32" s="53">
        <v>0</v>
      </c>
      <c r="EZ32" s="53">
        <v>1</v>
      </c>
      <c r="FB32" s="53">
        <v>0</v>
      </c>
      <c r="FC32" s="53">
        <v>1</v>
      </c>
      <c r="FD32" s="53">
        <v>1</v>
      </c>
      <c r="FF32" t="str">
        <v>New Jersey</v>
      </c>
      <c r="FG32" s="127" t="str">
        <v>NJ-2027-01-Remote</v>
      </c>
      <c r="FH32" s="89">
        <v>0</v>
      </c>
      <c r="FI32" s="89">
        <v>0</v>
      </c>
      <c r="FJ32" s="89">
        <v>0</v>
      </c>
      <c r="FK32" s="89">
        <v>0</v>
      </c>
      <c r="FL32" s="89">
        <v>0</v>
      </c>
      <c r="FM32" s="89">
        <v>0</v>
      </c>
      <c r="FN32" s="89">
        <v>0</v>
      </c>
      <c r="FO32" s="89">
        <v>0</v>
      </c>
      <c r="FP32" s="89">
        <v>0</v>
      </c>
      <c r="FQ32" s="89">
        <v>0</v>
      </c>
      <c r="FR32" s="89">
        <v>0</v>
      </c>
      <c r="FS32" s="89">
        <v>0</v>
      </c>
    </row>
    <row r="33" spans="1:175" x14ac:dyDescent="0.25">
      <c r="A33" s="117"/>
      <c r="C33" s="116"/>
      <c r="D33" s="3"/>
      <c r="G33" t="str">
        <v>JV1</v>
      </c>
      <c r="H33" t="str">
        <v>Remote</v>
      </c>
      <c r="I33" t="str">
        <v>New Jersey</v>
      </c>
      <c r="J33" s="53">
        <v>0</v>
      </c>
      <c r="K33" s="53">
        <v>464.64</v>
      </c>
      <c r="L33" s="53">
        <v>9757.4400000000023</v>
      </c>
      <c r="N33" s="53">
        <v>0</v>
      </c>
      <c r="O33" s="53">
        <v>2.2599999999999998</v>
      </c>
      <c r="P33" s="53">
        <v>10.83</v>
      </c>
      <c r="R33" s="53">
        <v>0</v>
      </c>
      <c r="S33" s="53">
        <v>0.46</v>
      </c>
      <c r="T33" s="53">
        <v>2.19</v>
      </c>
      <c r="V33" s="53">
        <v>0</v>
      </c>
      <c r="W33" s="53">
        <v>3</v>
      </c>
      <c r="X33" s="53">
        <v>13</v>
      </c>
      <c r="Z33" s="53">
        <v>0</v>
      </c>
      <c r="AA33" s="53">
        <v>2</v>
      </c>
      <c r="AB33" s="53">
        <v>3</v>
      </c>
      <c r="AD33" s="53">
        <v>0</v>
      </c>
      <c r="AE33" s="53">
        <v>5</v>
      </c>
      <c r="AF33" s="53">
        <v>24</v>
      </c>
      <c r="AH33" s="53">
        <v>0</v>
      </c>
      <c r="AI33" s="53">
        <v>3.9285714285714284</v>
      </c>
      <c r="AJ33" s="53">
        <v>33.642857142857139</v>
      </c>
      <c r="AL33" s="53">
        <v>0</v>
      </c>
      <c r="AM33" s="53">
        <v>0.5</v>
      </c>
      <c r="AN33" s="53">
        <v>16.5</v>
      </c>
      <c r="AP33" s="53">
        <v>0</v>
      </c>
      <c r="AQ33" s="53">
        <v>5.5</v>
      </c>
      <c r="AR33" s="53">
        <v>40.5</v>
      </c>
      <c r="AT33" s="53">
        <v>0</v>
      </c>
      <c r="AU33" s="53">
        <v>0</v>
      </c>
      <c r="AV33" s="53">
        <v>0</v>
      </c>
      <c r="AX33" s="53">
        <v>0</v>
      </c>
      <c r="AY33" s="53">
        <v>86636.230349999983</v>
      </c>
      <c r="AZ33" s="53">
        <v>1819360.8373499999</v>
      </c>
      <c r="BB33" s="53">
        <v>0</v>
      </c>
      <c r="BC33" s="53">
        <v>76239.88270799999</v>
      </c>
      <c r="BD33" s="53">
        <v>1601037.5368679997</v>
      </c>
      <c r="BF33" s="53">
        <v>0</v>
      </c>
      <c r="BG33" s="53">
        <v>-10396.347641999997</v>
      </c>
      <c r="BH33" s="53">
        <v>-218323.30048199996</v>
      </c>
      <c r="BJ33" s="53">
        <v>0</v>
      </c>
      <c r="BK33" s="53">
        <v>73386.171299999987</v>
      </c>
      <c r="BL33" s="53">
        <v>1541109.5973</v>
      </c>
      <c r="BN33" s="53">
        <v>0</v>
      </c>
      <c r="BO33" s="53">
        <v>0</v>
      </c>
      <c r="BP33" s="53">
        <v>0</v>
      </c>
      <c r="BR33" s="53">
        <v>0</v>
      </c>
      <c r="BS33" s="53">
        <v>9781.6761899999965</v>
      </c>
      <c r="BT33" s="53">
        <v>205415.19998999994</v>
      </c>
      <c r="BV33" s="53">
        <v>0</v>
      </c>
      <c r="BW33" s="53">
        <v>1504.8732599999998</v>
      </c>
      <c r="BX33" s="53">
        <v>31602.338460000003</v>
      </c>
      <c r="BZ33" s="53">
        <v>0</v>
      </c>
      <c r="CA33" s="53">
        <v>1963.5095999999999</v>
      </c>
      <c r="CB33" s="53">
        <v>41233.701599999993</v>
      </c>
      <c r="CD33" s="53">
        <v>0</v>
      </c>
      <c r="CE33" s="53">
        <v>0</v>
      </c>
      <c r="CF33" s="53">
        <v>0</v>
      </c>
      <c r="CH33" s="53">
        <v>0</v>
      </c>
      <c r="CI33" s="53">
        <v>0</v>
      </c>
      <c r="CJ33" s="53">
        <v>0</v>
      </c>
      <c r="CL33" s="53">
        <v>0</v>
      </c>
      <c r="CM33" s="53">
        <v>0</v>
      </c>
      <c r="CN33" s="53">
        <v>0</v>
      </c>
      <c r="CP33" s="53">
        <v>0</v>
      </c>
      <c r="CQ33" s="53">
        <v>0</v>
      </c>
      <c r="CR33" s="53">
        <v>0</v>
      </c>
      <c r="CT33" s="53">
        <v>0</v>
      </c>
      <c r="CU33" s="53">
        <v>0</v>
      </c>
      <c r="CV33" s="53">
        <v>0</v>
      </c>
      <c r="CX33" s="53">
        <v>0</v>
      </c>
      <c r="CY33" s="53">
        <v>73958.433530231618</v>
      </c>
      <c r="CZ33" s="53">
        <v>768049.38554101682</v>
      </c>
      <c r="DB33" s="53">
        <v>0</v>
      </c>
      <c r="DC33" s="53">
        <v>0</v>
      </c>
      <c r="DD33" s="53">
        <v>0</v>
      </c>
      <c r="DF33" s="53">
        <v>0</v>
      </c>
      <c r="DG33" s="53">
        <v>0</v>
      </c>
      <c r="DH33" s="53">
        <v>0</v>
      </c>
      <c r="DJ33" s="53">
        <v>0</v>
      </c>
      <c r="DK33" s="53">
        <v>2148.0598880000002</v>
      </c>
      <c r="DL33" s="53">
        <v>12941.062135040002</v>
      </c>
      <c r="DN33" s="53">
        <v>0</v>
      </c>
      <c r="DO33" s="53">
        <v>0</v>
      </c>
      <c r="DP33" s="53">
        <v>0</v>
      </c>
      <c r="DR33" s="53">
        <v>0</v>
      </c>
      <c r="DS33" s="53">
        <v>9797.0999999999985</v>
      </c>
      <c r="DT33" s="53">
        <v>88787.736000000004</v>
      </c>
      <c r="DV33" s="53">
        <v>0</v>
      </c>
      <c r="DW33" s="53">
        <v>0</v>
      </c>
      <c r="DX33" s="53">
        <v>0</v>
      </c>
      <c r="DZ33" s="53">
        <v>0</v>
      </c>
      <c r="EA33" s="53">
        <v>0</v>
      </c>
      <c r="EB33" s="53">
        <v>0</v>
      </c>
      <c r="ED33" s="53">
        <v>0</v>
      </c>
      <c r="EE33" s="53">
        <v>6364.8402965697032</v>
      </c>
      <c r="EF33" s="53">
        <v>129283.32743959103</v>
      </c>
      <c r="EH33" s="53">
        <v>0</v>
      </c>
      <c r="EI33" s="53">
        <v>0</v>
      </c>
      <c r="EJ33" s="53">
        <v>0</v>
      </c>
      <c r="EL33" s="53">
        <v>0</v>
      </c>
      <c r="EM33" s="53">
        <v>0</v>
      </c>
      <c r="EN33" s="53">
        <v>-114359.82406199997</v>
      </c>
      <c r="EP33" s="53">
        <v>0</v>
      </c>
      <c r="EQ33" s="53">
        <v>1040.4185496383113</v>
      </c>
      <c r="ER33" s="53">
        <v>27717.9667386771</v>
      </c>
      <c r="ET33" s="53">
        <v>0</v>
      </c>
      <c r="EU33" s="53">
        <v>0</v>
      </c>
      <c r="EV33" s="53">
        <v>0</v>
      </c>
      <c r="EX33" s="53">
        <v>0</v>
      </c>
      <c r="EY33" s="53">
        <v>0</v>
      </c>
      <c r="EZ33" s="53">
        <v>0</v>
      </c>
      <c r="FB33" s="53">
        <v>0</v>
      </c>
      <c r="FC33" s="53">
        <v>0</v>
      </c>
      <c r="FD33" s="53">
        <v>0</v>
      </c>
      <c r="FF33" t="str">
        <v>New Jersey</v>
      </c>
      <c r="FG33" s="127" t="str">
        <v>NJ-2027-02-Center</v>
      </c>
      <c r="FH33" s="89">
        <v>0</v>
      </c>
      <c r="FI33" s="89">
        <v>0</v>
      </c>
      <c r="FJ33" s="89">
        <v>0</v>
      </c>
      <c r="FK33" s="89">
        <v>0</v>
      </c>
      <c r="FL33" s="89">
        <v>0</v>
      </c>
      <c r="FM33" s="89">
        <v>0</v>
      </c>
      <c r="FN33" s="89">
        <v>0</v>
      </c>
      <c r="FO33" s="89">
        <v>0</v>
      </c>
      <c r="FP33" s="89">
        <v>0</v>
      </c>
      <c r="FQ33" s="89">
        <v>0</v>
      </c>
      <c r="FR33" s="89">
        <v>0</v>
      </c>
      <c r="FS33" s="89">
        <v>0</v>
      </c>
    </row>
    <row r="34" spans="1:175" x14ac:dyDescent="0.25">
      <c r="A34" s="117"/>
      <c r="C34" s="116"/>
      <c r="D34" s="3"/>
      <c r="G34" t="str">
        <v>JV1</v>
      </c>
      <c r="H34" t="str">
        <v>Center</v>
      </c>
      <c r="I34" t="str">
        <v>New Jersey</v>
      </c>
      <c r="J34" s="53">
        <v>0</v>
      </c>
      <c r="K34" s="53">
        <v>945.11999999999989</v>
      </c>
      <c r="L34" s="53">
        <v>32134.079999999994</v>
      </c>
      <c r="N34" s="53">
        <v>0</v>
      </c>
      <c r="O34" s="53">
        <v>5.6499999999999995</v>
      </c>
      <c r="P34" s="53">
        <v>39.53</v>
      </c>
      <c r="R34" s="53">
        <v>0</v>
      </c>
      <c r="S34" s="53">
        <v>0.86</v>
      </c>
      <c r="T34" s="53">
        <v>6</v>
      </c>
      <c r="V34" s="53">
        <v>0</v>
      </c>
      <c r="W34" s="53">
        <v>7</v>
      </c>
      <c r="X34" s="53">
        <v>46</v>
      </c>
      <c r="Z34" s="53">
        <v>0</v>
      </c>
      <c r="AA34" s="53">
        <v>4</v>
      </c>
      <c r="AB34" s="53">
        <v>9</v>
      </c>
      <c r="AD34" s="53">
        <v>0</v>
      </c>
      <c r="AE34" s="53">
        <v>6</v>
      </c>
      <c r="AF34" s="53">
        <v>42</v>
      </c>
      <c r="AH34" s="53">
        <v>0</v>
      </c>
      <c r="AI34" s="53">
        <v>3.1666666666666665</v>
      </c>
      <c r="AJ34" s="53">
        <v>48</v>
      </c>
      <c r="AL34" s="53">
        <v>0</v>
      </c>
      <c r="AM34" s="53">
        <v>0.16666666666666666</v>
      </c>
      <c r="AN34" s="53">
        <v>15</v>
      </c>
      <c r="AP34" s="53">
        <v>0</v>
      </c>
      <c r="AQ34" s="53">
        <v>6.166666666666667</v>
      </c>
      <c r="AR34" s="53">
        <v>57</v>
      </c>
      <c r="AT34" s="53">
        <v>0</v>
      </c>
      <c r="AU34" s="53">
        <v>940666.66666666663</v>
      </c>
      <c r="AV34" s="53">
        <v>470333.33333333331</v>
      </c>
      <c r="AX34" s="53">
        <v>0</v>
      </c>
      <c r="AY34" s="53">
        <v>171654.30803999997</v>
      </c>
      <c r="AZ34" s="53">
        <v>5836246.4733600002</v>
      </c>
      <c r="BB34" s="53">
        <v>0</v>
      </c>
      <c r="BC34" s="53">
        <v>189796.50676853335</v>
      </c>
      <c r="BD34" s="53">
        <v>5137855.3715167996</v>
      </c>
      <c r="BF34" s="53">
        <v>0</v>
      </c>
      <c r="BG34" s="53">
        <v>-27003.837704799997</v>
      </c>
      <c r="BH34" s="53">
        <v>-738781.50124319992</v>
      </c>
      <c r="BJ34" s="53">
        <v>0</v>
      </c>
      <c r="BK34" s="53">
        <v>140390.93640000001</v>
      </c>
      <c r="BL34" s="53">
        <v>4773291.8376000002</v>
      </c>
      <c r="BN34" s="53">
        <v>0</v>
      </c>
      <c r="BO34" s="53">
        <v>8231.6363999999994</v>
      </c>
      <c r="BP34" s="53">
        <v>279875.63759999996</v>
      </c>
      <c r="BR34" s="53">
        <v>0</v>
      </c>
      <c r="BS34" s="53">
        <v>19563.352379999993</v>
      </c>
      <c r="BT34" s="53">
        <v>665153.98091999977</v>
      </c>
      <c r="BV34" s="53">
        <v>0</v>
      </c>
      <c r="BW34" s="53">
        <v>1504.8732599999998</v>
      </c>
      <c r="BX34" s="53">
        <v>51165.690840000003</v>
      </c>
      <c r="BZ34" s="53">
        <v>0</v>
      </c>
      <c r="CA34" s="53">
        <v>1963.5095999999996</v>
      </c>
      <c r="CB34" s="53">
        <v>66759.326400000005</v>
      </c>
      <c r="CD34" s="53">
        <v>0</v>
      </c>
      <c r="CE34" s="53">
        <v>6537.2772044236772</v>
      </c>
      <c r="CF34" s="53">
        <v>222267.42495040508</v>
      </c>
      <c r="CH34" s="53">
        <v>0</v>
      </c>
      <c r="CI34" s="53">
        <v>873.51079597056025</v>
      </c>
      <c r="CJ34" s="53">
        <v>29699.367062999048</v>
      </c>
      <c r="CL34" s="53">
        <v>0</v>
      </c>
      <c r="CM34" s="53">
        <v>53377.672833333323</v>
      </c>
      <c r="CN34" s="53">
        <v>320266.03700000001</v>
      </c>
      <c r="CP34" s="53">
        <v>0</v>
      </c>
      <c r="CQ34" s="53">
        <v>5312.4222745651196</v>
      </c>
      <c r="CR34" s="53">
        <v>180622.3573352141</v>
      </c>
      <c r="CT34" s="53">
        <v>0</v>
      </c>
      <c r="CU34" s="53">
        <v>0</v>
      </c>
      <c r="CV34" s="53">
        <v>0</v>
      </c>
      <c r="CX34" s="53">
        <v>0</v>
      </c>
      <c r="CY34" s="53">
        <v>132230.86077887748</v>
      </c>
      <c r="CZ34" s="53">
        <v>3001831.2402486857</v>
      </c>
      <c r="DB34" s="53">
        <v>0</v>
      </c>
      <c r="DC34" s="53">
        <v>30900</v>
      </c>
      <c r="DD34" s="53">
        <v>190962</v>
      </c>
      <c r="DF34" s="53">
        <v>0</v>
      </c>
      <c r="DG34" s="53">
        <v>18096</v>
      </c>
      <c r="DH34" s="53">
        <v>112919.03999999999</v>
      </c>
      <c r="DJ34" s="53">
        <v>0</v>
      </c>
      <c r="DK34" s="53">
        <v>1380.645344</v>
      </c>
      <c r="DL34" s="53">
        <v>14930.873434880003</v>
      </c>
      <c r="DN34" s="53">
        <v>0</v>
      </c>
      <c r="DO34" s="53">
        <v>13260</v>
      </c>
      <c r="DP34" s="53">
        <v>81151.200000000012</v>
      </c>
      <c r="DR34" s="53">
        <v>0</v>
      </c>
      <c r="DS34" s="53">
        <v>9112.1699999999983</v>
      </c>
      <c r="DT34" s="53">
        <v>170740.04399999999</v>
      </c>
      <c r="DV34" s="53">
        <v>0</v>
      </c>
      <c r="DW34" s="53">
        <v>12600</v>
      </c>
      <c r="DX34" s="53">
        <v>79380</v>
      </c>
      <c r="DZ34" s="53">
        <v>0</v>
      </c>
      <c r="EA34" s="53">
        <v>151234.47</v>
      </c>
      <c r="EB34" s="53">
        <v>0</v>
      </c>
      <c r="ED34" s="53">
        <v>0</v>
      </c>
      <c r="EE34" s="53">
        <v>15782.149005881667</v>
      </c>
      <c r="EF34" s="53">
        <v>414584.51417119469</v>
      </c>
      <c r="EH34" s="53">
        <v>0</v>
      </c>
      <c r="EI34" s="53">
        <v>0</v>
      </c>
      <c r="EJ34" s="53">
        <v>0</v>
      </c>
      <c r="EL34" s="53">
        <v>0</v>
      </c>
      <c r="EM34" s="53">
        <v>0</v>
      </c>
      <c r="EN34" s="53">
        <v>-653505.63298360805</v>
      </c>
      <c r="EP34" s="53">
        <v>0</v>
      </c>
      <c r="EQ34" s="53">
        <v>2116.3059134688378</v>
      </c>
      <c r="ER34" s="53">
        <v>91283.303880729858</v>
      </c>
      <c r="ET34" s="53">
        <v>0</v>
      </c>
      <c r="EU34" s="53">
        <v>0</v>
      </c>
      <c r="EV34" s="53">
        <v>1</v>
      </c>
      <c r="EX34" s="53">
        <v>0</v>
      </c>
      <c r="EY34" s="53">
        <v>0</v>
      </c>
      <c r="EZ34" s="53">
        <v>1</v>
      </c>
      <c r="FB34" s="53">
        <v>0</v>
      </c>
      <c r="FC34" s="53">
        <v>1</v>
      </c>
      <c r="FD34" s="53">
        <v>1</v>
      </c>
      <c r="FF34" t="str">
        <v>New Jersey</v>
      </c>
      <c r="FG34" s="127" t="str">
        <v>NJ-2027-02-Remote</v>
      </c>
      <c r="FH34" s="89">
        <v>0</v>
      </c>
      <c r="FI34" s="89">
        <v>0</v>
      </c>
      <c r="FJ34" s="89">
        <v>0</v>
      </c>
      <c r="FK34" s="89">
        <v>0</v>
      </c>
      <c r="FL34" s="89">
        <v>0</v>
      </c>
      <c r="FM34" s="89">
        <v>0</v>
      </c>
      <c r="FN34" s="89">
        <v>0</v>
      </c>
      <c r="FO34" s="89">
        <v>0</v>
      </c>
      <c r="FP34" s="89">
        <v>0</v>
      </c>
      <c r="FQ34" s="89">
        <v>0</v>
      </c>
      <c r="FR34" s="89">
        <v>0</v>
      </c>
      <c r="FS34" s="89">
        <v>0</v>
      </c>
    </row>
    <row r="35" spans="1:175" x14ac:dyDescent="0.25">
      <c r="C35" s="116"/>
      <c r="D35" s="3"/>
      <c r="G35" t="str">
        <v>JV1</v>
      </c>
      <c r="H35" t="str">
        <v>Center</v>
      </c>
      <c r="I35" t="str">
        <v>New Jersey</v>
      </c>
      <c r="J35" s="53">
        <v>0</v>
      </c>
      <c r="K35" s="53">
        <v>315.03999999999996</v>
      </c>
      <c r="L35" s="53">
        <v>28353.599999999995</v>
      </c>
      <c r="N35" s="53">
        <v>0</v>
      </c>
      <c r="O35" s="53">
        <v>2.8299999999999996</v>
      </c>
      <c r="P35" s="53">
        <v>36.71</v>
      </c>
      <c r="R35" s="53">
        <v>0</v>
      </c>
      <c r="S35" s="53">
        <v>0.43</v>
      </c>
      <c r="T35" s="53">
        <v>5.58</v>
      </c>
      <c r="V35" s="53">
        <v>0</v>
      </c>
      <c r="W35" s="53">
        <v>3</v>
      </c>
      <c r="X35" s="53">
        <v>42</v>
      </c>
      <c r="Z35" s="53">
        <v>0</v>
      </c>
      <c r="AA35" s="53">
        <v>3</v>
      </c>
      <c r="AB35" s="53">
        <v>9</v>
      </c>
      <c r="AD35" s="53">
        <v>0</v>
      </c>
      <c r="AE35" s="53">
        <v>3</v>
      </c>
      <c r="AF35" s="53">
        <v>39</v>
      </c>
      <c r="AH35" s="53">
        <v>0</v>
      </c>
      <c r="AI35" s="53">
        <v>0</v>
      </c>
      <c r="AJ35" s="53">
        <v>49</v>
      </c>
      <c r="AL35" s="53">
        <v>0</v>
      </c>
      <c r="AM35" s="53">
        <v>0</v>
      </c>
      <c r="AN35" s="53">
        <v>13</v>
      </c>
      <c r="AP35" s="53">
        <v>0</v>
      </c>
      <c r="AQ35" s="53">
        <v>3</v>
      </c>
      <c r="AR35" s="53">
        <v>52</v>
      </c>
      <c r="AT35" s="53">
        <v>0</v>
      </c>
      <c r="AU35" s="53">
        <v>705500</v>
      </c>
      <c r="AV35" s="53">
        <v>705500</v>
      </c>
      <c r="AX35" s="53">
        <v>0</v>
      </c>
      <c r="AY35" s="53">
        <v>57218.102679999996</v>
      </c>
      <c r="AZ35" s="53">
        <v>5149629.2412</v>
      </c>
      <c r="BB35" s="53">
        <v>0</v>
      </c>
      <c r="BC35" s="53">
        <v>71094.22760506667</v>
      </c>
      <c r="BD35" s="53">
        <v>4566558.752816</v>
      </c>
      <c r="BF35" s="53">
        <v>0</v>
      </c>
      <c r="BG35" s="53">
        <v>-10068.832691599999</v>
      </c>
      <c r="BH35" s="53">
        <v>-656387.43338399997</v>
      </c>
      <c r="BJ35" s="53">
        <v>0</v>
      </c>
      <c r="BK35" s="53">
        <v>46796.978800000004</v>
      </c>
      <c r="BL35" s="53">
        <v>4211728.0920000002</v>
      </c>
      <c r="BN35" s="53">
        <v>0</v>
      </c>
      <c r="BO35" s="53">
        <v>2743.8788</v>
      </c>
      <c r="BP35" s="53">
        <v>246949.09199999998</v>
      </c>
      <c r="BR35" s="53">
        <v>0</v>
      </c>
      <c r="BS35" s="53">
        <v>6521.1174599999977</v>
      </c>
      <c r="BT35" s="53">
        <v>586900.57139999978</v>
      </c>
      <c r="BV35" s="53">
        <v>0</v>
      </c>
      <c r="BW35" s="53">
        <v>501.62441999999999</v>
      </c>
      <c r="BX35" s="53">
        <v>45146.197800000002</v>
      </c>
      <c r="BZ35" s="53">
        <v>0</v>
      </c>
      <c r="CA35" s="53">
        <v>654.50319999999988</v>
      </c>
      <c r="CB35" s="53">
        <v>58905.288</v>
      </c>
      <c r="CD35" s="53">
        <v>0</v>
      </c>
      <c r="CE35" s="53">
        <v>2179.0924014745592</v>
      </c>
      <c r="CF35" s="53">
        <v>196118.31613271034</v>
      </c>
      <c r="CH35" s="53">
        <v>0</v>
      </c>
      <c r="CI35" s="53">
        <v>291.17026532352008</v>
      </c>
      <c r="CJ35" s="53">
        <v>26205.323879116804</v>
      </c>
      <c r="CL35" s="53">
        <v>0</v>
      </c>
      <c r="CM35" s="53">
        <v>26688.836416666662</v>
      </c>
      <c r="CN35" s="53">
        <v>320266.03700000001</v>
      </c>
      <c r="CP35" s="53">
        <v>0</v>
      </c>
      <c r="CQ35" s="53">
        <v>1770.8074248550399</v>
      </c>
      <c r="CR35" s="53">
        <v>159372.66823695358</v>
      </c>
      <c r="CT35" s="53">
        <v>0</v>
      </c>
      <c r="CU35" s="53">
        <v>0</v>
      </c>
      <c r="CV35" s="53">
        <v>0</v>
      </c>
      <c r="CX35" s="53">
        <v>0</v>
      </c>
      <c r="CY35" s="53">
        <v>47974.288916403617</v>
      </c>
      <c r="CZ35" s="53">
        <v>2635834.7327946252</v>
      </c>
      <c r="DB35" s="53">
        <v>0</v>
      </c>
      <c r="DC35" s="53">
        <v>15450</v>
      </c>
      <c r="DD35" s="53">
        <v>190962</v>
      </c>
      <c r="DF35" s="53">
        <v>0</v>
      </c>
      <c r="DG35" s="53">
        <v>9048</v>
      </c>
      <c r="DH35" s="53">
        <v>112919.03999999999</v>
      </c>
      <c r="DJ35" s="53">
        <v>0</v>
      </c>
      <c r="DK35" s="53">
        <v>378.451008</v>
      </c>
      <c r="DL35" s="53">
        <v>14770.522341120004</v>
      </c>
      <c r="DN35" s="53">
        <v>0</v>
      </c>
      <c r="DO35" s="53">
        <v>6630</v>
      </c>
      <c r="DP35" s="53">
        <v>81151.200000000012</v>
      </c>
      <c r="DR35" s="53">
        <v>0</v>
      </c>
      <c r="DS35" s="53">
        <v>3604.6799999999994</v>
      </c>
      <c r="DT35" s="53">
        <v>155060.17559999996</v>
      </c>
      <c r="DV35" s="53">
        <v>0</v>
      </c>
      <c r="DW35" s="53">
        <v>6300</v>
      </c>
      <c r="DX35" s="53">
        <v>79380</v>
      </c>
      <c r="DZ35" s="53">
        <v>0</v>
      </c>
      <c r="EA35" s="53">
        <v>151234.47</v>
      </c>
      <c r="EB35" s="53">
        <v>0</v>
      </c>
      <c r="ED35" s="53">
        <v>0</v>
      </c>
      <c r="EE35" s="53">
        <v>5863.6148659405653</v>
      </c>
      <c r="EF35" s="53">
        <v>367543.47098083084</v>
      </c>
      <c r="EH35" s="53">
        <v>0</v>
      </c>
      <c r="EI35" s="53">
        <v>0</v>
      </c>
      <c r="EJ35" s="53">
        <v>0</v>
      </c>
      <c r="EL35" s="53">
        <v>0</v>
      </c>
      <c r="EM35" s="53">
        <v>0</v>
      </c>
      <c r="EN35" s="53">
        <v>-585711.83697276807</v>
      </c>
      <c r="EP35" s="53">
        <v>0</v>
      </c>
      <c r="EQ35" s="53">
        <v>705.43530448961258</v>
      </c>
      <c r="ER35" s="53">
        <v>80544.091659467522</v>
      </c>
      <c r="ET35" s="53">
        <v>0</v>
      </c>
      <c r="EU35" s="53">
        <v>0</v>
      </c>
      <c r="EV35" s="53">
        <v>1</v>
      </c>
      <c r="EX35" s="53">
        <v>0</v>
      </c>
      <c r="EY35" s="53">
        <v>0</v>
      </c>
      <c r="EZ35" s="53">
        <v>1</v>
      </c>
      <c r="FB35" s="53">
        <v>0</v>
      </c>
      <c r="FC35" s="53">
        <v>1</v>
      </c>
      <c r="FD35" s="53">
        <v>1</v>
      </c>
      <c r="FF35" t="str">
        <v>New Jersey</v>
      </c>
      <c r="FG35" s="127" t="str">
        <v>NJ-2027-03-Center</v>
      </c>
      <c r="FH35" s="89">
        <v>0</v>
      </c>
      <c r="FI35" s="89">
        <v>0</v>
      </c>
      <c r="FJ35" s="89">
        <v>0</v>
      </c>
      <c r="FK35" s="89">
        <v>0</v>
      </c>
      <c r="FL35" s="89">
        <v>0</v>
      </c>
      <c r="FM35" s="89">
        <v>0</v>
      </c>
      <c r="FN35" s="89">
        <v>0</v>
      </c>
      <c r="FO35" s="89">
        <v>0</v>
      </c>
      <c r="FP35" s="89">
        <v>0</v>
      </c>
      <c r="FQ35" s="89">
        <v>0</v>
      </c>
      <c r="FR35" s="89">
        <v>0</v>
      </c>
      <c r="FS35" s="89">
        <v>0</v>
      </c>
    </row>
    <row r="36" spans="1:175" x14ac:dyDescent="0.25">
      <c r="G36" t="str">
        <v>JV1</v>
      </c>
      <c r="H36" t="str">
        <v>Remote</v>
      </c>
      <c r="I36" t="str">
        <v>New Jersey</v>
      </c>
      <c r="J36" s="53">
        <v>0</v>
      </c>
      <c r="K36" s="53">
        <v>0</v>
      </c>
      <c r="L36" s="53">
        <v>4646.3999999999996</v>
      </c>
      <c r="N36" s="53">
        <v>0</v>
      </c>
      <c r="O36" s="53">
        <v>0</v>
      </c>
      <c r="P36" s="53">
        <v>7.67</v>
      </c>
      <c r="R36" s="53">
        <v>0</v>
      </c>
      <c r="S36" s="53">
        <v>0</v>
      </c>
      <c r="T36" s="53">
        <v>1.55</v>
      </c>
      <c r="V36" s="53">
        <v>0</v>
      </c>
      <c r="W36" s="53">
        <v>0</v>
      </c>
      <c r="X36" s="53">
        <v>9</v>
      </c>
      <c r="Z36" s="53">
        <v>0</v>
      </c>
      <c r="AA36" s="53">
        <v>0</v>
      </c>
      <c r="AB36" s="53">
        <v>3</v>
      </c>
      <c r="AD36" s="53">
        <v>0</v>
      </c>
      <c r="AE36" s="53">
        <v>0</v>
      </c>
      <c r="AF36" s="53">
        <v>17</v>
      </c>
      <c r="AH36" s="53">
        <v>0</v>
      </c>
      <c r="AI36" s="53">
        <v>0</v>
      </c>
      <c r="AJ36" s="53">
        <v>22.928571428571427</v>
      </c>
      <c r="AL36" s="53">
        <v>0</v>
      </c>
      <c r="AM36" s="53">
        <v>0</v>
      </c>
      <c r="AN36" s="53">
        <v>7.5</v>
      </c>
      <c r="AP36" s="53">
        <v>0</v>
      </c>
      <c r="AQ36" s="53">
        <v>0</v>
      </c>
      <c r="AR36" s="53">
        <v>24.5</v>
      </c>
      <c r="AT36" s="53">
        <v>0</v>
      </c>
      <c r="AU36" s="53">
        <v>0</v>
      </c>
      <c r="AV36" s="53">
        <v>0</v>
      </c>
      <c r="AX36" s="53">
        <v>0</v>
      </c>
      <c r="AY36" s="53">
        <v>0</v>
      </c>
      <c r="AZ36" s="53">
        <v>866362.30349999992</v>
      </c>
      <c r="BB36" s="53">
        <v>0</v>
      </c>
      <c r="BC36" s="53">
        <v>0</v>
      </c>
      <c r="BD36" s="53">
        <v>762398.82707999996</v>
      </c>
      <c r="BF36" s="53">
        <v>0</v>
      </c>
      <c r="BG36" s="53">
        <v>0</v>
      </c>
      <c r="BH36" s="53">
        <v>-103963.47641999999</v>
      </c>
      <c r="BJ36" s="53">
        <v>0</v>
      </c>
      <c r="BK36" s="53">
        <v>0</v>
      </c>
      <c r="BL36" s="53">
        <v>733861.71299999999</v>
      </c>
      <c r="BN36" s="53">
        <v>0</v>
      </c>
      <c r="BO36" s="53">
        <v>0</v>
      </c>
      <c r="BP36" s="53">
        <v>0</v>
      </c>
      <c r="BR36" s="53">
        <v>0</v>
      </c>
      <c r="BS36" s="53">
        <v>0</v>
      </c>
      <c r="BT36" s="53">
        <v>97816.761899999969</v>
      </c>
      <c r="BV36" s="53">
        <v>0</v>
      </c>
      <c r="BW36" s="53">
        <v>0</v>
      </c>
      <c r="BX36" s="53">
        <v>15048.732600000001</v>
      </c>
      <c r="BZ36" s="53">
        <v>0</v>
      </c>
      <c r="CA36" s="53">
        <v>0</v>
      </c>
      <c r="CB36" s="53">
        <v>19635.095999999998</v>
      </c>
      <c r="CD36" s="53">
        <v>0</v>
      </c>
      <c r="CE36" s="53">
        <v>0</v>
      </c>
      <c r="CF36" s="53">
        <v>0</v>
      </c>
      <c r="CH36" s="53">
        <v>0</v>
      </c>
      <c r="CI36" s="53">
        <v>0</v>
      </c>
      <c r="CJ36" s="53">
        <v>0</v>
      </c>
      <c r="CL36" s="53">
        <v>0</v>
      </c>
      <c r="CM36" s="53">
        <v>0</v>
      </c>
      <c r="CN36" s="53">
        <v>0</v>
      </c>
      <c r="CP36" s="53">
        <v>0</v>
      </c>
      <c r="CQ36" s="53">
        <v>0</v>
      </c>
      <c r="CR36" s="53">
        <v>0</v>
      </c>
      <c r="CT36" s="53">
        <v>0</v>
      </c>
      <c r="CU36" s="53">
        <v>0</v>
      </c>
      <c r="CV36" s="53">
        <v>0</v>
      </c>
      <c r="CX36" s="53">
        <v>0</v>
      </c>
      <c r="CY36" s="53">
        <v>0</v>
      </c>
      <c r="CZ36" s="53">
        <v>456162.63770988106</v>
      </c>
      <c r="DB36" s="53">
        <v>0</v>
      </c>
      <c r="DC36" s="53">
        <v>0</v>
      </c>
      <c r="DD36" s="53">
        <v>0</v>
      </c>
      <c r="DF36" s="53">
        <v>0</v>
      </c>
      <c r="DG36" s="53">
        <v>0</v>
      </c>
      <c r="DH36" s="53">
        <v>0</v>
      </c>
      <c r="DJ36" s="53">
        <v>0</v>
      </c>
      <c r="DK36" s="53">
        <v>0</v>
      </c>
      <c r="DL36" s="53">
        <v>9526.3127065600002</v>
      </c>
      <c r="DN36" s="53">
        <v>0</v>
      </c>
      <c r="DO36" s="53">
        <v>0</v>
      </c>
      <c r="DP36" s="53">
        <v>0</v>
      </c>
      <c r="DR36" s="53">
        <v>0</v>
      </c>
      <c r="DS36" s="53">
        <v>0</v>
      </c>
      <c r="DT36" s="53">
        <v>53174.844000000012</v>
      </c>
      <c r="DV36" s="53">
        <v>0</v>
      </c>
      <c r="DW36" s="53">
        <v>0</v>
      </c>
      <c r="DX36" s="53">
        <v>0</v>
      </c>
      <c r="DZ36" s="53">
        <v>0</v>
      </c>
      <c r="EA36" s="53">
        <v>0</v>
      </c>
      <c r="EB36" s="53">
        <v>0</v>
      </c>
      <c r="ED36" s="53">
        <v>0</v>
      </c>
      <c r="EE36" s="53">
        <v>0</v>
      </c>
      <c r="EF36" s="53">
        <v>60311.156768757595</v>
      </c>
      <c r="EH36" s="53">
        <v>0</v>
      </c>
      <c r="EI36" s="53">
        <v>0</v>
      </c>
      <c r="EJ36" s="53">
        <v>0</v>
      </c>
      <c r="EL36" s="53">
        <v>0</v>
      </c>
      <c r="EM36" s="53">
        <v>0</v>
      </c>
      <c r="EN36" s="53">
        <v>-29225.288371399995</v>
      </c>
      <c r="EP36" s="53">
        <v>0</v>
      </c>
      <c r="EQ36" s="53">
        <v>0</v>
      </c>
      <c r="ER36" s="53">
        <v>13199.031780322424</v>
      </c>
      <c r="ET36" s="53">
        <v>0</v>
      </c>
      <c r="EU36" s="53">
        <v>0</v>
      </c>
      <c r="EV36" s="53">
        <v>0</v>
      </c>
      <c r="EX36" s="53">
        <v>0</v>
      </c>
      <c r="EY36" s="53">
        <v>0</v>
      </c>
      <c r="EZ36" s="53">
        <v>0</v>
      </c>
      <c r="FB36" s="53">
        <v>0</v>
      </c>
      <c r="FC36" s="53">
        <v>0</v>
      </c>
      <c r="FD36" s="53">
        <v>0</v>
      </c>
      <c r="FF36" t="str">
        <v>New Jersey</v>
      </c>
      <c r="FG36" s="127" t="str">
        <v>NJ-2027-04-Center</v>
      </c>
      <c r="FH36" s="89">
        <v>0</v>
      </c>
      <c r="FI36" s="89">
        <v>0</v>
      </c>
      <c r="FJ36" s="89">
        <v>0</v>
      </c>
      <c r="FK36" s="89">
        <v>0</v>
      </c>
      <c r="FL36" s="89">
        <v>0</v>
      </c>
      <c r="FM36" s="89">
        <v>0</v>
      </c>
      <c r="FN36" s="89">
        <v>0</v>
      </c>
      <c r="FO36" s="89">
        <v>0</v>
      </c>
      <c r="FP36" s="89">
        <v>0</v>
      </c>
      <c r="FQ36" s="89">
        <v>0</v>
      </c>
      <c r="FR36" s="89">
        <v>0</v>
      </c>
      <c r="FS36" s="89">
        <v>0</v>
      </c>
    </row>
    <row r="37" spans="1:175" x14ac:dyDescent="0.25">
      <c r="G37" t="str">
        <v>JV1</v>
      </c>
      <c r="H37" t="str">
        <v>Center</v>
      </c>
      <c r="I37" t="str">
        <v>New Jersey</v>
      </c>
      <c r="J37" s="53">
        <v>0</v>
      </c>
      <c r="K37" s="53">
        <v>6615.8399999999992</v>
      </c>
      <c r="L37" s="53">
        <v>44105.599999999991</v>
      </c>
      <c r="N37" s="53">
        <v>0</v>
      </c>
      <c r="O37" s="53">
        <v>16.950000000000003</v>
      </c>
      <c r="P37" s="53">
        <v>39.53</v>
      </c>
      <c r="R37" s="53">
        <v>0</v>
      </c>
      <c r="S37" s="53">
        <v>2.5799999999999996</v>
      </c>
      <c r="T37" s="53">
        <v>6</v>
      </c>
      <c r="V37" s="53">
        <v>0</v>
      </c>
      <c r="W37" s="53">
        <v>20</v>
      </c>
      <c r="X37" s="53">
        <v>46</v>
      </c>
      <c r="Z37" s="53">
        <v>0</v>
      </c>
      <c r="AA37" s="53">
        <v>6</v>
      </c>
      <c r="AB37" s="53">
        <v>9</v>
      </c>
      <c r="AD37" s="53">
        <v>0</v>
      </c>
      <c r="AE37" s="53">
        <v>18</v>
      </c>
      <c r="AF37" s="53">
        <v>42</v>
      </c>
      <c r="AH37" s="53">
        <v>0</v>
      </c>
      <c r="AI37" s="53">
        <v>17.5</v>
      </c>
      <c r="AJ37" s="53">
        <v>44</v>
      </c>
      <c r="AL37" s="53">
        <v>0</v>
      </c>
      <c r="AM37" s="53">
        <v>2.5</v>
      </c>
      <c r="AN37" s="53">
        <v>23</v>
      </c>
      <c r="AP37" s="53">
        <v>0</v>
      </c>
      <c r="AQ37" s="53">
        <v>20.5</v>
      </c>
      <c r="AR37" s="53">
        <v>65</v>
      </c>
      <c r="AT37" s="53">
        <v>0</v>
      </c>
      <c r="AU37" s="53">
        <v>1411000</v>
      </c>
      <c r="AV37" s="53">
        <v>0</v>
      </c>
      <c r="AX37" s="53">
        <v>0</v>
      </c>
      <c r="AY37" s="53">
        <v>1201580.1562799998</v>
      </c>
      <c r="AZ37" s="53">
        <v>8010534.3751999969</v>
      </c>
      <c r="BB37" s="53">
        <v>0</v>
      </c>
      <c r="BC37" s="53">
        <v>1140686.1390064</v>
      </c>
      <c r="BD37" s="53">
        <v>6946961.3307359982</v>
      </c>
      <c r="BF37" s="53">
        <v>0</v>
      </c>
      <c r="BG37" s="53">
        <v>-163405.58097359998</v>
      </c>
      <c r="BH37" s="53">
        <v>-999696.04946399957</v>
      </c>
      <c r="BJ37" s="53">
        <v>0</v>
      </c>
      <c r="BK37" s="53">
        <v>982736.55480000004</v>
      </c>
      <c r="BL37" s="53">
        <v>6551577.0319999978</v>
      </c>
      <c r="BN37" s="53">
        <v>0</v>
      </c>
      <c r="BO37" s="53">
        <v>57621.4548</v>
      </c>
      <c r="BP37" s="53">
        <v>384143.03200000006</v>
      </c>
      <c r="BR37" s="53">
        <v>0</v>
      </c>
      <c r="BS37" s="53">
        <v>136943.46665999995</v>
      </c>
      <c r="BT37" s="53">
        <v>912956.44439999957</v>
      </c>
      <c r="BV37" s="53">
        <v>0</v>
      </c>
      <c r="BW37" s="53">
        <v>10534.11282</v>
      </c>
      <c r="BX37" s="53">
        <v>70227.418799999999</v>
      </c>
      <c r="BZ37" s="53">
        <v>0</v>
      </c>
      <c r="CA37" s="53">
        <v>13744.567199999998</v>
      </c>
      <c r="CB37" s="53">
        <v>91630.448000000019</v>
      </c>
      <c r="CD37" s="53">
        <v>0</v>
      </c>
      <c r="CE37" s="53">
        <v>45760.940430965748</v>
      </c>
      <c r="CF37" s="53">
        <v>305072.93620643835</v>
      </c>
      <c r="CH37" s="53">
        <v>0</v>
      </c>
      <c r="CI37" s="53">
        <v>6114.575571793921</v>
      </c>
      <c r="CJ37" s="53">
        <v>40763.837145292811</v>
      </c>
      <c r="CL37" s="53">
        <v>0</v>
      </c>
      <c r="CM37" s="53">
        <v>160133.01849999998</v>
      </c>
      <c r="CN37" s="53">
        <v>320266.03700000001</v>
      </c>
      <c r="CP37" s="53">
        <v>0</v>
      </c>
      <c r="CQ37" s="53">
        <v>37186.955921955836</v>
      </c>
      <c r="CR37" s="53">
        <v>247913.03947970559</v>
      </c>
      <c r="CT37" s="53">
        <v>0</v>
      </c>
      <c r="CU37" s="53">
        <v>0</v>
      </c>
      <c r="CV37" s="53">
        <v>0</v>
      </c>
      <c r="CX37" s="53">
        <v>0</v>
      </c>
      <c r="CY37" s="53">
        <v>671518.87044447602</v>
      </c>
      <c r="CZ37" s="53">
        <v>3786392.2585168239</v>
      </c>
      <c r="DB37" s="53">
        <v>0</v>
      </c>
      <c r="DC37" s="53">
        <v>92700</v>
      </c>
      <c r="DD37" s="53">
        <v>190962</v>
      </c>
      <c r="DF37" s="53">
        <v>0</v>
      </c>
      <c r="DG37" s="53">
        <v>48048</v>
      </c>
      <c r="DH37" s="53">
        <v>99939.84000000004</v>
      </c>
      <c r="DJ37" s="53">
        <v>0</v>
      </c>
      <c r="DK37" s="53">
        <v>5715.3110560000005</v>
      </c>
      <c r="DL37" s="53">
        <v>15382.771971840004</v>
      </c>
      <c r="DN37" s="53">
        <v>0</v>
      </c>
      <c r="DO37" s="53">
        <v>39780</v>
      </c>
      <c r="DP37" s="53">
        <v>81151.200000000012</v>
      </c>
      <c r="DR37" s="53">
        <v>0</v>
      </c>
      <c r="DS37" s="53">
        <v>44165.49</v>
      </c>
      <c r="DT37" s="53">
        <v>220324.9878</v>
      </c>
      <c r="DV37" s="53">
        <v>0</v>
      </c>
      <c r="DW37" s="53">
        <v>37800</v>
      </c>
      <c r="DX37" s="53">
        <v>79380</v>
      </c>
      <c r="DZ37" s="53">
        <v>0</v>
      </c>
      <c r="EA37" s="53">
        <v>151234.47</v>
      </c>
      <c r="EB37" s="53">
        <v>0</v>
      </c>
      <c r="ED37" s="53">
        <v>0</v>
      </c>
      <c r="EE37" s="53">
        <v>97801.846125223223</v>
      </c>
      <c r="EF37" s="53">
        <v>566209.41873060097</v>
      </c>
      <c r="EH37" s="53">
        <v>0</v>
      </c>
      <c r="EI37" s="53">
        <v>0</v>
      </c>
      <c r="EJ37" s="53">
        <v>0</v>
      </c>
      <c r="EL37" s="53">
        <v>0</v>
      </c>
      <c r="EM37" s="53">
        <v>-178206.33365842403</v>
      </c>
      <c r="EN37" s="53">
        <v>-817886.56070614397</v>
      </c>
      <c r="EP37" s="53">
        <v>0</v>
      </c>
      <c r="EQ37" s="53">
        <v>14814.141394281864</v>
      </c>
      <c r="ER37" s="53">
        <v>125290.80924806058</v>
      </c>
      <c r="ET37" s="53">
        <v>0</v>
      </c>
      <c r="EU37" s="53">
        <v>0</v>
      </c>
      <c r="EV37" s="53">
        <v>1</v>
      </c>
      <c r="EX37" s="53">
        <v>0</v>
      </c>
      <c r="EY37" s="53">
        <v>0</v>
      </c>
      <c r="EZ37" s="53">
        <v>1</v>
      </c>
      <c r="FB37" s="53">
        <v>0</v>
      </c>
      <c r="FC37" s="53">
        <v>1</v>
      </c>
      <c r="FD37" s="53">
        <v>1</v>
      </c>
      <c r="FF37" t="str">
        <v>New Jersey</v>
      </c>
      <c r="FG37" s="127" t="str">
        <v>NJ-2027-04-Remote</v>
      </c>
      <c r="FH37" s="89">
        <v>0</v>
      </c>
      <c r="FI37" s="89">
        <v>0</v>
      </c>
      <c r="FJ37" s="89">
        <v>0</v>
      </c>
      <c r="FK37" s="89">
        <v>0</v>
      </c>
      <c r="FL37" s="89">
        <v>0</v>
      </c>
      <c r="FM37" s="89">
        <v>0</v>
      </c>
      <c r="FN37" s="89">
        <v>0</v>
      </c>
      <c r="FO37" s="89">
        <v>0</v>
      </c>
      <c r="FP37" s="89">
        <v>0</v>
      </c>
      <c r="FQ37" s="89">
        <v>0</v>
      </c>
      <c r="FR37" s="89">
        <v>0</v>
      </c>
      <c r="FS37" s="89">
        <v>0</v>
      </c>
    </row>
    <row r="38" spans="1:175" x14ac:dyDescent="0.25">
      <c r="B38" s="227" t="s">
        <v>308</v>
      </c>
      <c r="C38" s="227"/>
      <c r="D38" s="227"/>
      <c r="E38" s="227"/>
      <c r="G38" t="str">
        <v>JV1</v>
      </c>
      <c r="H38" t="str">
        <v>Center</v>
      </c>
      <c r="I38" t="str">
        <v>New Jersey</v>
      </c>
      <c r="J38" s="53">
        <v>0</v>
      </c>
      <c r="K38" s="53">
        <v>0</v>
      </c>
      <c r="L38" s="53">
        <v>6615.8399999999992</v>
      </c>
      <c r="N38" s="53">
        <v>0</v>
      </c>
      <c r="O38" s="53">
        <v>0</v>
      </c>
      <c r="P38" s="53">
        <v>16.950000000000003</v>
      </c>
      <c r="R38" s="53">
        <v>0</v>
      </c>
      <c r="S38" s="53">
        <v>0</v>
      </c>
      <c r="T38" s="53">
        <v>2.5799999999999996</v>
      </c>
      <c r="V38" s="53">
        <v>0</v>
      </c>
      <c r="W38" s="53">
        <v>0</v>
      </c>
      <c r="X38" s="53">
        <v>20</v>
      </c>
      <c r="Z38" s="53">
        <v>0</v>
      </c>
      <c r="AA38" s="53">
        <v>0</v>
      </c>
      <c r="AB38" s="53">
        <v>6</v>
      </c>
      <c r="AD38" s="53">
        <v>0</v>
      </c>
      <c r="AE38" s="53">
        <v>0</v>
      </c>
      <c r="AF38" s="53">
        <v>18</v>
      </c>
      <c r="AH38" s="53">
        <v>0</v>
      </c>
      <c r="AI38" s="53">
        <v>0</v>
      </c>
      <c r="AJ38" s="53">
        <v>17.5</v>
      </c>
      <c r="AL38" s="53">
        <v>0</v>
      </c>
      <c r="AM38" s="53">
        <v>0</v>
      </c>
      <c r="AN38" s="53">
        <v>2.5</v>
      </c>
      <c r="AP38" s="53">
        <v>0</v>
      </c>
      <c r="AQ38" s="53">
        <v>0</v>
      </c>
      <c r="AR38" s="53">
        <v>20.5</v>
      </c>
      <c r="AT38" s="53">
        <v>0</v>
      </c>
      <c r="AU38" s="53">
        <v>0</v>
      </c>
      <c r="AV38" s="53">
        <v>1411000</v>
      </c>
      <c r="AX38" s="53">
        <v>0</v>
      </c>
      <c r="AY38" s="53">
        <v>0</v>
      </c>
      <c r="AZ38" s="53">
        <v>1201580.1562799998</v>
      </c>
      <c r="BB38" s="53">
        <v>0</v>
      </c>
      <c r="BC38" s="53">
        <v>0</v>
      </c>
      <c r="BD38" s="53">
        <v>1140686.1390064</v>
      </c>
      <c r="BF38" s="53">
        <v>0</v>
      </c>
      <c r="BG38" s="53">
        <v>0</v>
      </c>
      <c r="BH38" s="53">
        <v>-163405.58097359998</v>
      </c>
      <c r="BJ38" s="53">
        <v>0</v>
      </c>
      <c r="BK38" s="53">
        <v>0</v>
      </c>
      <c r="BL38" s="53">
        <v>982736.55480000004</v>
      </c>
      <c r="BN38" s="53">
        <v>0</v>
      </c>
      <c r="BO38" s="53">
        <v>0</v>
      </c>
      <c r="BP38" s="53">
        <v>57621.4548</v>
      </c>
      <c r="BR38" s="53">
        <v>0</v>
      </c>
      <c r="BS38" s="53">
        <v>0</v>
      </c>
      <c r="BT38" s="53">
        <v>136943.46665999995</v>
      </c>
      <c r="BV38" s="53">
        <v>0</v>
      </c>
      <c r="BW38" s="53">
        <v>0</v>
      </c>
      <c r="BX38" s="53">
        <v>10534.11282</v>
      </c>
      <c r="BZ38" s="53">
        <v>0</v>
      </c>
      <c r="CA38" s="53">
        <v>0</v>
      </c>
      <c r="CB38" s="53">
        <v>13744.567199999998</v>
      </c>
      <c r="CD38" s="53">
        <v>0</v>
      </c>
      <c r="CE38" s="53">
        <v>0</v>
      </c>
      <c r="CF38" s="53">
        <v>45760.940430965748</v>
      </c>
      <c r="CH38" s="53">
        <v>0</v>
      </c>
      <c r="CI38" s="53">
        <v>0</v>
      </c>
      <c r="CJ38" s="53">
        <v>6114.575571793921</v>
      </c>
      <c r="CL38" s="53">
        <v>0</v>
      </c>
      <c r="CM38" s="53">
        <v>0</v>
      </c>
      <c r="CN38" s="53">
        <v>160133.01849999998</v>
      </c>
      <c r="CP38" s="53">
        <v>0</v>
      </c>
      <c r="CQ38" s="53">
        <v>0</v>
      </c>
      <c r="CR38" s="53">
        <v>37186.955921955836</v>
      </c>
      <c r="CT38" s="53">
        <v>0</v>
      </c>
      <c r="CU38" s="53">
        <v>0</v>
      </c>
      <c r="CV38" s="53">
        <v>0</v>
      </c>
      <c r="CX38" s="53">
        <v>0</v>
      </c>
      <c r="CY38" s="53">
        <v>0</v>
      </c>
      <c r="CZ38" s="53">
        <v>879030.75748892361</v>
      </c>
      <c r="DB38" s="53">
        <v>0</v>
      </c>
      <c r="DC38" s="53">
        <v>0</v>
      </c>
      <c r="DD38" s="53">
        <v>95481</v>
      </c>
      <c r="DF38" s="53">
        <v>0</v>
      </c>
      <c r="DG38" s="53">
        <v>0</v>
      </c>
      <c r="DH38" s="53">
        <v>49969.920000000006</v>
      </c>
      <c r="DJ38" s="53">
        <v>0</v>
      </c>
      <c r="DK38" s="53">
        <v>0</v>
      </c>
      <c r="DL38" s="53">
        <v>5943.9234982400012</v>
      </c>
      <c r="DN38" s="53">
        <v>0</v>
      </c>
      <c r="DO38" s="53">
        <v>0</v>
      </c>
      <c r="DP38" s="53">
        <v>40575.599999999999</v>
      </c>
      <c r="DR38" s="53">
        <v>0</v>
      </c>
      <c r="DS38" s="53">
        <v>0</v>
      </c>
      <c r="DT38" s="53">
        <v>45048.799799999993</v>
      </c>
      <c r="DV38" s="53">
        <v>0</v>
      </c>
      <c r="DW38" s="53">
        <v>0</v>
      </c>
      <c r="DX38" s="53">
        <v>39690</v>
      </c>
      <c r="DZ38" s="53">
        <v>0</v>
      </c>
      <c r="EA38" s="53">
        <v>0</v>
      </c>
      <c r="EB38" s="53">
        <v>151234.47</v>
      </c>
      <c r="ED38" s="53">
        <v>0</v>
      </c>
      <c r="EE38" s="53">
        <v>0</v>
      </c>
      <c r="EF38" s="53">
        <v>88616.402934344194</v>
      </c>
      <c r="EH38" s="53">
        <v>0</v>
      </c>
      <c r="EI38" s="53">
        <v>0</v>
      </c>
      <c r="EJ38" s="53">
        <v>0</v>
      </c>
      <c r="EL38" s="53">
        <v>0</v>
      </c>
      <c r="EM38" s="53">
        <v>0</v>
      </c>
      <c r="EN38" s="53">
        <v>-178206.33365842403</v>
      </c>
      <c r="EP38" s="53">
        <v>0</v>
      </c>
      <c r="EQ38" s="53">
        <v>0</v>
      </c>
      <c r="ER38" s="53">
        <v>18793.621387209088</v>
      </c>
      <c r="ET38" s="53">
        <v>0</v>
      </c>
      <c r="EU38" s="53">
        <v>0</v>
      </c>
      <c r="EV38" s="53">
        <v>0</v>
      </c>
      <c r="EX38" s="53">
        <v>0</v>
      </c>
      <c r="EY38" s="53">
        <v>0</v>
      </c>
      <c r="EZ38" s="53">
        <v>0</v>
      </c>
      <c r="FB38" s="53">
        <v>0</v>
      </c>
      <c r="FC38" s="53">
        <v>0</v>
      </c>
      <c r="FD38" s="53">
        <v>1</v>
      </c>
      <c r="FF38" t="str">
        <v>New Jersey</v>
      </c>
      <c r="FG38" s="127" t="str">
        <v>NJ-2027-05-Center</v>
      </c>
      <c r="FH38" s="89">
        <v>0</v>
      </c>
      <c r="FI38" s="89">
        <v>0</v>
      </c>
      <c r="FJ38" s="89">
        <v>0</v>
      </c>
      <c r="FK38" s="89">
        <v>0</v>
      </c>
      <c r="FL38" s="89">
        <v>0</v>
      </c>
      <c r="FM38" s="89">
        <v>0</v>
      </c>
      <c r="FN38" s="89">
        <v>0</v>
      </c>
      <c r="FO38" s="89">
        <v>0</v>
      </c>
      <c r="FP38" s="89">
        <v>0</v>
      </c>
      <c r="FQ38" s="89">
        <v>0</v>
      </c>
      <c r="FR38" s="89">
        <v>0</v>
      </c>
      <c r="FS38" s="89">
        <v>0</v>
      </c>
    </row>
    <row r="39" spans="1:175" x14ac:dyDescent="0.25">
      <c r="B39" s="85" t="s">
        <v>62</v>
      </c>
      <c r="C39" s="85" t="s">
        <v>68</v>
      </c>
      <c r="D39" s="85" t="s">
        <v>310</v>
      </c>
      <c r="E39" s="85" t="s">
        <v>311</v>
      </c>
      <c r="G39" t="str">
        <v>JV1</v>
      </c>
      <c r="H39" t="str">
        <v>Remote</v>
      </c>
      <c r="I39" t="str">
        <v>New Jersey</v>
      </c>
      <c r="J39" s="53">
        <v>0</v>
      </c>
      <c r="K39" s="53">
        <v>0</v>
      </c>
      <c r="L39" s="53">
        <v>2323.1999999999998</v>
      </c>
      <c r="N39" s="53">
        <v>0</v>
      </c>
      <c r="O39" s="53">
        <v>0</v>
      </c>
      <c r="P39" s="53">
        <v>5.42</v>
      </c>
      <c r="R39" s="53">
        <v>0</v>
      </c>
      <c r="S39" s="53">
        <v>0</v>
      </c>
      <c r="T39" s="53">
        <v>1.1000000000000001</v>
      </c>
      <c r="V39" s="53">
        <v>0</v>
      </c>
      <c r="W39" s="53">
        <v>0</v>
      </c>
      <c r="X39" s="53">
        <v>7</v>
      </c>
      <c r="Z39" s="53">
        <v>0</v>
      </c>
      <c r="AA39" s="53">
        <v>0</v>
      </c>
      <c r="AB39" s="53">
        <v>3</v>
      </c>
      <c r="AD39" s="53">
        <v>0</v>
      </c>
      <c r="AE39" s="53">
        <v>0</v>
      </c>
      <c r="AF39" s="53">
        <v>12</v>
      </c>
      <c r="AH39" s="53">
        <v>0</v>
      </c>
      <c r="AI39" s="53">
        <v>0</v>
      </c>
      <c r="AJ39" s="53">
        <v>13.785714285714285</v>
      </c>
      <c r="AL39" s="53">
        <v>0</v>
      </c>
      <c r="AM39" s="53">
        <v>0</v>
      </c>
      <c r="AN39" s="53">
        <v>3.5</v>
      </c>
      <c r="AP39" s="53">
        <v>0</v>
      </c>
      <c r="AQ39" s="53">
        <v>0</v>
      </c>
      <c r="AR39" s="53">
        <v>15.5</v>
      </c>
      <c r="AT39" s="53">
        <v>0</v>
      </c>
      <c r="AU39" s="53">
        <v>0</v>
      </c>
      <c r="AV39" s="53">
        <v>0</v>
      </c>
      <c r="AX39" s="53">
        <v>0</v>
      </c>
      <c r="AY39" s="53">
        <v>0</v>
      </c>
      <c r="AZ39" s="53">
        <v>433181.15174999996</v>
      </c>
      <c r="BB39" s="53">
        <v>0</v>
      </c>
      <c r="BC39" s="53">
        <v>0</v>
      </c>
      <c r="BD39" s="53">
        <v>381199.41353999998</v>
      </c>
      <c r="BF39" s="53">
        <v>0</v>
      </c>
      <c r="BG39" s="53">
        <v>0</v>
      </c>
      <c r="BH39" s="53">
        <v>-51981.738209999996</v>
      </c>
      <c r="BJ39" s="53">
        <v>0</v>
      </c>
      <c r="BK39" s="53">
        <v>0</v>
      </c>
      <c r="BL39" s="53">
        <v>366930.85649999999</v>
      </c>
      <c r="BN39" s="53">
        <v>0</v>
      </c>
      <c r="BO39" s="53">
        <v>0</v>
      </c>
      <c r="BP39" s="53">
        <v>0</v>
      </c>
      <c r="BR39" s="53">
        <v>0</v>
      </c>
      <c r="BS39" s="53">
        <v>0</v>
      </c>
      <c r="BT39" s="53">
        <v>48908.380949999984</v>
      </c>
      <c r="BV39" s="53">
        <v>0</v>
      </c>
      <c r="BW39" s="53">
        <v>0</v>
      </c>
      <c r="BX39" s="53">
        <v>7524.3662999999997</v>
      </c>
      <c r="BZ39" s="53">
        <v>0</v>
      </c>
      <c r="CA39" s="53">
        <v>0</v>
      </c>
      <c r="CB39" s="53">
        <v>9817.5479999999989</v>
      </c>
      <c r="CD39" s="53">
        <v>0</v>
      </c>
      <c r="CE39" s="53">
        <v>0</v>
      </c>
      <c r="CF39" s="53">
        <v>0</v>
      </c>
      <c r="CH39" s="53">
        <v>0</v>
      </c>
      <c r="CI39" s="53">
        <v>0</v>
      </c>
      <c r="CJ39" s="53">
        <v>0</v>
      </c>
      <c r="CL39" s="53">
        <v>0</v>
      </c>
      <c r="CM39" s="53">
        <v>0</v>
      </c>
      <c r="CN39" s="53">
        <v>0</v>
      </c>
      <c r="CP39" s="53">
        <v>0</v>
      </c>
      <c r="CQ39" s="53">
        <v>0</v>
      </c>
      <c r="CR39" s="53">
        <v>0</v>
      </c>
      <c r="CT39" s="53">
        <v>0</v>
      </c>
      <c r="CU39" s="53">
        <v>0</v>
      </c>
      <c r="CV39" s="53">
        <v>0</v>
      </c>
      <c r="CX39" s="53">
        <v>0</v>
      </c>
      <c r="CY39" s="53">
        <v>0</v>
      </c>
      <c r="CZ39" s="53">
        <v>268239.86115427385</v>
      </c>
      <c r="DB39" s="53">
        <v>0</v>
      </c>
      <c r="DC39" s="53">
        <v>0</v>
      </c>
      <c r="DD39" s="53">
        <v>0</v>
      </c>
      <c r="DF39" s="53">
        <v>0</v>
      </c>
      <c r="DG39" s="53">
        <v>0</v>
      </c>
      <c r="DH39" s="53">
        <v>0</v>
      </c>
      <c r="DJ39" s="53">
        <v>0</v>
      </c>
      <c r="DK39" s="53">
        <v>0</v>
      </c>
      <c r="DL39" s="53">
        <v>6250.0483136000003</v>
      </c>
      <c r="DN39" s="53">
        <v>0</v>
      </c>
      <c r="DO39" s="53">
        <v>0</v>
      </c>
      <c r="DP39" s="53">
        <v>0</v>
      </c>
      <c r="DR39" s="53">
        <v>0</v>
      </c>
      <c r="DS39" s="53">
        <v>0</v>
      </c>
      <c r="DT39" s="53">
        <v>31550.13</v>
      </c>
      <c r="DV39" s="53">
        <v>0</v>
      </c>
      <c r="DW39" s="53">
        <v>0</v>
      </c>
      <c r="DX39" s="53">
        <v>0</v>
      </c>
      <c r="DZ39" s="53">
        <v>0</v>
      </c>
      <c r="EA39" s="53">
        <v>0</v>
      </c>
      <c r="EB39" s="53">
        <v>0</v>
      </c>
      <c r="ED39" s="53">
        <v>0</v>
      </c>
      <c r="EE39" s="53">
        <v>0</v>
      </c>
      <c r="EF39" s="53">
        <v>29672.489655151607</v>
      </c>
      <c r="EH39" s="53">
        <v>0</v>
      </c>
      <c r="EI39" s="53">
        <v>0</v>
      </c>
      <c r="EJ39" s="53">
        <v>0</v>
      </c>
      <c r="EL39" s="53">
        <v>0</v>
      </c>
      <c r="EM39" s="53">
        <v>0</v>
      </c>
      <c r="EN39" s="53">
        <v>-5082.6588471999985</v>
      </c>
      <c r="EP39" s="53">
        <v>0</v>
      </c>
      <c r="EQ39" s="53">
        <v>0</v>
      </c>
      <c r="ER39" s="53">
        <v>6599.5158901612122</v>
      </c>
      <c r="ET39" s="53">
        <v>0</v>
      </c>
      <c r="EU39" s="53">
        <v>0</v>
      </c>
      <c r="EV39" s="53">
        <v>0</v>
      </c>
      <c r="EX39" s="53">
        <v>0</v>
      </c>
      <c r="EY39" s="53">
        <v>0</v>
      </c>
      <c r="EZ39" s="53">
        <v>0</v>
      </c>
      <c r="FB39" s="53">
        <v>0</v>
      </c>
      <c r="FC39" s="53">
        <v>0</v>
      </c>
      <c r="FD39" s="53">
        <v>0</v>
      </c>
      <c r="FF39" t="str">
        <v>New Jersey</v>
      </c>
      <c r="FG39" s="127" t="str">
        <v>NJ-2028-01-Center</v>
      </c>
      <c r="FH39" s="89">
        <v>0</v>
      </c>
      <c r="FI39" s="89">
        <v>0</v>
      </c>
      <c r="FJ39" s="89">
        <v>0</v>
      </c>
      <c r="FK39" s="89">
        <v>0</v>
      </c>
      <c r="FL39" s="89">
        <v>0</v>
      </c>
      <c r="FM39" s="89">
        <v>0</v>
      </c>
      <c r="FN39" s="89">
        <v>0</v>
      </c>
      <c r="FO39" s="89">
        <v>0</v>
      </c>
      <c r="FP39" s="89">
        <v>0</v>
      </c>
      <c r="FQ39" s="89">
        <v>0</v>
      </c>
      <c r="FR39" s="89">
        <v>0</v>
      </c>
      <c r="FS39" s="89">
        <v>0</v>
      </c>
    </row>
    <row r="40" spans="1:175" x14ac:dyDescent="0.25">
      <c r="B40" t="str" cm="1">
        <f t="array" ref="B40:E58">_xlfn.LET(_xlpm.builds,_xlfn.CHOOSECOLS(TRANSPOSE(_xlfn._TRO_TRAILING(Base!$2:$5)),{1,3,4}),_xlpm.Centers,_xlfn._xlws.FILTER(_xlpm.builds,ISNUMBER(SEARCH("Remote",_xlfn.CHOOSECOLS(_xlpm.builds,2))),""),
_xlpm.data,_xlfn.HSTACK(_xlfn.CHOOSECOLS(_xlpm.Centers,1,2),YEAR(_xlfn.CHOOSECOLS(_xlpm.Centers,3)),MONTH(_xlfn.CHOOSECOLS(_xlpm.Centers,3))),
_xlfn._xlws.SORT(_xlfn._xlws.SORT(_xlfn._xlws.SORT(_xlpm.data,4),3),1))</f>
        <v>Arizona</v>
      </c>
      <c r="C40" s="116" t="str">
        <v>AZB1-Remote</v>
      </c>
      <c r="D40" s="3">
        <v>2023</v>
      </c>
      <c r="E40">
        <v>1</v>
      </c>
      <c r="G40" t="str">
        <v>JV1</v>
      </c>
      <c r="H40" t="str">
        <v>Center</v>
      </c>
      <c r="I40" t="str">
        <v>New Jersey</v>
      </c>
      <c r="J40" s="53">
        <v>0</v>
      </c>
      <c r="K40" s="53">
        <v>0</v>
      </c>
      <c r="L40" s="53">
        <v>4725.5999999999995</v>
      </c>
      <c r="N40" s="53">
        <v>0</v>
      </c>
      <c r="O40" s="53">
        <v>0</v>
      </c>
      <c r="P40" s="53">
        <v>14.12</v>
      </c>
      <c r="R40" s="53">
        <v>0</v>
      </c>
      <c r="S40" s="53">
        <v>0</v>
      </c>
      <c r="T40" s="53">
        <v>2.15</v>
      </c>
      <c r="V40" s="53">
        <v>0</v>
      </c>
      <c r="W40" s="53">
        <v>0</v>
      </c>
      <c r="X40" s="53">
        <v>16</v>
      </c>
      <c r="Z40" s="53">
        <v>0</v>
      </c>
      <c r="AA40" s="53">
        <v>0</v>
      </c>
      <c r="AB40" s="53">
        <v>6</v>
      </c>
      <c r="AD40" s="53">
        <v>0</v>
      </c>
      <c r="AE40" s="53">
        <v>0</v>
      </c>
      <c r="AF40" s="53">
        <v>15</v>
      </c>
      <c r="AH40" s="53">
        <v>0</v>
      </c>
      <c r="AI40" s="53">
        <v>0</v>
      </c>
      <c r="AJ40" s="53">
        <v>13.666666666666666</v>
      </c>
      <c r="AL40" s="53">
        <v>0</v>
      </c>
      <c r="AM40" s="53">
        <v>0</v>
      </c>
      <c r="AN40" s="53">
        <v>1.6666666666666665</v>
      </c>
      <c r="AP40" s="53">
        <v>0</v>
      </c>
      <c r="AQ40" s="53">
        <v>0</v>
      </c>
      <c r="AR40" s="53">
        <v>16.666666666666668</v>
      </c>
      <c r="AT40" s="53">
        <v>0</v>
      </c>
      <c r="AU40" s="53">
        <v>0</v>
      </c>
      <c r="AV40" s="53">
        <v>1411000</v>
      </c>
      <c r="AX40" s="53">
        <v>0</v>
      </c>
      <c r="AY40" s="53">
        <v>0</v>
      </c>
      <c r="AZ40" s="53">
        <v>858271.54019999993</v>
      </c>
      <c r="BB40" s="53">
        <v>0</v>
      </c>
      <c r="BC40" s="53">
        <v>0</v>
      </c>
      <c r="BD40" s="53">
        <v>831551.65360933333</v>
      </c>
      <c r="BF40" s="53">
        <v>0</v>
      </c>
      <c r="BG40" s="53">
        <v>0</v>
      </c>
      <c r="BH40" s="53">
        <v>-119005.88667399998</v>
      </c>
      <c r="BJ40" s="53">
        <v>0</v>
      </c>
      <c r="BK40" s="53">
        <v>0</v>
      </c>
      <c r="BL40" s="53">
        <v>701954.68200000003</v>
      </c>
      <c r="BN40" s="53">
        <v>0</v>
      </c>
      <c r="BO40" s="53">
        <v>0</v>
      </c>
      <c r="BP40" s="53">
        <v>41158.182000000001</v>
      </c>
      <c r="BR40" s="53">
        <v>0</v>
      </c>
      <c r="BS40" s="53">
        <v>0</v>
      </c>
      <c r="BT40" s="53">
        <v>97816.761899999969</v>
      </c>
      <c r="BV40" s="53">
        <v>0</v>
      </c>
      <c r="BW40" s="53">
        <v>0</v>
      </c>
      <c r="BX40" s="53">
        <v>7524.3662999999997</v>
      </c>
      <c r="BZ40" s="53">
        <v>0</v>
      </c>
      <c r="CA40" s="53">
        <v>0</v>
      </c>
      <c r="CB40" s="53">
        <v>9817.5479999999989</v>
      </c>
      <c r="CD40" s="53">
        <v>0</v>
      </c>
      <c r="CE40" s="53">
        <v>0</v>
      </c>
      <c r="CF40" s="53">
        <v>32686.386022118393</v>
      </c>
      <c r="CH40" s="53">
        <v>0</v>
      </c>
      <c r="CI40" s="53">
        <v>0</v>
      </c>
      <c r="CJ40" s="53">
        <v>4367.5539798528007</v>
      </c>
      <c r="CL40" s="53">
        <v>0</v>
      </c>
      <c r="CM40" s="53">
        <v>0</v>
      </c>
      <c r="CN40" s="53">
        <v>133444.18208333332</v>
      </c>
      <c r="CP40" s="53">
        <v>0</v>
      </c>
      <c r="CQ40" s="53">
        <v>0</v>
      </c>
      <c r="CR40" s="53">
        <v>26562.111372825599</v>
      </c>
      <c r="CT40" s="53">
        <v>0</v>
      </c>
      <c r="CU40" s="53">
        <v>0</v>
      </c>
      <c r="CV40" s="53">
        <v>0</v>
      </c>
      <c r="CX40" s="53">
        <v>0</v>
      </c>
      <c r="CY40" s="53">
        <v>0</v>
      </c>
      <c r="CZ40" s="53">
        <v>554159.97118465975</v>
      </c>
      <c r="DB40" s="53">
        <v>0</v>
      </c>
      <c r="DC40" s="53">
        <v>0</v>
      </c>
      <c r="DD40" s="53">
        <v>79567.5</v>
      </c>
      <c r="DF40" s="53">
        <v>0</v>
      </c>
      <c r="DG40" s="53">
        <v>0</v>
      </c>
      <c r="DH40" s="53">
        <v>41641.600000000006</v>
      </c>
      <c r="DJ40" s="53">
        <v>0</v>
      </c>
      <c r="DK40" s="53">
        <v>0</v>
      </c>
      <c r="DL40" s="53">
        <v>4759.5120102400006</v>
      </c>
      <c r="DN40" s="53">
        <v>0</v>
      </c>
      <c r="DO40" s="53">
        <v>0</v>
      </c>
      <c r="DP40" s="53">
        <v>33813</v>
      </c>
      <c r="DR40" s="53">
        <v>0</v>
      </c>
      <c r="DS40" s="53">
        <v>0</v>
      </c>
      <c r="DT40" s="53">
        <v>34111.074599999993</v>
      </c>
      <c r="DV40" s="53">
        <v>0</v>
      </c>
      <c r="DW40" s="53">
        <v>0</v>
      </c>
      <c r="DX40" s="53">
        <v>33075</v>
      </c>
      <c r="DZ40" s="53">
        <v>0</v>
      </c>
      <c r="EA40" s="53">
        <v>0</v>
      </c>
      <c r="EB40" s="53">
        <v>151234.47</v>
      </c>
      <c r="ED40" s="53">
        <v>0</v>
      </c>
      <c r="EE40" s="53">
        <v>0</v>
      </c>
      <c r="EF40" s="53">
        <v>64248.0347192716</v>
      </c>
      <c r="EH40" s="53">
        <v>0</v>
      </c>
      <c r="EI40" s="53">
        <v>0</v>
      </c>
      <c r="EJ40" s="53">
        <v>0</v>
      </c>
      <c r="EL40" s="53">
        <v>0</v>
      </c>
      <c r="EM40" s="53">
        <v>0</v>
      </c>
      <c r="EN40" s="53">
        <v>-115623.99534040532</v>
      </c>
      <c r="EP40" s="53">
        <v>0</v>
      </c>
      <c r="EQ40" s="53">
        <v>0</v>
      </c>
      <c r="ER40" s="53">
        <v>13424.01527657792</v>
      </c>
      <c r="ET40" s="53">
        <v>0</v>
      </c>
      <c r="EU40" s="53">
        <v>0</v>
      </c>
      <c r="EV40" s="53">
        <v>0</v>
      </c>
      <c r="EX40" s="53">
        <v>0</v>
      </c>
      <c r="EY40" s="53">
        <v>0</v>
      </c>
      <c r="EZ40" s="53">
        <v>0</v>
      </c>
      <c r="FB40" s="53">
        <v>0</v>
      </c>
      <c r="FC40" s="53">
        <v>0</v>
      </c>
      <c r="FD40" s="53">
        <v>1</v>
      </c>
      <c r="FF40" t="str">
        <v>New Jersey</v>
      </c>
      <c r="FG40" s="127" t="str">
        <v>NJ-2028-01-Remote</v>
      </c>
      <c r="FH40" s="89">
        <v>0</v>
      </c>
      <c r="FI40" s="89">
        <v>0</v>
      </c>
      <c r="FJ40" s="89">
        <v>0</v>
      </c>
      <c r="FK40" s="89">
        <v>0</v>
      </c>
      <c r="FL40" s="89">
        <v>0</v>
      </c>
      <c r="FM40" s="89">
        <v>0</v>
      </c>
      <c r="FN40" s="89">
        <v>0</v>
      </c>
      <c r="FO40" s="89">
        <v>0</v>
      </c>
      <c r="FP40" s="89">
        <v>0</v>
      </c>
      <c r="FQ40" s="89">
        <v>0</v>
      </c>
      <c r="FR40" s="89">
        <v>0</v>
      </c>
      <c r="FS40" s="89">
        <v>0</v>
      </c>
    </row>
    <row r="41" spans="1:175" x14ac:dyDescent="0.25">
      <c r="B41" t="str">
        <v>Arizona</v>
      </c>
      <c r="C41" s="116" t="str">
        <v>AZB2-Remote</v>
      </c>
      <c r="D41" s="3">
        <v>2026</v>
      </c>
      <c r="E41">
        <v>1</v>
      </c>
      <c r="G41" t="str">
        <v>JV1</v>
      </c>
      <c r="H41" t="str">
        <v>Remote</v>
      </c>
      <c r="I41" t="str">
        <v>New Jersey</v>
      </c>
      <c r="J41" s="53">
        <v>0</v>
      </c>
      <c r="K41" s="53">
        <v>0</v>
      </c>
      <c r="L41" s="53">
        <v>774.4</v>
      </c>
      <c r="N41" s="53">
        <v>0</v>
      </c>
      <c r="O41" s="53">
        <v>0</v>
      </c>
      <c r="P41" s="53">
        <v>2.71</v>
      </c>
      <c r="R41" s="53">
        <v>0</v>
      </c>
      <c r="S41" s="53">
        <v>0</v>
      </c>
      <c r="T41" s="53">
        <v>0.55000000000000004</v>
      </c>
      <c r="V41" s="53">
        <v>0</v>
      </c>
      <c r="W41" s="53">
        <v>0</v>
      </c>
      <c r="X41" s="53">
        <v>3</v>
      </c>
      <c r="Z41" s="53">
        <v>0</v>
      </c>
      <c r="AA41" s="53">
        <v>0</v>
      </c>
      <c r="AB41" s="53">
        <v>3</v>
      </c>
      <c r="AD41" s="53">
        <v>0</v>
      </c>
      <c r="AE41" s="53">
        <v>0</v>
      </c>
      <c r="AF41" s="53">
        <v>6</v>
      </c>
      <c r="AH41" s="53">
        <v>0</v>
      </c>
      <c r="AI41" s="53">
        <v>0</v>
      </c>
      <c r="AJ41" s="53">
        <v>6.1428571428571423</v>
      </c>
      <c r="AL41" s="53">
        <v>0</v>
      </c>
      <c r="AM41" s="53">
        <v>0</v>
      </c>
      <c r="AN41" s="53">
        <v>1</v>
      </c>
      <c r="AP41" s="53">
        <v>0</v>
      </c>
      <c r="AQ41" s="53">
        <v>0</v>
      </c>
      <c r="AR41" s="53">
        <v>7</v>
      </c>
      <c r="AT41" s="53">
        <v>0</v>
      </c>
      <c r="AU41" s="53">
        <v>0</v>
      </c>
      <c r="AV41" s="53">
        <v>0</v>
      </c>
      <c r="AX41" s="53">
        <v>0</v>
      </c>
      <c r="AY41" s="53">
        <v>0</v>
      </c>
      <c r="AZ41" s="53">
        <v>144393.71724999999</v>
      </c>
      <c r="BB41" s="53">
        <v>0</v>
      </c>
      <c r="BC41" s="53">
        <v>0</v>
      </c>
      <c r="BD41" s="53">
        <v>127066.47117999998</v>
      </c>
      <c r="BF41" s="53">
        <v>0</v>
      </c>
      <c r="BG41" s="53">
        <v>0</v>
      </c>
      <c r="BH41" s="53">
        <v>-17327.246069999994</v>
      </c>
      <c r="BJ41" s="53">
        <v>0</v>
      </c>
      <c r="BK41" s="53">
        <v>0</v>
      </c>
      <c r="BL41" s="53">
        <v>122310.28549999998</v>
      </c>
      <c r="BN41" s="53">
        <v>0</v>
      </c>
      <c r="BO41" s="53">
        <v>0</v>
      </c>
      <c r="BP41" s="53">
        <v>0</v>
      </c>
      <c r="BR41" s="53">
        <v>0</v>
      </c>
      <c r="BS41" s="53">
        <v>0</v>
      </c>
      <c r="BT41" s="53">
        <v>16302.793649999994</v>
      </c>
      <c r="BV41" s="53">
        <v>0</v>
      </c>
      <c r="BW41" s="53">
        <v>0</v>
      </c>
      <c r="BX41" s="53">
        <v>2508.1220999999996</v>
      </c>
      <c r="BZ41" s="53">
        <v>0</v>
      </c>
      <c r="CA41" s="53">
        <v>0</v>
      </c>
      <c r="CB41" s="53">
        <v>3272.5159999999996</v>
      </c>
      <c r="CD41" s="53">
        <v>0</v>
      </c>
      <c r="CE41" s="53">
        <v>0</v>
      </c>
      <c r="CF41" s="53">
        <v>0</v>
      </c>
      <c r="CH41" s="53">
        <v>0</v>
      </c>
      <c r="CI41" s="53">
        <v>0</v>
      </c>
      <c r="CJ41" s="53">
        <v>0</v>
      </c>
      <c r="CL41" s="53">
        <v>0</v>
      </c>
      <c r="CM41" s="53">
        <v>0</v>
      </c>
      <c r="CN41" s="53">
        <v>0</v>
      </c>
      <c r="CP41" s="53">
        <v>0</v>
      </c>
      <c r="CQ41" s="53">
        <v>0</v>
      </c>
      <c r="CR41" s="53">
        <v>0</v>
      </c>
      <c r="CT41" s="53">
        <v>0</v>
      </c>
      <c r="CU41" s="53">
        <v>0</v>
      </c>
      <c r="CV41" s="53">
        <v>0</v>
      </c>
      <c r="CX41" s="53">
        <v>0</v>
      </c>
      <c r="CY41" s="53">
        <v>0</v>
      </c>
      <c r="CZ41" s="53">
        <v>120299.22745053575</v>
      </c>
      <c r="DB41" s="53">
        <v>0</v>
      </c>
      <c r="DC41" s="53">
        <v>0</v>
      </c>
      <c r="DD41" s="53">
        <v>0</v>
      </c>
      <c r="DF41" s="53">
        <v>0</v>
      </c>
      <c r="DG41" s="53">
        <v>0</v>
      </c>
      <c r="DH41" s="53">
        <v>0</v>
      </c>
      <c r="DJ41" s="53">
        <v>0</v>
      </c>
      <c r="DK41" s="53">
        <v>0</v>
      </c>
      <c r="DL41" s="53">
        <v>3199.7331891200001</v>
      </c>
      <c r="DN41" s="53">
        <v>0</v>
      </c>
      <c r="DO41" s="53">
        <v>0</v>
      </c>
      <c r="DP41" s="53">
        <v>0</v>
      </c>
      <c r="DR41" s="53">
        <v>0</v>
      </c>
      <c r="DS41" s="53">
        <v>0</v>
      </c>
      <c r="DT41" s="53">
        <v>14482.368</v>
      </c>
      <c r="DV41" s="53">
        <v>0</v>
      </c>
      <c r="DW41" s="53">
        <v>0</v>
      </c>
      <c r="DX41" s="53">
        <v>0</v>
      </c>
      <c r="DZ41" s="53">
        <v>0</v>
      </c>
      <c r="EA41" s="53">
        <v>0</v>
      </c>
      <c r="EB41" s="53">
        <v>0</v>
      </c>
      <c r="ED41" s="53">
        <v>0</v>
      </c>
      <c r="EE41" s="53">
        <v>0</v>
      </c>
      <c r="EF41" s="53">
        <v>9742.0724945933543</v>
      </c>
      <c r="EH41" s="53">
        <v>0</v>
      </c>
      <c r="EI41" s="53">
        <v>0</v>
      </c>
      <c r="EJ41" s="53">
        <v>0</v>
      </c>
      <c r="EL41" s="53">
        <v>0</v>
      </c>
      <c r="EM41" s="53">
        <v>0</v>
      </c>
      <c r="EN41" s="53">
        <v>0</v>
      </c>
      <c r="EP41" s="53">
        <v>0</v>
      </c>
      <c r="EQ41" s="53">
        <v>0</v>
      </c>
      <c r="ER41" s="53">
        <v>2199.8386300537372</v>
      </c>
      <c r="ET41" s="53">
        <v>0</v>
      </c>
      <c r="EU41" s="53">
        <v>0</v>
      </c>
      <c r="EV41" s="53">
        <v>0</v>
      </c>
      <c r="EX41" s="53">
        <v>0</v>
      </c>
      <c r="EY41" s="53">
        <v>0</v>
      </c>
      <c r="EZ41" s="53">
        <v>0</v>
      </c>
      <c r="FB41" s="53">
        <v>0</v>
      </c>
      <c r="FC41" s="53">
        <v>0</v>
      </c>
      <c r="FD41" s="53">
        <v>0</v>
      </c>
      <c r="FF41" t="str">
        <v>New Jersey</v>
      </c>
      <c r="FG41" s="127" t="str">
        <v>NJ-2028-02-Center</v>
      </c>
      <c r="FH41" s="89">
        <v>0</v>
      </c>
      <c r="FI41" s="89">
        <v>0</v>
      </c>
      <c r="FJ41" s="89">
        <v>0</v>
      </c>
      <c r="FK41" s="89">
        <v>0</v>
      </c>
      <c r="FL41" s="89">
        <v>0</v>
      </c>
      <c r="FM41" s="89">
        <v>0</v>
      </c>
      <c r="FN41" s="89">
        <v>0</v>
      </c>
      <c r="FO41" s="89">
        <v>0</v>
      </c>
      <c r="FP41" s="89">
        <v>0</v>
      </c>
      <c r="FQ41" s="89">
        <v>0</v>
      </c>
      <c r="FR41" s="89">
        <v>0</v>
      </c>
      <c r="FS41" s="89">
        <v>0</v>
      </c>
    </row>
    <row r="42" spans="1:175" x14ac:dyDescent="0.25">
      <c r="B42" t="str">
        <v>Arizona</v>
      </c>
      <c r="C42" s="116" t="str">
        <v>AZB3-Remote</v>
      </c>
      <c r="D42" s="3">
        <v>2027</v>
      </c>
      <c r="E42">
        <v>1</v>
      </c>
      <c r="G42" t="str">
        <v>JV1</v>
      </c>
      <c r="H42" t="str">
        <v>Center</v>
      </c>
      <c r="I42" t="str">
        <v>New Jersey</v>
      </c>
      <c r="J42" s="53">
        <v>0</v>
      </c>
      <c r="K42" s="53">
        <v>0</v>
      </c>
      <c r="L42" s="53">
        <v>3150.3999999999996</v>
      </c>
      <c r="N42" s="53">
        <v>0</v>
      </c>
      <c r="O42" s="53">
        <v>0</v>
      </c>
      <c r="P42" s="53">
        <v>11.299999999999999</v>
      </c>
      <c r="R42" s="53">
        <v>0</v>
      </c>
      <c r="S42" s="53">
        <v>0</v>
      </c>
      <c r="T42" s="53">
        <v>1.72</v>
      </c>
      <c r="V42" s="53">
        <v>0</v>
      </c>
      <c r="W42" s="53">
        <v>0</v>
      </c>
      <c r="X42" s="53">
        <v>13</v>
      </c>
      <c r="Z42" s="53">
        <v>0</v>
      </c>
      <c r="AA42" s="53">
        <v>0</v>
      </c>
      <c r="AB42" s="53">
        <v>5</v>
      </c>
      <c r="AD42" s="53">
        <v>0</v>
      </c>
      <c r="AE42" s="53">
        <v>0</v>
      </c>
      <c r="AF42" s="53">
        <v>12</v>
      </c>
      <c r="AH42" s="53">
        <v>0</v>
      </c>
      <c r="AI42" s="53">
        <v>0</v>
      </c>
      <c r="AJ42" s="53">
        <v>10</v>
      </c>
      <c r="AL42" s="53">
        <v>0</v>
      </c>
      <c r="AM42" s="53">
        <v>0</v>
      </c>
      <c r="AN42" s="53">
        <v>1</v>
      </c>
      <c r="AP42" s="53">
        <v>0</v>
      </c>
      <c r="AQ42" s="53">
        <v>0</v>
      </c>
      <c r="AR42" s="53">
        <v>13</v>
      </c>
      <c r="AT42" s="53">
        <v>0</v>
      </c>
      <c r="AU42" s="53">
        <v>0</v>
      </c>
      <c r="AV42" s="53">
        <v>1411000</v>
      </c>
      <c r="AX42" s="53">
        <v>0</v>
      </c>
      <c r="AY42" s="53">
        <v>0</v>
      </c>
      <c r="AZ42" s="53">
        <v>572181.02679999999</v>
      </c>
      <c r="BB42" s="53">
        <v>0</v>
      </c>
      <c r="BC42" s="53">
        <v>0</v>
      </c>
      <c r="BD42" s="53">
        <v>570025.21977066668</v>
      </c>
      <c r="BF42" s="53">
        <v>0</v>
      </c>
      <c r="BG42" s="53">
        <v>0</v>
      </c>
      <c r="BH42" s="53">
        <v>-81472.36469599999</v>
      </c>
      <c r="BJ42" s="53">
        <v>0</v>
      </c>
      <c r="BK42" s="53">
        <v>0</v>
      </c>
      <c r="BL42" s="53">
        <v>467969.78800000006</v>
      </c>
      <c r="BN42" s="53">
        <v>0</v>
      </c>
      <c r="BO42" s="53">
        <v>0</v>
      </c>
      <c r="BP42" s="53">
        <v>27438.788</v>
      </c>
      <c r="BR42" s="53">
        <v>0</v>
      </c>
      <c r="BS42" s="53">
        <v>0</v>
      </c>
      <c r="BT42" s="53">
        <v>65211.174599999977</v>
      </c>
      <c r="BV42" s="53">
        <v>0</v>
      </c>
      <c r="BW42" s="53">
        <v>0</v>
      </c>
      <c r="BX42" s="53">
        <v>5016.2441999999992</v>
      </c>
      <c r="BZ42" s="53">
        <v>0</v>
      </c>
      <c r="CA42" s="53">
        <v>0</v>
      </c>
      <c r="CB42" s="53">
        <v>6545.0319999999992</v>
      </c>
      <c r="CD42" s="53">
        <v>0</v>
      </c>
      <c r="CE42" s="53">
        <v>0</v>
      </c>
      <c r="CF42" s="53">
        <v>21790.924014745593</v>
      </c>
      <c r="CH42" s="53">
        <v>0</v>
      </c>
      <c r="CI42" s="53">
        <v>0</v>
      </c>
      <c r="CJ42" s="53">
        <v>2911.7026532352006</v>
      </c>
      <c r="CL42" s="53">
        <v>0</v>
      </c>
      <c r="CM42" s="53">
        <v>0</v>
      </c>
      <c r="CN42" s="53">
        <v>106755.34566666665</v>
      </c>
      <c r="CP42" s="53">
        <v>0</v>
      </c>
      <c r="CQ42" s="53">
        <v>0</v>
      </c>
      <c r="CR42" s="53">
        <v>17708.074248550398</v>
      </c>
      <c r="CT42" s="53">
        <v>0</v>
      </c>
      <c r="CU42" s="53">
        <v>0</v>
      </c>
      <c r="CV42" s="53">
        <v>0</v>
      </c>
      <c r="CX42" s="53">
        <v>0</v>
      </c>
      <c r="CY42" s="53">
        <v>0</v>
      </c>
      <c r="CZ42" s="53">
        <v>393520.77868843981</v>
      </c>
      <c r="DB42" s="53">
        <v>0</v>
      </c>
      <c r="DC42" s="53">
        <v>0</v>
      </c>
      <c r="DD42" s="53">
        <v>63654</v>
      </c>
      <c r="DF42" s="53">
        <v>0</v>
      </c>
      <c r="DG42" s="53">
        <v>0</v>
      </c>
      <c r="DH42" s="53">
        <v>33313.280000000006</v>
      </c>
      <c r="DJ42" s="53">
        <v>0</v>
      </c>
      <c r="DK42" s="53">
        <v>0</v>
      </c>
      <c r="DL42" s="53">
        <v>3618.8326387200004</v>
      </c>
      <c r="DN42" s="53">
        <v>0</v>
      </c>
      <c r="DO42" s="53">
        <v>0</v>
      </c>
      <c r="DP42" s="53">
        <v>27050.400000000001</v>
      </c>
      <c r="DR42" s="53">
        <v>0</v>
      </c>
      <c r="DS42" s="53">
        <v>0</v>
      </c>
      <c r="DT42" s="53">
        <v>24513.384599999998</v>
      </c>
      <c r="DV42" s="53">
        <v>0</v>
      </c>
      <c r="DW42" s="53">
        <v>0</v>
      </c>
      <c r="DX42" s="53">
        <v>26460</v>
      </c>
      <c r="DZ42" s="53">
        <v>0</v>
      </c>
      <c r="EA42" s="53">
        <v>0</v>
      </c>
      <c r="EB42" s="53">
        <v>151234.47</v>
      </c>
      <c r="ED42" s="53">
        <v>0</v>
      </c>
      <c r="EE42" s="53">
        <v>0</v>
      </c>
      <c r="EF42" s="53">
        <v>43804.882974587134</v>
      </c>
      <c r="EH42" s="53">
        <v>0</v>
      </c>
      <c r="EI42" s="53">
        <v>0</v>
      </c>
      <c r="EJ42" s="53">
        <v>0</v>
      </c>
      <c r="EL42" s="53">
        <v>0</v>
      </c>
      <c r="EM42" s="53">
        <v>0</v>
      </c>
      <c r="EN42" s="53">
        <v>-55904.497110541342</v>
      </c>
      <c r="EP42" s="53">
        <v>0</v>
      </c>
      <c r="EQ42" s="53">
        <v>0</v>
      </c>
      <c r="ER42" s="53">
        <v>8949.3435177186129</v>
      </c>
      <c r="ET42" s="53">
        <v>0</v>
      </c>
      <c r="EU42" s="53">
        <v>0</v>
      </c>
      <c r="EV42" s="53">
        <v>0</v>
      </c>
      <c r="EX42" s="53">
        <v>0</v>
      </c>
      <c r="EY42" s="53">
        <v>0</v>
      </c>
      <c r="EZ42" s="53">
        <v>0</v>
      </c>
      <c r="FB42" s="53">
        <v>0</v>
      </c>
      <c r="FC42" s="53">
        <v>0</v>
      </c>
      <c r="FD42" s="53">
        <v>1</v>
      </c>
      <c r="FF42" t="str">
        <v>New Jersey</v>
      </c>
      <c r="FG42" s="127" t="str">
        <v>NJ-2028-02-Remote</v>
      </c>
      <c r="FH42" s="89">
        <v>0</v>
      </c>
      <c r="FI42" s="89">
        <v>0</v>
      </c>
      <c r="FJ42" s="89">
        <v>0</v>
      </c>
      <c r="FK42" s="89">
        <v>0</v>
      </c>
      <c r="FL42" s="89">
        <v>0</v>
      </c>
      <c r="FM42" s="89">
        <v>0</v>
      </c>
      <c r="FN42" s="89">
        <v>0</v>
      </c>
      <c r="FO42" s="89">
        <v>0</v>
      </c>
      <c r="FP42" s="89">
        <v>0</v>
      </c>
      <c r="FQ42" s="89">
        <v>0</v>
      </c>
      <c r="FR42" s="89">
        <v>0</v>
      </c>
      <c r="FS42" s="89">
        <v>0</v>
      </c>
    </row>
    <row r="43" spans="1:175" x14ac:dyDescent="0.25">
      <c r="B43" t="str">
        <v>Maryland</v>
      </c>
      <c r="C43" s="116" t="str">
        <v>MDB1-Remote</v>
      </c>
      <c r="D43" s="3">
        <v>2021</v>
      </c>
      <c r="E43">
        <v>1</v>
      </c>
      <c r="G43" t="str">
        <v>JV1</v>
      </c>
      <c r="H43" t="str">
        <v>Center</v>
      </c>
      <c r="I43" t="str">
        <v>New Jersey</v>
      </c>
      <c r="J43" s="53">
        <v>0</v>
      </c>
      <c r="K43" s="53">
        <v>0</v>
      </c>
      <c r="L43" s="53">
        <v>1890.2399999999998</v>
      </c>
      <c r="N43" s="53">
        <v>0</v>
      </c>
      <c r="O43" s="53">
        <v>0</v>
      </c>
      <c r="P43" s="53">
        <v>8.48</v>
      </c>
      <c r="R43" s="53">
        <v>0</v>
      </c>
      <c r="S43" s="53">
        <v>0</v>
      </c>
      <c r="T43" s="53">
        <v>1.29</v>
      </c>
      <c r="V43" s="53">
        <v>0</v>
      </c>
      <c r="W43" s="53">
        <v>0</v>
      </c>
      <c r="X43" s="53">
        <v>10</v>
      </c>
      <c r="Z43" s="53">
        <v>0</v>
      </c>
      <c r="AA43" s="53">
        <v>0</v>
      </c>
      <c r="AB43" s="53">
        <v>5</v>
      </c>
      <c r="AD43" s="53">
        <v>0</v>
      </c>
      <c r="AE43" s="53">
        <v>0</v>
      </c>
      <c r="AF43" s="53">
        <v>9</v>
      </c>
      <c r="AH43" s="53">
        <v>0</v>
      </c>
      <c r="AI43" s="53">
        <v>0</v>
      </c>
      <c r="AJ43" s="53">
        <v>6.5</v>
      </c>
      <c r="AL43" s="53">
        <v>0</v>
      </c>
      <c r="AM43" s="53">
        <v>0</v>
      </c>
      <c r="AN43" s="53">
        <v>0.5</v>
      </c>
      <c r="AP43" s="53">
        <v>0</v>
      </c>
      <c r="AQ43" s="53">
        <v>0</v>
      </c>
      <c r="AR43" s="53">
        <v>9.5</v>
      </c>
      <c r="AT43" s="53">
        <v>0</v>
      </c>
      <c r="AU43" s="53">
        <v>0</v>
      </c>
      <c r="AV43" s="53">
        <v>1175833.3333333333</v>
      </c>
      <c r="AX43" s="53">
        <v>0</v>
      </c>
      <c r="AY43" s="53">
        <v>0</v>
      </c>
      <c r="AZ43" s="53">
        <v>343308.61607999995</v>
      </c>
      <c r="BB43" s="53">
        <v>0</v>
      </c>
      <c r="BC43" s="53">
        <v>0</v>
      </c>
      <c r="BD43" s="53">
        <v>356106.83749040001</v>
      </c>
      <c r="BF43" s="53">
        <v>0</v>
      </c>
      <c r="BG43" s="53">
        <v>0</v>
      </c>
      <c r="BH43" s="53">
        <v>-50805.015039599995</v>
      </c>
      <c r="BJ43" s="53">
        <v>0</v>
      </c>
      <c r="BK43" s="53">
        <v>0</v>
      </c>
      <c r="BL43" s="53">
        <v>280781.87280000001</v>
      </c>
      <c r="BN43" s="53">
        <v>0</v>
      </c>
      <c r="BO43" s="53">
        <v>0</v>
      </c>
      <c r="BP43" s="53">
        <v>16463.272799999999</v>
      </c>
      <c r="BR43" s="53">
        <v>0</v>
      </c>
      <c r="BS43" s="53">
        <v>0</v>
      </c>
      <c r="BT43" s="53">
        <v>39126.704759999986</v>
      </c>
      <c r="BV43" s="53">
        <v>0</v>
      </c>
      <c r="BW43" s="53">
        <v>0</v>
      </c>
      <c r="BX43" s="53">
        <v>3009.7465199999997</v>
      </c>
      <c r="BZ43" s="53">
        <v>0</v>
      </c>
      <c r="CA43" s="53">
        <v>0</v>
      </c>
      <c r="CB43" s="53">
        <v>3927.0191999999997</v>
      </c>
      <c r="CD43" s="53">
        <v>0</v>
      </c>
      <c r="CE43" s="53">
        <v>0</v>
      </c>
      <c r="CF43" s="53">
        <v>13074.554408847354</v>
      </c>
      <c r="CH43" s="53">
        <v>0</v>
      </c>
      <c r="CI43" s="53">
        <v>0</v>
      </c>
      <c r="CJ43" s="53">
        <v>1747.0215919411203</v>
      </c>
      <c r="CL43" s="53">
        <v>0</v>
      </c>
      <c r="CM43" s="53">
        <v>0</v>
      </c>
      <c r="CN43" s="53">
        <v>80066.509249999988</v>
      </c>
      <c r="CP43" s="53">
        <v>0</v>
      </c>
      <c r="CQ43" s="53">
        <v>0</v>
      </c>
      <c r="CR43" s="53">
        <v>10624.844549130239</v>
      </c>
      <c r="CT43" s="53">
        <v>0</v>
      </c>
      <c r="CU43" s="53">
        <v>0</v>
      </c>
      <c r="CV43" s="53">
        <v>0</v>
      </c>
      <c r="CX43" s="53">
        <v>0</v>
      </c>
      <c r="CY43" s="53">
        <v>0</v>
      </c>
      <c r="CZ43" s="53">
        <v>256421.44381893057</v>
      </c>
      <c r="DB43" s="53">
        <v>0</v>
      </c>
      <c r="DC43" s="53">
        <v>0</v>
      </c>
      <c r="DD43" s="53">
        <v>47740.5</v>
      </c>
      <c r="DF43" s="53">
        <v>0</v>
      </c>
      <c r="DG43" s="53">
        <v>0</v>
      </c>
      <c r="DH43" s="53">
        <v>24984.960000000006</v>
      </c>
      <c r="DJ43" s="53">
        <v>0</v>
      </c>
      <c r="DK43" s="53">
        <v>0</v>
      </c>
      <c r="DL43" s="53">
        <v>2510.9523545600005</v>
      </c>
      <c r="DN43" s="53">
        <v>0</v>
      </c>
      <c r="DO43" s="53">
        <v>0</v>
      </c>
      <c r="DP43" s="53">
        <v>20287.800000000003</v>
      </c>
      <c r="DR43" s="53">
        <v>0</v>
      </c>
      <c r="DS43" s="53">
        <v>0</v>
      </c>
      <c r="DT43" s="53">
        <v>16241.164199999997</v>
      </c>
      <c r="DV43" s="53">
        <v>0</v>
      </c>
      <c r="DW43" s="53">
        <v>0</v>
      </c>
      <c r="DX43" s="53">
        <v>19845</v>
      </c>
      <c r="DZ43" s="53">
        <v>0</v>
      </c>
      <c r="EA43" s="53">
        <v>0</v>
      </c>
      <c r="EB43" s="53">
        <v>151234.47</v>
      </c>
      <c r="ED43" s="53">
        <v>0</v>
      </c>
      <c r="EE43" s="53">
        <v>0</v>
      </c>
      <c r="EF43" s="53">
        <v>27218.847982187821</v>
      </c>
      <c r="EH43" s="53">
        <v>0</v>
      </c>
      <c r="EI43" s="53">
        <v>0</v>
      </c>
      <c r="EJ43" s="53">
        <v>0</v>
      </c>
      <c r="EL43" s="53">
        <v>0</v>
      </c>
      <c r="EM43" s="53">
        <v>0</v>
      </c>
      <c r="EN43" s="53">
        <v>0</v>
      </c>
      <c r="EP43" s="53">
        <v>0</v>
      </c>
      <c r="EQ43" s="53">
        <v>0</v>
      </c>
      <c r="ER43" s="53">
        <v>5369.6061106311681</v>
      </c>
      <c r="ET43" s="53">
        <v>0</v>
      </c>
      <c r="EU43" s="53">
        <v>0</v>
      </c>
      <c r="EV43" s="53">
        <v>0</v>
      </c>
      <c r="EX43" s="53">
        <v>0</v>
      </c>
      <c r="EY43" s="53">
        <v>0</v>
      </c>
      <c r="EZ43" s="53">
        <v>0</v>
      </c>
      <c r="FB43" s="53">
        <v>0</v>
      </c>
      <c r="FC43" s="53">
        <v>0</v>
      </c>
      <c r="FD43" s="53">
        <v>1</v>
      </c>
      <c r="FF43" t="str">
        <v>New Jersey</v>
      </c>
      <c r="FG43" s="127" t="str">
        <v>NJ-2028-03-Center</v>
      </c>
      <c r="FH43" s="89">
        <v>0</v>
      </c>
      <c r="FI43" s="89">
        <v>0</v>
      </c>
      <c r="FJ43" s="89">
        <v>0</v>
      </c>
      <c r="FK43" s="89">
        <v>0</v>
      </c>
      <c r="FL43" s="89">
        <v>0</v>
      </c>
      <c r="FM43" s="89">
        <v>0</v>
      </c>
      <c r="FN43" s="89">
        <v>0</v>
      </c>
      <c r="FO43" s="89">
        <v>0</v>
      </c>
      <c r="FP43" s="89">
        <v>0</v>
      </c>
      <c r="FQ43" s="89">
        <v>0</v>
      </c>
      <c r="FR43" s="89">
        <v>0</v>
      </c>
      <c r="FS43" s="89">
        <v>0</v>
      </c>
    </row>
    <row r="44" spans="1:175" x14ac:dyDescent="0.25">
      <c r="B44" t="str">
        <v>Maryland</v>
      </c>
      <c r="C44" s="116" t="str">
        <v>MDB2-Remote</v>
      </c>
      <c r="D44" s="3">
        <v>2024</v>
      </c>
      <c r="E44">
        <v>8</v>
      </c>
      <c r="G44" t="str">
        <v>JV1</v>
      </c>
      <c r="H44" t="str">
        <v>Center</v>
      </c>
      <c r="I44" t="str">
        <v>New Jersey</v>
      </c>
      <c r="J44" s="53">
        <v>0</v>
      </c>
      <c r="K44" s="53">
        <v>0</v>
      </c>
      <c r="L44" s="53">
        <v>945.11999999999989</v>
      </c>
      <c r="N44" s="53">
        <v>0</v>
      </c>
      <c r="O44" s="53">
        <v>0</v>
      </c>
      <c r="P44" s="53">
        <v>5.6499999999999995</v>
      </c>
      <c r="R44" s="53">
        <v>0</v>
      </c>
      <c r="S44" s="53">
        <v>0</v>
      </c>
      <c r="T44" s="53">
        <v>0.86</v>
      </c>
      <c r="V44" s="53">
        <v>0</v>
      </c>
      <c r="W44" s="53">
        <v>0</v>
      </c>
      <c r="X44" s="53">
        <v>7</v>
      </c>
      <c r="Z44" s="53">
        <v>0</v>
      </c>
      <c r="AA44" s="53">
        <v>0</v>
      </c>
      <c r="AB44" s="53">
        <v>4</v>
      </c>
      <c r="AD44" s="53">
        <v>0</v>
      </c>
      <c r="AE44" s="53">
        <v>0</v>
      </c>
      <c r="AF44" s="53">
        <v>6</v>
      </c>
      <c r="AH44" s="53">
        <v>0</v>
      </c>
      <c r="AI44" s="53">
        <v>0</v>
      </c>
      <c r="AJ44" s="53">
        <v>3.1666666666666665</v>
      </c>
      <c r="AL44" s="53">
        <v>0</v>
      </c>
      <c r="AM44" s="53">
        <v>0</v>
      </c>
      <c r="AN44" s="53">
        <v>0.16666666666666666</v>
      </c>
      <c r="AP44" s="53">
        <v>0</v>
      </c>
      <c r="AQ44" s="53">
        <v>0</v>
      </c>
      <c r="AR44" s="53">
        <v>6.166666666666667</v>
      </c>
      <c r="AT44" s="53">
        <v>0</v>
      </c>
      <c r="AU44" s="53">
        <v>0</v>
      </c>
      <c r="AV44" s="53">
        <v>940666.66666666663</v>
      </c>
      <c r="AX44" s="53">
        <v>0</v>
      </c>
      <c r="AY44" s="53">
        <v>0</v>
      </c>
      <c r="AZ44" s="53">
        <v>171654.30803999997</v>
      </c>
      <c r="BB44" s="53">
        <v>0</v>
      </c>
      <c r="BC44" s="53">
        <v>0</v>
      </c>
      <c r="BD44" s="53">
        <v>189796.50676853335</v>
      </c>
      <c r="BF44" s="53">
        <v>0</v>
      </c>
      <c r="BG44" s="53">
        <v>0</v>
      </c>
      <c r="BH44" s="53">
        <v>-27003.837704799997</v>
      </c>
      <c r="BJ44" s="53">
        <v>0</v>
      </c>
      <c r="BK44" s="53">
        <v>0</v>
      </c>
      <c r="BL44" s="53">
        <v>140390.93640000001</v>
      </c>
      <c r="BN44" s="53">
        <v>0</v>
      </c>
      <c r="BO44" s="53">
        <v>0</v>
      </c>
      <c r="BP44" s="53">
        <v>8231.6363999999994</v>
      </c>
      <c r="BR44" s="53">
        <v>0</v>
      </c>
      <c r="BS44" s="53">
        <v>0</v>
      </c>
      <c r="BT44" s="53">
        <v>19563.352379999993</v>
      </c>
      <c r="BV44" s="53">
        <v>0</v>
      </c>
      <c r="BW44" s="53">
        <v>0</v>
      </c>
      <c r="BX44" s="53">
        <v>1504.8732599999998</v>
      </c>
      <c r="BZ44" s="53">
        <v>0</v>
      </c>
      <c r="CA44" s="53">
        <v>0</v>
      </c>
      <c r="CB44" s="53">
        <v>1963.5095999999996</v>
      </c>
      <c r="CD44" s="53">
        <v>0</v>
      </c>
      <c r="CE44" s="53">
        <v>0</v>
      </c>
      <c r="CF44" s="53">
        <v>6537.2772044236772</v>
      </c>
      <c r="CH44" s="53">
        <v>0</v>
      </c>
      <c r="CI44" s="53">
        <v>0</v>
      </c>
      <c r="CJ44" s="53">
        <v>873.51079597056025</v>
      </c>
      <c r="CL44" s="53">
        <v>0</v>
      </c>
      <c r="CM44" s="53">
        <v>0</v>
      </c>
      <c r="CN44" s="53">
        <v>53377.672833333323</v>
      </c>
      <c r="CP44" s="53">
        <v>0</v>
      </c>
      <c r="CQ44" s="53">
        <v>0</v>
      </c>
      <c r="CR44" s="53">
        <v>5312.4222745651196</v>
      </c>
      <c r="CT44" s="53">
        <v>0</v>
      </c>
      <c r="CU44" s="53">
        <v>0</v>
      </c>
      <c r="CV44" s="53">
        <v>0</v>
      </c>
      <c r="CX44" s="53">
        <v>0</v>
      </c>
      <c r="CY44" s="53">
        <v>0</v>
      </c>
      <c r="CZ44" s="53">
        <v>142822.19790946529</v>
      </c>
      <c r="DB44" s="53">
        <v>0</v>
      </c>
      <c r="DC44" s="53">
        <v>0</v>
      </c>
      <c r="DD44" s="53">
        <v>31827</v>
      </c>
      <c r="DF44" s="53">
        <v>0</v>
      </c>
      <c r="DG44" s="53">
        <v>0</v>
      </c>
      <c r="DH44" s="53">
        <v>16656.640000000003</v>
      </c>
      <c r="DJ44" s="53">
        <v>0</v>
      </c>
      <c r="DK44" s="53">
        <v>0</v>
      </c>
      <c r="DL44" s="53">
        <v>1435.8711577600002</v>
      </c>
      <c r="DN44" s="53">
        <v>0</v>
      </c>
      <c r="DO44" s="53">
        <v>0</v>
      </c>
      <c r="DP44" s="53">
        <v>13525.2</v>
      </c>
      <c r="DR44" s="53">
        <v>0</v>
      </c>
      <c r="DS44" s="53">
        <v>0</v>
      </c>
      <c r="DT44" s="53">
        <v>9294.4133999999976</v>
      </c>
      <c r="DV44" s="53">
        <v>0</v>
      </c>
      <c r="DW44" s="53">
        <v>0</v>
      </c>
      <c r="DX44" s="53">
        <v>13230</v>
      </c>
      <c r="DZ44" s="53">
        <v>0</v>
      </c>
      <c r="EA44" s="53">
        <v>0</v>
      </c>
      <c r="EB44" s="53">
        <v>151234.47</v>
      </c>
      <c r="ED44" s="53">
        <v>0</v>
      </c>
      <c r="EE44" s="53">
        <v>0</v>
      </c>
      <c r="EF44" s="53">
        <v>14426.891715539372</v>
      </c>
      <c r="EH44" s="53">
        <v>0</v>
      </c>
      <c r="EI44" s="53">
        <v>0</v>
      </c>
      <c r="EJ44" s="53">
        <v>0</v>
      </c>
      <c r="EL44" s="53">
        <v>0</v>
      </c>
      <c r="EM44" s="53">
        <v>0</v>
      </c>
      <c r="EN44" s="53">
        <v>0</v>
      </c>
      <c r="EP44" s="53">
        <v>0</v>
      </c>
      <c r="EQ44" s="53">
        <v>0</v>
      </c>
      <c r="ER44" s="53">
        <v>2684.8030553155841</v>
      </c>
      <c r="ET44" s="53">
        <v>0</v>
      </c>
      <c r="EU44" s="53">
        <v>0</v>
      </c>
      <c r="EV44" s="53">
        <v>0</v>
      </c>
      <c r="EX44" s="53">
        <v>0</v>
      </c>
      <c r="EY44" s="53">
        <v>0</v>
      </c>
      <c r="EZ44" s="53">
        <v>0</v>
      </c>
      <c r="FB44" s="53">
        <v>0</v>
      </c>
      <c r="FC44" s="53">
        <v>0</v>
      </c>
      <c r="FD44" s="53">
        <v>1</v>
      </c>
      <c r="FF44" t="str">
        <v>New Jersey</v>
      </c>
      <c r="FG44" s="127" t="str">
        <v>NJ-2028-04-Center</v>
      </c>
      <c r="FH44" s="89">
        <v>0</v>
      </c>
      <c r="FI44" s="89">
        <v>0</v>
      </c>
      <c r="FJ44" s="89">
        <v>0</v>
      </c>
      <c r="FK44" s="89">
        <v>0</v>
      </c>
      <c r="FL44" s="89">
        <v>0</v>
      </c>
      <c r="FM44" s="89">
        <v>0</v>
      </c>
      <c r="FN44" s="89">
        <v>0</v>
      </c>
      <c r="FO44" s="89">
        <v>0</v>
      </c>
      <c r="FP44" s="89">
        <v>0</v>
      </c>
      <c r="FQ44" s="89">
        <v>0</v>
      </c>
      <c r="FR44" s="89">
        <v>0</v>
      </c>
      <c r="FS44" s="89">
        <v>0</v>
      </c>
    </row>
    <row r="45" spans="1:175" x14ac:dyDescent="0.25">
      <c r="B45" t="str">
        <v>Maryland</v>
      </c>
      <c r="C45" s="116" t="str">
        <v>MD-2026-01-Remote</v>
      </c>
      <c r="D45" s="3">
        <v>2026</v>
      </c>
      <c r="E45">
        <v>1</v>
      </c>
      <c r="G45" t="str">
        <v>JV1</v>
      </c>
      <c r="H45" t="str">
        <v>Remote</v>
      </c>
      <c r="I45" t="str">
        <v>New Jersey</v>
      </c>
      <c r="J45" s="53">
        <v>0</v>
      </c>
      <c r="K45" s="53">
        <v>0</v>
      </c>
      <c r="L45" s="53">
        <v>51.626666666666658</v>
      </c>
      <c r="N45" s="53">
        <v>0</v>
      </c>
      <c r="O45" s="53">
        <v>0</v>
      </c>
      <c r="P45" s="53">
        <v>0.46</v>
      </c>
      <c r="R45" s="53">
        <v>0</v>
      </c>
      <c r="S45" s="53">
        <v>0</v>
      </c>
      <c r="T45" s="53">
        <v>9.9999999999999992E-2</v>
      </c>
      <c r="V45" s="53">
        <v>0</v>
      </c>
      <c r="W45" s="53">
        <v>0</v>
      </c>
      <c r="X45" s="53">
        <v>1</v>
      </c>
      <c r="Z45" s="53">
        <v>0</v>
      </c>
      <c r="AA45" s="53">
        <v>0</v>
      </c>
      <c r="AB45" s="53">
        <v>1</v>
      </c>
      <c r="AD45" s="53">
        <v>0</v>
      </c>
      <c r="AE45" s="53">
        <v>0</v>
      </c>
      <c r="AF45" s="53">
        <v>1</v>
      </c>
      <c r="AH45" s="53">
        <v>0</v>
      </c>
      <c r="AI45" s="53">
        <v>0</v>
      </c>
      <c r="AJ45" s="53">
        <v>0</v>
      </c>
      <c r="AL45" s="53">
        <v>0</v>
      </c>
      <c r="AM45" s="53">
        <v>0</v>
      </c>
      <c r="AN45" s="53">
        <v>0</v>
      </c>
      <c r="AP45" s="53">
        <v>0</v>
      </c>
      <c r="AQ45" s="53">
        <v>0</v>
      </c>
      <c r="AR45" s="53">
        <v>1</v>
      </c>
      <c r="AT45" s="53">
        <v>0</v>
      </c>
      <c r="AU45" s="53">
        <v>0</v>
      </c>
      <c r="AV45" s="53">
        <v>0</v>
      </c>
      <c r="AX45" s="53">
        <v>0</v>
      </c>
      <c r="AY45" s="53">
        <v>0</v>
      </c>
      <c r="AZ45" s="53">
        <v>9626.2478166666679</v>
      </c>
      <c r="BB45" s="53">
        <v>0</v>
      </c>
      <c r="BC45" s="53">
        <v>0</v>
      </c>
      <c r="BD45" s="53">
        <v>8471.0980786666678</v>
      </c>
      <c r="BF45" s="53">
        <v>0</v>
      </c>
      <c r="BG45" s="53">
        <v>0</v>
      </c>
      <c r="BH45" s="53">
        <v>-1155.1497380000001</v>
      </c>
      <c r="BJ45" s="53">
        <v>0</v>
      </c>
      <c r="BK45" s="53">
        <v>0</v>
      </c>
      <c r="BL45" s="53">
        <v>8154.019033333333</v>
      </c>
      <c r="BN45" s="53">
        <v>0</v>
      </c>
      <c r="BO45" s="53">
        <v>0</v>
      </c>
      <c r="BP45" s="53">
        <v>0</v>
      </c>
      <c r="BR45" s="53">
        <v>0</v>
      </c>
      <c r="BS45" s="53">
        <v>0</v>
      </c>
      <c r="BT45" s="53">
        <v>1086.8529099999998</v>
      </c>
      <c r="BV45" s="53">
        <v>0</v>
      </c>
      <c r="BW45" s="53">
        <v>0</v>
      </c>
      <c r="BX45" s="53">
        <v>167.20813999999999</v>
      </c>
      <c r="BZ45" s="53">
        <v>0</v>
      </c>
      <c r="CA45" s="53">
        <v>0</v>
      </c>
      <c r="CB45" s="53">
        <v>218.1677333333333</v>
      </c>
      <c r="CD45" s="53">
        <v>0</v>
      </c>
      <c r="CE45" s="53">
        <v>0</v>
      </c>
      <c r="CF45" s="53">
        <v>0</v>
      </c>
      <c r="CH45" s="53">
        <v>0</v>
      </c>
      <c r="CI45" s="53">
        <v>0</v>
      </c>
      <c r="CJ45" s="53">
        <v>0</v>
      </c>
      <c r="CL45" s="53">
        <v>0</v>
      </c>
      <c r="CM45" s="53">
        <v>0</v>
      </c>
      <c r="CN45" s="53">
        <v>0</v>
      </c>
      <c r="CP45" s="53">
        <v>0</v>
      </c>
      <c r="CQ45" s="53">
        <v>0</v>
      </c>
      <c r="CR45" s="53">
        <v>0</v>
      </c>
      <c r="CT45" s="53">
        <v>0</v>
      </c>
      <c r="CU45" s="53">
        <v>0</v>
      </c>
      <c r="CV45" s="53">
        <v>0</v>
      </c>
      <c r="CX45" s="53">
        <v>0</v>
      </c>
      <c r="CY45" s="53">
        <v>0</v>
      </c>
      <c r="CZ45" s="53">
        <v>14500.139038435716</v>
      </c>
      <c r="DB45" s="53">
        <v>0</v>
      </c>
      <c r="DC45" s="53">
        <v>0</v>
      </c>
      <c r="DD45" s="53">
        <v>0</v>
      </c>
      <c r="DF45" s="53">
        <v>0</v>
      </c>
      <c r="DG45" s="53">
        <v>0</v>
      </c>
      <c r="DH45" s="53">
        <v>0</v>
      </c>
      <c r="DJ45" s="53">
        <v>0</v>
      </c>
      <c r="DK45" s="53">
        <v>0</v>
      </c>
      <c r="DL45" s="53">
        <v>379.01167616000009</v>
      </c>
      <c r="DN45" s="53">
        <v>0</v>
      </c>
      <c r="DO45" s="53">
        <v>0</v>
      </c>
      <c r="DP45" s="53">
        <v>0</v>
      </c>
      <c r="DR45" s="53">
        <v>0</v>
      </c>
      <c r="DS45" s="53">
        <v>0</v>
      </c>
      <c r="DT45" s="53">
        <v>2247.2640000000001</v>
      </c>
      <c r="DV45" s="53">
        <v>0</v>
      </c>
      <c r="DW45" s="53">
        <v>0</v>
      </c>
      <c r="DX45" s="53">
        <v>0</v>
      </c>
      <c r="DZ45" s="53">
        <v>0</v>
      </c>
      <c r="EA45" s="53">
        <v>0</v>
      </c>
      <c r="EB45" s="53">
        <v>0</v>
      </c>
      <c r="ED45" s="53">
        <v>0</v>
      </c>
      <c r="EE45" s="53">
        <v>0</v>
      </c>
      <c r="EF45" s="53">
        <v>640.50045621730567</v>
      </c>
      <c r="EH45" s="53">
        <v>0</v>
      </c>
      <c r="EI45" s="53">
        <v>0</v>
      </c>
      <c r="EJ45" s="53">
        <v>0</v>
      </c>
      <c r="EL45" s="53">
        <v>0</v>
      </c>
      <c r="EM45" s="53">
        <v>0</v>
      </c>
      <c r="EN45" s="53">
        <v>0</v>
      </c>
      <c r="EP45" s="53">
        <v>0</v>
      </c>
      <c r="EQ45" s="53">
        <v>0</v>
      </c>
      <c r="ER45" s="53">
        <v>146.65590867024915</v>
      </c>
      <c r="ET45" s="53">
        <v>0</v>
      </c>
      <c r="EU45" s="53">
        <v>0</v>
      </c>
      <c r="EV45" s="53">
        <v>0</v>
      </c>
      <c r="EX45" s="53">
        <v>0</v>
      </c>
      <c r="EY45" s="53">
        <v>0</v>
      </c>
      <c r="EZ45" s="53">
        <v>0</v>
      </c>
      <c r="FB45" s="53">
        <v>0</v>
      </c>
      <c r="FC45" s="53">
        <v>0</v>
      </c>
      <c r="FD45" s="53">
        <v>0</v>
      </c>
      <c r="FF45" t="str">
        <v>New Jersey</v>
      </c>
      <c r="FG45" s="127" t="str">
        <v>NJ-2028-05-Center</v>
      </c>
      <c r="FH45" s="89">
        <v>0</v>
      </c>
      <c r="FI45" s="89">
        <v>0</v>
      </c>
      <c r="FJ45" s="89">
        <v>0</v>
      </c>
      <c r="FK45" s="89">
        <v>0</v>
      </c>
      <c r="FL45" s="89">
        <v>0</v>
      </c>
      <c r="FM45" s="89">
        <v>0</v>
      </c>
      <c r="FN45" s="89">
        <v>0</v>
      </c>
      <c r="FO45" s="89">
        <v>0</v>
      </c>
      <c r="FP45" s="89">
        <v>0</v>
      </c>
      <c r="FQ45" s="89">
        <v>0</v>
      </c>
      <c r="FR45" s="89">
        <v>0</v>
      </c>
      <c r="FS45" s="89">
        <v>0</v>
      </c>
    </row>
    <row r="46" spans="1:175" x14ac:dyDescent="0.25">
      <c r="B46" t="str">
        <v>New Jersey</v>
      </c>
      <c r="C46" s="116" t="str">
        <v>NJB2-Remote</v>
      </c>
      <c r="D46" s="3">
        <v>2025</v>
      </c>
      <c r="E46">
        <v>5</v>
      </c>
      <c r="G46" t="str">
        <v>JV2</v>
      </c>
      <c r="H46" t="str">
        <v>Center</v>
      </c>
      <c r="I46" t="str">
        <v>Maryland</v>
      </c>
      <c r="J46" s="53">
        <v>7245.9199999999992</v>
      </c>
      <c r="K46" s="53">
        <v>41690.293333333328</v>
      </c>
      <c r="L46" s="53">
        <v>50406.399999999994</v>
      </c>
      <c r="N46" s="53">
        <v>16</v>
      </c>
      <c r="O46" s="53">
        <v>37.65</v>
      </c>
      <c r="P46" s="53">
        <v>37.65</v>
      </c>
      <c r="R46" s="53">
        <v>2.4299999999999997</v>
      </c>
      <c r="S46" s="53">
        <v>5.72</v>
      </c>
      <c r="T46" s="53">
        <v>5.72</v>
      </c>
      <c r="V46" s="53">
        <v>18</v>
      </c>
      <c r="W46" s="53">
        <v>43</v>
      </c>
      <c r="X46" s="53">
        <v>43</v>
      </c>
      <c r="Z46" s="53">
        <v>7</v>
      </c>
      <c r="AA46" s="53">
        <v>9</v>
      </c>
      <c r="AB46" s="53">
        <v>9</v>
      </c>
      <c r="AD46" s="53">
        <v>17</v>
      </c>
      <c r="AE46" s="53">
        <v>40</v>
      </c>
      <c r="AF46" s="53">
        <v>40</v>
      </c>
      <c r="AH46" s="53">
        <v>34.785714285714285</v>
      </c>
      <c r="AI46" s="53">
        <v>68.000000000000014</v>
      </c>
      <c r="AJ46" s="53">
        <v>48</v>
      </c>
      <c r="AL46" s="53">
        <v>20.5</v>
      </c>
      <c r="AM46" s="53">
        <v>48</v>
      </c>
      <c r="AN46" s="53">
        <v>48</v>
      </c>
      <c r="AP46" s="53">
        <v>37.5</v>
      </c>
      <c r="AQ46" s="53">
        <v>88</v>
      </c>
      <c r="AR46" s="53">
        <v>88</v>
      </c>
      <c r="AT46" s="53">
        <v>786840</v>
      </c>
      <c r="AU46" s="53">
        <v>0</v>
      </c>
      <c r="AV46" s="53">
        <v>0</v>
      </c>
      <c r="AX46" s="53">
        <v>722043.87075599993</v>
      </c>
      <c r="AY46" s="53">
        <v>4278999.40856284</v>
      </c>
      <c r="AZ46" s="53">
        <v>5173601.3000255991</v>
      </c>
      <c r="BB46" s="53">
        <v>730876.13511328003</v>
      </c>
      <c r="BC46" s="53">
        <v>3828488.7088047396</v>
      </c>
      <c r="BD46" s="53">
        <v>4572887.7869866882</v>
      </c>
      <c r="BF46" s="53">
        <v>-104381.09387472</v>
      </c>
      <c r="BG46" s="53">
        <v>-550015.73755858082</v>
      </c>
      <c r="BH46" s="53">
        <v>-657367.96453411214</v>
      </c>
      <c r="BJ46" s="53">
        <v>523921.36024800001</v>
      </c>
      <c r="BK46" s="53">
        <v>3104879.4698407198</v>
      </c>
      <c r="BL46" s="53">
        <v>3754010.4421247994</v>
      </c>
      <c r="BN46" s="53">
        <v>34585.21996799999</v>
      </c>
      <c r="BO46" s="53">
        <v>204960.03329151991</v>
      </c>
      <c r="BP46" s="53">
        <v>247810.61959679986</v>
      </c>
      <c r="BR46" s="53">
        <v>142887.64370399999</v>
      </c>
      <c r="BS46" s="53">
        <v>846785.30995656003</v>
      </c>
      <c r="BT46" s="53">
        <v>1023821.0296704</v>
      </c>
      <c r="BV46" s="53">
        <v>5994.5038920000006</v>
      </c>
      <c r="BW46" s="53">
        <v>35524.82009388</v>
      </c>
      <c r="BX46" s="53">
        <v>42951.923539200012</v>
      </c>
      <c r="BZ46" s="53">
        <v>14655.142944000001</v>
      </c>
      <c r="CA46" s="53">
        <v>86849.775380160005</v>
      </c>
      <c r="CB46" s="53">
        <v>105007.28509440001</v>
      </c>
      <c r="CD46" s="53">
        <v>30645.523251199993</v>
      </c>
      <c r="CE46" s="53">
        <v>181612.47699490134</v>
      </c>
      <c r="CF46" s="53">
        <v>219581.83616511998</v>
      </c>
      <c r="CH46" s="53">
        <v>4254.2763648000009</v>
      </c>
      <c r="CI46" s="53">
        <v>25211.828236672005</v>
      </c>
      <c r="CJ46" s="53">
        <v>30482.814996480007</v>
      </c>
      <c r="CL46" s="53">
        <v>147798.57819999996</v>
      </c>
      <c r="CM46" s="53">
        <v>304465.07109199994</v>
      </c>
      <c r="CN46" s="53">
        <v>304465.07109199994</v>
      </c>
      <c r="CP46" s="53">
        <v>29266.474704895998</v>
      </c>
      <c r="CQ46" s="53">
        <v>173439.9155301307</v>
      </c>
      <c r="CR46" s="53">
        <v>209700.6535376895</v>
      </c>
      <c r="CT46" s="53">
        <v>0</v>
      </c>
      <c r="CU46" s="53">
        <v>0</v>
      </c>
      <c r="CV46" s="53">
        <v>0</v>
      </c>
      <c r="CX46" s="53">
        <v>586560.87198540894</v>
      </c>
      <c r="CY46" s="53">
        <v>2789882.7620751895</v>
      </c>
      <c r="CZ46" s="53">
        <v>3561104.369633704</v>
      </c>
      <c r="DB46" s="53">
        <v>85754.22</v>
      </c>
      <c r="DC46" s="53">
        <v>176653.69320000007</v>
      </c>
      <c r="DD46" s="53">
        <v>181953.303996</v>
      </c>
      <c r="DF46" s="53">
        <v>34200</v>
      </c>
      <c r="DG46" s="53">
        <v>71136</v>
      </c>
      <c r="DH46" s="53">
        <v>73981.440000000017</v>
      </c>
      <c r="DJ46" s="53">
        <v>7186.9301999999998</v>
      </c>
      <c r="DK46" s="53">
        <v>16508.173135999998</v>
      </c>
      <c r="DL46" s="53">
        <v>16049.686748160007</v>
      </c>
      <c r="DN46" s="53">
        <v>25500</v>
      </c>
      <c r="DO46" s="53">
        <v>52020</v>
      </c>
      <c r="DP46" s="53">
        <v>53060.399999999987</v>
      </c>
      <c r="DR46" s="53">
        <v>36632.5</v>
      </c>
      <c r="DS46" s="53">
        <v>154058.24999999997</v>
      </c>
      <c r="DT46" s="53">
        <v>181903.53599999999</v>
      </c>
      <c r="DV46" s="53">
        <v>34500</v>
      </c>
      <c r="DW46" s="53">
        <v>72450</v>
      </c>
      <c r="DX46" s="53">
        <v>76072.5</v>
      </c>
      <c r="DZ46" s="53">
        <v>126877.11</v>
      </c>
      <c r="EA46" s="53">
        <v>0</v>
      </c>
      <c r="EB46" s="53">
        <v>0</v>
      </c>
      <c r="ED46" s="53">
        <v>92142.691987354003</v>
      </c>
      <c r="EE46" s="53">
        <v>356325.853020326</v>
      </c>
      <c r="EF46" s="53">
        <v>376535.41934402304</v>
      </c>
      <c r="EH46" s="53">
        <v>0</v>
      </c>
      <c r="EI46" s="53">
        <v>0</v>
      </c>
      <c r="EJ46" s="53">
        <v>0</v>
      </c>
      <c r="EL46" s="53">
        <v>-86396.647222080021</v>
      </c>
      <c r="EM46" s="53">
        <v>-447805.04364239401</v>
      </c>
      <c r="EN46" s="53">
        <v>-685933.16804800322</v>
      </c>
      <c r="EP46" s="53">
        <v>15410.30331737776</v>
      </c>
      <c r="EQ46" s="53">
        <v>93352.605294125387</v>
      </c>
      <c r="ER46" s="53">
        <v>143189.49628349781</v>
      </c>
      <c r="ET46" s="53">
        <v>0</v>
      </c>
      <c r="EU46" s="53">
        <v>1</v>
      </c>
      <c r="EV46" s="53">
        <v>1</v>
      </c>
      <c r="EX46" s="53">
        <v>0</v>
      </c>
      <c r="EY46" s="53">
        <v>1</v>
      </c>
      <c r="EZ46" s="53">
        <v>1</v>
      </c>
      <c r="FB46" s="53">
        <v>1</v>
      </c>
      <c r="FC46" s="53">
        <v>1</v>
      </c>
      <c r="FD46" s="53">
        <v>1</v>
      </c>
      <c r="FF46" t="str">
        <v>Maryland</v>
      </c>
      <c r="FG46" s="127" t="str">
        <v>NJ-2028-06-Remote</v>
      </c>
      <c r="FH46" s="89">
        <v>0</v>
      </c>
      <c r="FI46" s="89">
        <v>0</v>
      </c>
      <c r="FJ46" s="89">
        <v>0</v>
      </c>
      <c r="FK46" s="89">
        <v>0</v>
      </c>
      <c r="FL46" s="89">
        <v>0</v>
      </c>
      <c r="FM46" s="89">
        <v>0</v>
      </c>
      <c r="FN46" s="89">
        <v>0</v>
      </c>
      <c r="FO46" s="89">
        <v>0</v>
      </c>
      <c r="FP46" s="89">
        <v>0</v>
      </c>
      <c r="FQ46" s="89">
        <v>0</v>
      </c>
      <c r="FR46" s="89">
        <v>0</v>
      </c>
      <c r="FS46" s="89">
        <v>0</v>
      </c>
    </row>
    <row r="47" spans="1:175" x14ac:dyDescent="0.25">
      <c r="B47" t="str">
        <v>New Jersey</v>
      </c>
      <c r="C47" s="116" t="str">
        <v>NJB1-Remote</v>
      </c>
      <c r="D47" s="3">
        <v>2026</v>
      </c>
      <c r="E47">
        <v>4</v>
      </c>
      <c r="G47" t="str">
        <v>JV2</v>
      </c>
      <c r="H47" t="str">
        <v>Remote</v>
      </c>
      <c r="I47" t="str">
        <v>Maryland</v>
      </c>
      <c r="J47" s="53">
        <v>9189.5466666666671</v>
      </c>
      <c r="K47" s="53">
        <v>17346.560000000001</v>
      </c>
      <c r="L47" s="53">
        <v>17346.560000000001</v>
      </c>
      <c r="N47" s="53">
        <v>12.629999999999999</v>
      </c>
      <c r="O47" s="53">
        <v>12.629999999999999</v>
      </c>
      <c r="P47" s="53">
        <v>12.629999999999999</v>
      </c>
      <c r="R47" s="53">
        <v>4</v>
      </c>
      <c r="S47" s="53">
        <v>4</v>
      </c>
      <c r="T47" s="53">
        <v>4</v>
      </c>
      <c r="V47" s="53">
        <v>17</v>
      </c>
      <c r="W47" s="53">
        <v>17</v>
      </c>
      <c r="X47" s="53">
        <v>17</v>
      </c>
      <c r="Z47" s="53">
        <v>4</v>
      </c>
      <c r="AA47" s="53">
        <v>3</v>
      </c>
      <c r="AB47" s="53">
        <v>3</v>
      </c>
      <c r="AD47" s="53">
        <v>28</v>
      </c>
      <c r="AE47" s="53">
        <v>28</v>
      </c>
      <c r="AF47" s="53">
        <v>28</v>
      </c>
      <c r="AH47" s="53">
        <v>34.333333333333336</v>
      </c>
      <c r="AI47" s="53">
        <v>35</v>
      </c>
      <c r="AJ47" s="53">
        <v>48</v>
      </c>
      <c r="AL47" s="53">
        <v>11</v>
      </c>
      <c r="AM47" s="53">
        <v>35</v>
      </c>
      <c r="AN47" s="53">
        <v>48</v>
      </c>
      <c r="AP47" s="53">
        <v>39</v>
      </c>
      <c r="AQ47" s="53">
        <v>63</v>
      </c>
      <c r="AR47" s="53">
        <v>76</v>
      </c>
      <c r="AT47" s="53">
        <v>0</v>
      </c>
      <c r="AU47" s="53">
        <v>0</v>
      </c>
      <c r="AV47" s="53">
        <v>0</v>
      </c>
      <c r="AX47" s="53">
        <v>942021.65593200002</v>
      </c>
      <c r="AY47" s="53">
        <v>1831544.1274435197</v>
      </c>
      <c r="AZ47" s="53">
        <v>1831544.1274435197</v>
      </c>
      <c r="BB47" s="53">
        <v>828979.05722015991</v>
      </c>
      <c r="BC47" s="53">
        <v>1611758.832150297</v>
      </c>
      <c r="BD47" s="53">
        <v>1611758.832150297</v>
      </c>
      <c r="BF47" s="53">
        <v>-113042.59871183999</v>
      </c>
      <c r="BG47" s="53">
        <v>-219785.29529322239</v>
      </c>
      <c r="BH47" s="53">
        <v>-219785.29529322239</v>
      </c>
      <c r="BJ47" s="53">
        <v>706500.01609199995</v>
      </c>
      <c r="BK47" s="53">
        <v>1373626.5481411198</v>
      </c>
      <c r="BL47" s="53">
        <v>1373626.5481411198</v>
      </c>
      <c r="BN47" s="53">
        <v>0</v>
      </c>
      <c r="BO47" s="53">
        <v>0</v>
      </c>
      <c r="BP47" s="53">
        <v>0</v>
      </c>
      <c r="BR47" s="53">
        <v>184304.35202399999</v>
      </c>
      <c r="BS47" s="53">
        <v>358337.36038463988</v>
      </c>
      <c r="BT47" s="53">
        <v>358337.36038463988</v>
      </c>
      <c r="BV47" s="53">
        <v>15464.082504000002</v>
      </c>
      <c r="BW47" s="53">
        <v>30066.346477439991</v>
      </c>
      <c r="BX47" s="53">
        <v>30066.346477439991</v>
      </c>
      <c r="BZ47" s="53">
        <v>35753.205311999998</v>
      </c>
      <c r="CA47" s="53">
        <v>69513.872440319989</v>
      </c>
      <c r="CB47" s="53">
        <v>69513.872440319989</v>
      </c>
      <c r="CD47" s="53">
        <v>0</v>
      </c>
      <c r="CE47" s="53">
        <v>0</v>
      </c>
      <c r="CF47" s="53">
        <v>0</v>
      </c>
      <c r="CH47" s="53">
        <v>0</v>
      </c>
      <c r="CI47" s="53">
        <v>0</v>
      </c>
      <c r="CJ47" s="53">
        <v>0</v>
      </c>
      <c r="CL47" s="53">
        <v>0</v>
      </c>
      <c r="CM47" s="53">
        <v>0</v>
      </c>
      <c r="CN47" s="53">
        <v>0</v>
      </c>
      <c r="CP47" s="53">
        <v>0</v>
      </c>
      <c r="CQ47" s="53">
        <v>0</v>
      </c>
      <c r="CR47" s="53">
        <v>0</v>
      </c>
      <c r="CT47" s="53">
        <v>0</v>
      </c>
      <c r="CU47" s="53">
        <v>0</v>
      </c>
      <c r="CV47" s="53">
        <v>0</v>
      </c>
      <c r="CX47" s="53">
        <v>605803.96184440004</v>
      </c>
      <c r="CY47" s="53">
        <v>1056767.6217030913</v>
      </c>
      <c r="CZ47" s="53">
        <v>1186114.5960214005</v>
      </c>
      <c r="DB47" s="53">
        <v>0</v>
      </c>
      <c r="DC47" s="53">
        <v>0</v>
      </c>
      <c r="DD47" s="53">
        <v>0</v>
      </c>
      <c r="DF47" s="53">
        <v>0</v>
      </c>
      <c r="DG47" s="53">
        <v>0</v>
      </c>
      <c r="DH47" s="53">
        <v>0</v>
      </c>
      <c r="DJ47" s="53">
        <v>11617.691200000001</v>
      </c>
      <c r="DK47" s="53">
        <v>13564.665296000001</v>
      </c>
      <c r="DL47" s="53">
        <v>15175.044418560001</v>
      </c>
      <c r="DN47" s="53">
        <v>0</v>
      </c>
      <c r="DO47" s="53">
        <v>0</v>
      </c>
      <c r="DP47" s="53">
        <v>0</v>
      </c>
      <c r="DR47" s="53">
        <v>53795</v>
      </c>
      <c r="DS47" s="53">
        <v>79853.25</v>
      </c>
      <c r="DT47" s="53">
        <v>82212.407999999996</v>
      </c>
      <c r="DV47" s="53">
        <v>0</v>
      </c>
      <c r="DW47" s="53">
        <v>0</v>
      </c>
      <c r="DX47" s="53">
        <v>0</v>
      </c>
      <c r="DZ47" s="53">
        <v>0</v>
      </c>
      <c r="EA47" s="53">
        <v>0</v>
      </c>
      <c r="EB47" s="53">
        <v>0</v>
      </c>
      <c r="ED47" s="53">
        <v>116632.72246342036</v>
      </c>
      <c r="EE47" s="53">
        <v>152972.45807453786</v>
      </c>
      <c r="EF47" s="53">
        <v>132713.5753193394</v>
      </c>
      <c r="EH47" s="53">
        <v>0</v>
      </c>
      <c r="EI47" s="53">
        <v>0</v>
      </c>
      <c r="EJ47" s="53">
        <v>0</v>
      </c>
      <c r="EL47" s="53">
        <v>-50996.183576183998</v>
      </c>
      <c r="EM47" s="53">
        <v>-221365.351392071</v>
      </c>
      <c r="EN47" s="53">
        <v>-241763.82482254459</v>
      </c>
      <c r="EP47" s="53">
        <v>19543.922853485976</v>
      </c>
      <c r="EQ47" s="53">
        <v>38842.292519830291</v>
      </c>
      <c r="ER47" s="53">
        <v>49276.385313203726</v>
      </c>
      <c r="ET47" s="53">
        <v>0</v>
      </c>
      <c r="EU47" s="53">
        <v>0</v>
      </c>
      <c r="EV47" s="53">
        <v>0</v>
      </c>
      <c r="EX47" s="53">
        <v>0</v>
      </c>
      <c r="EY47" s="53">
        <v>0</v>
      </c>
      <c r="EZ47" s="53">
        <v>0</v>
      </c>
      <c r="FB47" s="53">
        <v>0</v>
      </c>
      <c r="FC47" s="53">
        <v>0</v>
      </c>
      <c r="FD47" s="53">
        <v>0</v>
      </c>
      <c r="FF47" t="str">
        <v>Maryland</v>
      </c>
      <c r="FG47" s="127" t="str">
        <v>MD-2026-01-Center</v>
      </c>
      <c r="FH47" s="89">
        <v>0</v>
      </c>
      <c r="FI47" s="89">
        <v>0</v>
      </c>
      <c r="FJ47" s="89">
        <v>0</v>
      </c>
      <c r="FK47" s="89">
        <v>0</v>
      </c>
      <c r="FL47" s="89">
        <v>0</v>
      </c>
      <c r="FM47" s="89">
        <v>0</v>
      </c>
      <c r="FN47" s="89">
        <v>967.02</v>
      </c>
      <c r="FO47" s="89">
        <v>1202.8799999999999</v>
      </c>
      <c r="FP47" s="89">
        <v>1209.6199999999999</v>
      </c>
      <c r="FQ47" s="89">
        <v>1236.57</v>
      </c>
      <c r="FR47" s="89">
        <v>1270.27</v>
      </c>
      <c r="FS47" s="89">
        <v>1300.5899999999999</v>
      </c>
    </row>
    <row r="48" spans="1:175" x14ac:dyDescent="0.25">
      <c r="B48" t="str">
        <v>New Jersey</v>
      </c>
      <c r="C48" s="116" t="str">
        <v>NJB3-Remote</v>
      </c>
      <c r="D48" s="3">
        <v>2026</v>
      </c>
      <c r="E48">
        <v>5</v>
      </c>
      <c r="G48" t="str">
        <v>JV2</v>
      </c>
      <c r="H48" t="str">
        <v>Center</v>
      </c>
      <c r="I48" t="str">
        <v>Maryland</v>
      </c>
      <c r="J48" s="53">
        <v>0</v>
      </c>
      <c r="K48" s="53">
        <v>4200.5333333333328</v>
      </c>
      <c r="L48" s="53">
        <v>39274.986666666664</v>
      </c>
      <c r="N48" s="53">
        <v>0</v>
      </c>
      <c r="O48" s="53">
        <v>13.18</v>
      </c>
      <c r="P48" s="53">
        <v>37.65</v>
      </c>
      <c r="R48" s="53">
        <v>0</v>
      </c>
      <c r="S48" s="53">
        <v>2</v>
      </c>
      <c r="T48" s="53">
        <v>5.72</v>
      </c>
      <c r="V48" s="53">
        <v>0</v>
      </c>
      <c r="W48" s="53">
        <v>15</v>
      </c>
      <c r="X48" s="53">
        <v>43</v>
      </c>
      <c r="Z48" s="53">
        <v>0</v>
      </c>
      <c r="AA48" s="53">
        <v>6</v>
      </c>
      <c r="AB48" s="53">
        <v>9</v>
      </c>
      <c r="AD48" s="53">
        <v>0</v>
      </c>
      <c r="AE48" s="53">
        <v>14</v>
      </c>
      <c r="AF48" s="53">
        <v>40</v>
      </c>
      <c r="AH48" s="53">
        <v>0</v>
      </c>
      <c r="AI48" s="53">
        <v>13.095238095238095</v>
      </c>
      <c r="AJ48" s="53">
        <v>43.857142857142854</v>
      </c>
      <c r="AL48" s="53">
        <v>0</v>
      </c>
      <c r="AM48" s="53">
        <v>1.6666666666666665</v>
      </c>
      <c r="AN48" s="53">
        <v>21.000000000000004</v>
      </c>
      <c r="AP48" s="53">
        <v>0</v>
      </c>
      <c r="AQ48" s="53">
        <v>15.666666666666666</v>
      </c>
      <c r="AR48" s="53">
        <v>61</v>
      </c>
      <c r="AT48" s="53">
        <v>0</v>
      </c>
      <c r="AU48" s="53">
        <v>786840</v>
      </c>
      <c r="AV48" s="53">
        <v>0</v>
      </c>
      <c r="AX48" s="53">
        <v>0</v>
      </c>
      <c r="AY48" s="53">
        <v>430658.29558239999</v>
      </c>
      <c r="AZ48" s="53">
        <v>4026655.0636954396</v>
      </c>
      <c r="BB48" s="53">
        <v>0</v>
      </c>
      <c r="BC48" s="53">
        <v>472014.42945464532</v>
      </c>
      <c r="BD48" s="53">
        <v>3623217.1159566278</v>
      </c>
      <c r="BF48" s="53">
        <v>0</v>
      </c>
      <c r="BG48" s="53">
        <v>-67181.633784687991</v>
      </c>
      <c r="BH48" s="53">
        <v>-520404.93959897279</v>
      </c>
      <c r="BJ48" s="53">
        <v>0</v>
      </c>
      <c r="BK48" s="53">
        <v>312834.20351040002</v>
      </c>
      <c r="BL48" s="53">
        <v>2924999.8028222397</v>
      </c>
      <c r="BN48" s="53">
        <v>0</v>
      </c>
      <c r="BO48" s="53">
        <v>20650.884966399994</v>
      </c>
      <c r="BP48" s="53">
        <v>193085.77443583994</v>
      </c>
      <c r="BR48" s="53">
        <v>0</v>
      </c>
      <c r="BS48" s="53">
        <v>85318.419139200007</v>
      </c>
      <c r="BT48" s="53">
        <v>797727.21895152004</v>
      </c>
      <c r="BV48" s="53">
        <v>0</v>
      </c>
      <c r="BW48" s="53">
        <v>3579.3269615999998</v>
      </c>
      <c r="BX48" s="53">
        <v>33466.707090960001</v>
      </c>
      <c r="BZ48" s="53">
        <v>0</v>
      </c>
      <c r="CA48" s="53">
        <v>8275.4610047999995</v>
      </c>
      <c r="CB48" s="53">
        <v>77375.560394879998</v>
      </c>
      <c r="CD48" s="53">
        <v>0</v>
      </c>
      <c r="CE48" s="53">
        <v>18329.936870502395</v>
      </c>
      <c r="CF48" s="53">
        <v>171384.90973919738</v>
      </c>
      <c r="CH48" s="53">
        <v>0</v>
      </c>
      <c r="CI48" s="53">
        <v>5127.9748517888002</v>
      </c>
      <c r="CJ48" s="53">
        <v>47946.564864225285</v>
      </c>
      <c r="CL48" s="53">
        <v>0</v>
      </c>
      <c r="CM48" s="53">
        <v>129188.6526233333</v>
      </c>
      <c r="CN48" s="53">
        <v>310052.76629599993</v>
      </c>
      <c r="CP48" s="53">
        <v>0</v>
      </c>
      <c r="CQ48" s="53">
        <v>17515.082400358398</v>
      </c>
      <c r="CR48" s="53">
        <v>163766.02044335101</v>
      </c>
      <c r="CT48" s="53">
        <v>0</v>
      </c>
      <c r="CU48" s="53">
        <v>0</v>
      </c>
      <c r="CV48" s="53">
        <v>0</v>
      </c>
      <c r="CX48" s="53">
        <v>0</v>
      </c>
      <c r="CY48" s="53">
        <v>404212.79316982604</v>
      </c>
      <c r="CZ48" s="53">
        <v>2878141.2408912615</v>
      </c>
      <c r="DB48" s="53">
        <v>0</v>
      </c>
      <c r="DC48" s="53">
        <v>73605.705500000011</v>
      </c>
      <c r="DD48" s="53">
        <v>181953.303996</v>
      </c>
      <c r="DF48" s="53">
        <v>0</v>
      </c>
      <c r="DG48" s="53">
        <v>29640</v>
      </c>
      <c r="DH48" s="53">
        <v>73981.440000000017</v>
      </c>
      <c r="DJ48" s="53">
        <v>0</v>
      </c>
      <c r="DK48" s="53">
        <v>4499.3619840000001</v>
      </c>
      <c r="DL48" s="53">
        <v>15040.203726080006</v>
      </c>
      <c r="DN48" s="53">
        <v>0</v>
      </c>
      <c r="DO48" s="53">
        <v>21675</v>
      </c>
      <c r="DP48" s="53">
        <v>53060.399999999987</v>
      </c>
      <c r="DR48" s="53">
        <v>0</v>
      </c>
      <c r="DS48" s="53">
        <v>24594.749999999996</v>
      </c>
      <c r="DT48" s="53">
        <v>148535.307</v>
      </c>
      <c r="DV48" s="53">
        <v>0</v>
      </c>
      <c r="DW48" s="53">
        <v>30187.5</v>
      </c>
      <c r="DX48" s="53">
        <v>76072.5</v>
      </c>
      <c r="DZ48" s="53">
        <v>0</v>
      </c>
      <c r="EA48" s="53">
        <v>126877.11</v>
      </c>
      <c r="EB48" s="53">
        <v>0</v>
      </c>
      <c r="ED48" s="53">
        <v>0</v>
      </c>
      <c r="EE48" s="53">
        <v>40154.210393078778</v>
      </c>
      <c r="EF48" s="53">
        <v>294633.32435122837</v>
      </c>
      <c r="EH48" s="53">
        <v>0</v>
      </c>
      <c r="EI48" s="53">
        <v>0</v>
      </c>
      <c r="EJ48" s="53">
        <v>0</v>
      </c>
      <c r="EL48" s="53">
        <v>0</v>
      </c>
      <c r="EM48" s="53">
        <v>-65373.689043393853</v>
      </c>
      <c r="EN48" s="53">
        <v>-428887.30214148742</v>
      </c>
      <c r="EP48" s="53">
        <v>0</v>
      </c>
      <c r="EQ48" s="53">
        <v>9405.8040598615007</v>
      </c>
      <c r="ER48" s="53">
        <v>111568.48252089205</v>
      </c>
      <c r="ET48" s="53">
        <v>0</v>
      </c>
      <c r="EU48" s="53">
        <v>0</v>
      </c>
      <c r="EV48" s="53">
        <v>1</v>
      </c>
      <c r="EX48" s="53">
        <v>0</v>
      </c>
      <c r="EY48" s="53">
        <v>0</v>
      </c>
      <c r="EZ48" s="53">
        <v>1</v>
      </c>
      <c r="FB48" s="53">
        <v>0</v>
      </c>
      <c r="FC48" s="53">
        <v>1</v>
      </c>
      <c r="FD48" s="53">
        <v>1</v>
      </c>
      <c r="FF48" t="str">
        <v>Maryland</v>
      </c>
      <c r="FG48" s="127" t="str">
        <v>MD-2026-01-Remote</v>
      </c>
      <c r="FH48" s="89">
        <v>357.15999999999997</v>
      </c>
      <c r="FI48" s="89">
        <v>899.63</v>
      </c>
      <c r="FJ48" s="89">
        <v>929.96</v>
      </c>
      <c r="FK48" s="89">
        <v>956.91</v>
      </c>
      <c r="FL48" s="89">
        <v>987.24</v>
      </c>
      <c r="FM48" s="89">
        <v>1014.1899999999999</v>
      </c>
      <c r="FN48" s="89">
        <v>1041.1500000000001</v>
      </c>
      <c r="FO48" s="89">
        <v>1064.74</v>
      </c>
      <c r="FP48" s="89">
        <v>1098.43</v>
      </c>
      <c r="FQ48" s="89">
        <v>1122.02</v>
      </c>
      <c r="FR48" s="89">
        <v>1142.23</v>
      </c>
      <c r="FS48" s="89">
        <v>1004.09</v>
      </c>
    </row>
    <row r="49" spans="2:175" x14ac:dyDescent="0.25">
      <c r="B49" t="str">
        <v>New Jersey</v>
      </c>
      <c r="C49" s="116" t="str">
        <v>NJ-2026-01-Remote</v>
      </c>
      <c r="D49" s="3">
        <v>2026</v>
      </c>
      <c r="E49">
        <v>10</v>
      </c>
      <c r="G49" t="str">
        <v>JV2</v>
      </c>
      <c r="H49" t="str">
        <v>Center</v>
      </c>
      <c r="I49" t="str">
        <v>Maryland</v>
      </c>
      <c r="J49" s="53">
        <v>0</v>
      </c>
      <c r="K49" s="53">
        <v>0</v>
      </c>
      <c r="L49" s="53">
        <v>8086.0266666666657</v>
      </c>
      <c r="N49" s="53">
        <v>0</v>
      </c>
      <c r="O49" s="53">
        <v>0</v>
      </c>
      <c r="P49" s="53">
        <v>18.830000000000002</v>
      </c>
      <c r="R49" s="53">
        <v>0</v>
      </c>
      <c r="S49" s="53">
        <v>0</v>
      </c>
      <c r="T49" s="53">
        <v>2.86</v>
      </c>
      <c r="V49" s="53">
        <v>0</v>
      </c>
      <c r="W49" s="53">
        <v>0</v>
      </c>
      <c r="X49" s="53">
        <v>22</v>
      </c>
      <c r="Z49" s="53">
        <v>0</v>
      </c>
      <c r="AA49" s="53">
        <v>0</v>
      </c>
      <c r="AB49" s="53">
        <v>6</v>
      </c>
      <c r="AD49" s="53">
        <v>0</v>
      </c>
      <c r="AE49" s="53">
        <v>0</v>
      </c>
      <c r="AF49" s="53">
        <v>20</v>
      </c>
      <c r="AH49" s="53">
        <v>0</v>
      </c>
      <c r="AI49" s="53">
        <v>0</v>
      </c>
      <c r="AJ49" s="53">
        <v>20.642857142857142</v>
      </c>
      <c r="AL49" s="53">
        <v>0</v>
      </c>
      <c r="AM49" s="53">
        <v>0</v>
      </c>
      <c r="AN49" s="53">
        <v>3.5</v>
      </c>
      <c r="AP49" s="53">
        <v>0</v>
      </c>
      <c r="AQ49" s="53">
        <v>0</v>
      </c>
      <c r="AR49" s="53">
        <v>23.5</v>
      </c>
      <c r="AT49" s="53">
        <v>0</v>
      </c>
      <c r="AU49" s="53">
        <v>0</v>
      </c>
      <c r="AV49" s="53">
        <v>786840</v>
      </c>
      <c r="AX49" s="53">
        <v>0</v>
      </c>
      <c r="AY49" s="53">
        <v>0</v>
      </c>
      <c r="AZ49" s="53">
        <v>829017.21899612003</v>
      </c>
      <c r="BB49" s="53">
        <v>0</v>
      </c>
      <c r="BC49" s="53">
        <v>0</v>
      </c>
      <c r="BD49" s="53">
        <v>848942.61918821232</v>
      </c>
      <c r="BF49" s="53">
        <v>0</v>
      </c>
      <c r="BG49" s="53">
        <v>0</v>
      </c>
      <c r="BH49" s="53">
        <v>-121185.75992025439</v>
      </c>
      <c r="BJ49" s="53">
        <v>0</v>
      </c>
      <c r="BK49" s="53">
        <v>0</v>
      </c>
      <c r="BL49" s="53">
        <v>602205.8417575201</v>
      </c>
      <c r="BN49" s="53">
        <v>0</v>
      </c>
      <c r="BO49" s="53">
        <v>0</v>
      </c>
      <c r="BP49" s="53">
        <v>39752.953560319991</v>
      </c>
      <c r="BR49" s="53">
        <v>0</v>
      </c>
      <c r="BS49" s="53">
        <v>0</v>
      </c>
      <c r="BT49" s="53">
        <v>164237.95684296</v>
      </c>
      <c r="BV49" s="53">
        <v>0</v>
      </c>
      <c r="BW49" s="53">
        <v>0</v>
      </c>
      <c r="BX49" s="53">
        <v>6890.20440108</v>
      </c>
      <c r="BZ49" s="53">
        <v>0</v>
      </c>
      <c r="CA49" s="53">
        <v>0</v>
      </c>
      <c r="CB49" s="53">
        <v>15930.262434239999</v>
      </c>
      <c r="CD49" s="53">
        <v>0</v>
      </c>
      <c r="CE49" s="53">
        <v>0</v>
      </c>
      <c r="CF49" s="53">
        <v>35285.128475717109</v>
      </c>
      <c r="CH49" s="53">
        <v>0</v>
      </c>
      <c r="CI49" s="53">
        <v>0</v>
      </c>
      <c r="CJ49" s="53">
        <v>9871.3515896934405</v>
      </c>
      <c r="CL49" s="53">
        <v>0</v>
      </c>
      <c r="CM49" s="53">
        <v>0</v>
      </c>
      <c r="CN49" s="53">
        <v>180864.11367266663</v>
      </c>
      <c r="CP49" s="53">
        <v>0</v>
      </c>
      <c r="CQ49" s="53">
        <v>0</v>
      </c>
      <c r="CR49" s="53">
        <v>33716.533620689916</v>
      </c>
      <c r="CT49" s="53">
        <v>0</v>
      </c>
      <c r="CU49" s="53">
        <v>0</v>
      </c>
      <c r="CV49" s="53">
        <v>0</v>
      </c>
      <c r="CX49" s="53">
        <v>0</v>
      </c>
      <c r="CY49" s="53">
        <v>0</v>
      </c>
      <c r="CZ49" s="53">
        <v>762955.03442024009</v>
      </c>
      <c r="DB49" s="53">
        <v>0</v>
      </c>
      <c r="DC49" s="53">
        <v>0</v>
      </c>
      <c r="DD49" s="53">
        <v>106139.427331</v>
      </c>
      <c r="DF49" s="53">
        <v>0</v>
      </c>
      <c r="DG49" s="53">
        <v>0</v>
      </c>
      <c r="DH49" s="53">
        <v>43155.840000000011</v>
      </c>
      <c r="DJ49" s="53">
        <v>0</v>
      </c>
      <c r="DK49" s="53">
        <v>0</v>
      </c>
      <c r="DL49" s="53">
        <v>7029.9377241600014</v>
      </c>
      <c r="DN49" s="53">
        <v>0</v>
      </c>
      <c r="DO49" s="53">
        <v>0</v>
      </c>
      <c r="DP49" s="53">
        <v>30951.9</v>
      </c>
      <c r="DR49" s="53">
        <v>0</v>
      </c>
      <c r="DS49" s="53">
        <v>0</v>
      </c>
      <c r="DT49" s="53">
        <v>41928.119999999995</v>
      </c>
      <c r="DV49" s="53">
        <v>0</v>
      </c>
      <c r="DW49" s="53">
        <v>0</v>
      </c>
      <c r="DX49" s="53">
        <v>44375.625</v>
      </c>
      <c r="DZ49" s="53">
        <v>0</v>
      </c>
      <c r="EA49" s="53">
        <v>0</v>
      </c>
      <c r="EB49" s="53">
        <v>126877.11</v>
      </c>
      <c r="ED49" s="53">
        <v>0</v>
      </c>
      <c r="EE49" s="53">
        <v>0</v>
      </c>
      <c r="EF49" s="53">
        <v>66319.736703091534</v>
      </c>
      <c r="EH49" s="53">
        <v>0</v>
      </c>
      <c r="EI49" s="53">
        <v>0</v>
      </c>
      <c r="EJ49" s="53">
        <v>0</v>
      </c>
      <c r="EL49" s="53">
        <v>0</v>
      </c>
      <c r="EM49" s="53">
        <v>0</v>
      </c>
      <c r="EN49" s="53">
        <v>-137983.02787859197</v>
      </c>
      <c r="EP49" s="53">
        <v>0</v>
      </c>
      <c r="EQ49" s="53">
        <v>0</v>
      </c>
      <c r="ER49" s="53">
        <v>22969.981695477774</v>
      </c>
      <c r="ET49" s="53">
        <v>0</v>
      </c>
      <c r="EU49" s="53">
        <v>0</v>
      </c>
      <c r="EV49" s="53">
        <v>0</v>
      </c>
      <c r="EX49" s="53">
        <v>0</v>
      </c>
      <c r="EY49" s="53">
        <v>0</v>
      </c>
      <c r="EZ49" s="53">
        <v>0</v>
      </c>
      <c r="FB49" s="53">
        <v>0</v>
      </c>
      <c r="FC49" s="53">
        <v>0</v>
      </c>
      <c r="FD49" s="53">
        <v>1</v>
      </c>
      <c r="FF49" t="str">
        <v>Maryland</v>
      </c>
      <c r="FG49" s="127" t="str">
        <v>MD-2027-01-Center</v>
      </c>
      <c r="FH49" s="89">
        <v>0</v>
      </c>
      <c r="FI49" s="89">
        <v>0</v>
      </c>
      <c r="FJ49" s="89">
        <v>0</v>
      </c>
      <c r="FK49" s="89">
        <v>0</v>
      </c>
      <c r="FL49" s="89">
        <v>0</v>
      </c>
      <c r="FM49" s="89">
        <v>0</v>
      </c>
      <c r="FN49" s="89">
        <v>0</v>
      </c>
      <c r="FO49" s="89">
        <v>0</v>
      </c>
      <c r="FP49" s="89">
        <v>0</v>
      </c>
      <c r="FQ49" s="89">
        <v>0</v>
      </c>
      <c r="FR49" s="89">
        <v>0</v>
      </c>
      <c r="FS49" s="89">
        <v>0</v>
      </c>
    </row>
    <row r="50" spans="2:175" x14ac:dyDescent="0.25">
      <c r="B50" t="str">
        <v>New Jersey</v>
      </c>
      <c r="C50" s="116" t="str">
        <v>NJB4-Remote</v>
      </c>
      <c r="D50" s="3">
        <v>2026</v>
      </c>
      <c r="E50">
        <v>11</v>
      </c>
      <c r="G50" t="str">
        <v>JV2</v>
      </c>
      <c r="H50" t="str">
        <v>Center</v>
      </c>
      <c r="I50" t="str">
        <v>North Carolina</v>
      </c>
      <c r="J50" s="53">
        <v>8821.119999999999</v>
      </c>
      <c r="K50" s="53">
        <v>46310.879999999983</v>
      </c>
      <c r="L50" s="53">
        <v>52926.719999999979</v>
      </c>
      <c r="N50" s="53">
        <v>19.770000000000003</v>
      </c>
      <c r="O50" s="53">
        <v>39.53</v>
      </c>
      <c r="P50" s="53">
        <v>39.53</v>
      </c>
      <c r="R50" s="53">
        <v>3</v>
      </c>
      <c r="S50" s="53">
        <v>6</v>
      </c>
      <c r="T50" s="53">
        <v>6</v>
      </c>
      <c r="V50" s="53">
        <v>23</v>
      </c>
      <c r="W50" s="53">
        <v>46</v>
      </c>
      <c r="X50" s="53">
        <v>46</v>
      </c>
      <c r="Z50" s="53">
        <v>6</v>
      </c>
      <c r="AA50" s="53">
        <v>9</v>
      </c>
      <c r="AB50" s="53">
        <v>8</v>
      </c>
      <c r="AD50" s="53">
        <v>21</v>
      </c>
      <c r="AE50" s="53">
        <v>42</v>
      </c>
      <c r="AF50" s="53">
        <v>42</v>
      </c>
      <c r="AH50" s="53">
        <v>21.5</v>
      </c>
      <c r="AI50" s="53">
        <v>43</v>
      </c>
      <c r="AJ50" s="53">
        <v>45.5</v>
      </c>
      <c r="AL50" s="53">
        <v>3.5</v>
      </c>
      <c r="AM50" s="53">
        <v>25</v>
      </c>
      <c r="AN50" s="53">
        <v>45.5</v>
      </c>
      <c r="AP50" s="53">
        <v>24.5</v>
      </c>
      <c r="AQ50" s="53">
        <v>67</v>
      </c>
      <c r="AR50" s="53">
        <v>87.5</v>
      </c>
      <c r="AT50" s="53">
        <v>786840</v>
      </c>
      <c r="AU50" s="53">
        <v>0</v>
      </c>
      <c r="AV50" s="53">
        <v>0</v>
      </c>
      <c r="AX50" s="53">
        <v>866683.9125055999</v>
      </c>
      <c r="AY50" s="53">
        <v>4686593.2568740323</v>
      </c>
      <c r="AZ50" s="53">
        <v>5356106.5792846093</v>
      </c>
      <c r="BB50" s="53">
        <v>793362.07561826135</v>
      </c>
      <c r="BC50" s="53">
        <v>3757052.2530555492</v>
      </c>
      <c r="BD50" s="53">
        <v>4256852.5717448564</v>
      </c>
      <c r="BF50" s="53">
        <v>-123961.80202067198</v>
      </c>
      <c r="BG50" s="53">
        <v>-597634.37567448383</v>
      </c>
      <c r="BH50" s="53">
        <v>-677975.97436375311</v>
      </c>
      <c r="BJ50" s="53">
        <v>603406.90650239994</v>
      </c>
      <c r="BK50" s="53">
        <v>3262922.8469117279</v>
      </c>
      <c r="BL50" s="53">
        <v>3729054.6821848322</v>
      </c>
      <c r="BN50" s="53">
        <v>115691.13919999998</v>
      </c>
      <c r="BO50" s="53">
        <v>625599.83522399992</v>
      </c>
      <c r="BP50" s="53">
        <v>714971.24025599996</v>
      </c>
      <c r="BR50" s="53">
        <v>127397.91093120001</v>
      </c>
      <c r="BS50" s="53">
        <v>688904.20336046419</v>
      </c>
      <c r="BT50" s="53">
        <v>787319.08955481637</v>
      </c>
      <c r="BV50" s="53">
        <v>7208.4479039999997</v>
      </c>
      <c r="BW50" s="53">
        <v>38979.682040880005</v>
      </c>
      <c r="BX50" s="53">
        <v>44548.208046720007</v>
      </c>
      <c r="BZ50" s="53">
        <v>12979.507968</v>
      </c>
      <c r="CA50" s="53">
        <v>70186.68933696</v>
      </c>
      <c r="CB50" s="53">
        <v>80213.359242240011</v>
      </c>
      <c r="CD50" s="53">
        <v>36615.687972864005</v>
      </c>
      <c r="CE50" s="53">
        <v>197999.33271326212</v>
      </c>
      <c r="CF50" s="53">
        <v>226284.95167229956</v>
      </c>
      <c r="CH50" s="53">
        <v>9900.6334479360012</v>
      </c>
      <c r="CI50" s="53">
        <v>53537.675369713943</v>
      </c>
      <c r="CJ50" s="53">
        <v>61185.914708244505</v>
      </c>
      <c r="CL50" s="53">
        <v>166331.10433333335</v>
      </c>
      <c r="CM50" s="53">
        <v>293693.20708000002</v>
      </c>
      <c r="CN50" s="53">
        <v>293693.20708000002</v>
      </c>
      <c r="CP50" s="53">
        <v>27290.138523648002</v>
      </c>
      <c r="CQ50" s="53">
        <v>147571.42406662658</v>
      </c>
      <c r="CR50" s="53">
        <v>168653.05607614465</v>
      </c>
      <c r="CT50" s="53">
        <v>0</v>
      </c>
      <c r="CU50" s="53">
        <v>0</v>
      </c>
      <c r="CV50" s="53">
        <v>0</v>
      </c>
      <c r="CX50" s="53">
        <v>671301.79000542546</v>
      </c>
      <c r="CY50" s="53">
        <v>2992445.6870313324</v>
      </c>
      <c r="CZ50" s="53">
        <v>3694151.8768393891</v>
      </c>
      <c r="DB50" s="53">
        <v>46991</v>
      </c>
      <c r="DC50" s="53">
        <v>82972.680000000008</v>
      </c>
      <c r="DD50" s="53">
        <v>85461.86039999999</v>
      </c>
      <c r="DF50" s="53">
        <v>39200</v>
      </c>
      <c r="DG50" s="53">
        <v>69888</v>
      </c>
      <c r="DH50" s="53">
        <v>72683.520000000004</v>
      </c>
      <c r="DJ50" s="53">
        <v>6617.5015999999996</v>
      </c>
      <c r="DK50" s="53">
        <v>14854.202064000001</v>
      </c>
      <c r="DL50" s="53">
        <v>16093.418864640002</v>
      </c>
      <c r="DN50" s="53">
        <v>42000</v>
      </c>
      <c r="DO50" s="53">
        <v>73440</v>
      </c>
      <c r="DP50" s="53">
        <v>74908.800000000003</v>
      </c>
      <c r="DR50" s="53">
        <v>55079.499999999993</v>
      </c>
      <c r="DS50" s="53">
        <v>224944.17000000004</v>
      </c>
      <c r="DT50" s="53">
        <v>257230.57680000007</v>
      </c>
      <c r="DV50" s="53">
        <v>33250</v>
      </c>
      <c r="DW50" s="53">
        <v>59850</v>
      </c>
      <c r="DX50" s="53">
        <v>62842.5</v>
      </c>
      <c r="DZ50" s="53">
        <v>104139</v>
      </c>
      <c r="EA50" s="53">
        <v>0</v>
      </c>
      <c r="EB50" s="53">
        <v>0</v>
      </c>
      <c r="ED50" s="53">
        <v>100378.51531341753</v>
      </c>
      <c r="EE50" s="53">
        <v>351270.56150758488</v>
      </c>
      <c r="EF50" s="53">
        <v>350512.81440777204</v>
      </c>
      <c r="EH50" s="53">
        <v>0</v>
      </c>
      <c r="EI50" s="53">
        <v>0</v>
      </c>
      <c r="EJ50" s="53">
        <v>0</v>
      </c>
      <c r="EL50" s="53">
        <v>-121719.24844780628</v>
      </c>
      <c r="EM50" s="53">
        <v>-445347.27409607242</v>
      </c>
      <c r="EN50" s="53">
        <v>-638527.88576172816</v>
      </c>
      <c r="EP50" s="53">
        <v>18760.369255938142</v>
      </c>
      <c r="EQ50" s="53">
        <v>103698.98975997302</v>
      </c>
      <c r="ER50" s="53">
        <v>150348.97109767265</v>
      </c>
      <c r="ET50" s="53">
        <v>1</v>
      </c>
      <c r="EU50" s="53">
        <v>1</v>
      </c>
      <c r="EV50" s="53">
        <v>1</v>
      </c>
      <c r="EX50" s="53">
        <v>0</v>
      </c>
      <c r="EY50" s="53">
        <v>1</v>
      </c>
      <c r="EZ50" s="53">
        <v>1</v>
      </c>
      <c r="FB50" s="53">
        <v>1</v>
      </c>
      <c r="FC50" s="53">
        <v>1</v>
      </c>
      <c r="FD50" s="53">
        <v>1</v>
      </c>
      <c r="FF50" t="str">
        <v>North Carolina</v>
      </c>
      <c r="FG50" s="127" t="str">
        <v>MD-2028-01-Center</v>
      </c>
      <c r="FH50" s="89">
        <v>0</v>
      </c>
      <c r="FI50" s="89">
        <v>0</v>
      </c>
      <c r="FJ50" s="89">
        <v>0</v>
      </c>
      <c r="FK50" s="89">
        <v>0</v>
      </c>
      <c r="FL50" s="89">
        <v>0</v>
      </c>
      <c r="FM50" s="89">
        <v>0</v>
      </c>
      <c r="FN50" s="89">
        <v>0</v>
      </c>
      <c r="FO50" s="89">
        <v>0</v>
      </c>
      <c r="FP50" s="89">
        <v>0</v>
      </c>
      <c r="FQ50" s="89">
        <v>0</v>
      </c>
      <c r="FR50" s="89">
        <v>0</v>
      </c>
      <c r="FS50" s="89">
        <v>0</v>
      </c>
    </row>
    <row r="51" spans="2:175" x14ac:dyDescent="0.25">
      <c r="B51" t="str">
        <v>New Jersey</v>
      </c>
      <c r="C51" s="116" t="str">
        <v>NJ-2026-02-Remote</v>
      </c>
      <c r="D51" s="3">
        <v>2027</v>
      </c>
      <c r="E51">
        <v>2</v>
      </c>
      <c r="G51" t="str">
        <v>JV2</v>
      </c>
      <c r="H51" t="str">
        <v>Center</v>
      </c>
      <c r="I51" t="str">
        <v>North Carolina</v>
      </c>
      <c r="J51" s="53">
        <v>1575.1999999999998</v>
      </c>
      <c r="K51" s="53">
        <v>33499.253333333327</v>
      </c>
      <c r="L51" s="53">
        <v>50406.399999999994</v>
      </c>
      <c r="N51" s="53">
        <v>7.5299999999999994</v>
      </c>
      <c r="O51" s="53">
        <v>37.65</v>
      </c>
      <c r="P51" s="53">
        <v>37.65</v>
      </c>
      <c r="R51" s="53">
        <v>1.1499999999999999</v>
      </c>
      <c r="S51" s="53">
        <v>5.72</v>
      </c>
      <c r="T51" s="53">
        <v>5.72</v>
      </c>
      <c r="V51" s="53">
        <v>9</v>
      </c>
      <c r="W51" s="53">
        <v>43</v>
      </c>
      <c r="X51" s="53">
        <v>43</v>
      </c>
      <c r="Z51" s="53">
        <v>4</v>
      </c>
      <c r="AA51" s="53">
        <v>8</v>
      </c>
      <c r="AB51" s="53">
        <v>8</v>
      </c>
      <c r="AD51" s="53">
        <v>8</v>
      </c>
      <c r="AE51" s="53">
        <v>40</v>
      </c>
      <c r="AF51" s="53">
        <v>40</v>
      </c>
      <c r="AH51" s="53">
        <v>6.2142857142857144</v>
      </c>
      <c r="AI51" s="53">
        <v>45.571428571428569</v>
      </c>
      <c r="AJ51" s="53">
        <v>40.5</v>
      </c>
      <c r="AL51" s="53">
        <v>0.5</v>
      </c>
      <c r="AM51" s="53">
        <v>17</v>
      </c>
      <c r="AN51" s="53">
        <v>40.5</v>
      </c>
      <c r="AP51" s="53">
        <v>8.5</v>
      </c>
      <c r="AQ51" s="53">
        <v>57</v>
      </c>
      <c r="AR51" s="53">
        <v>80.5</v>
      </c>
      <c r="AT51" s="53">
        <v>756033.33333333326</v>
      </c>
      <c r="AU51" s="53">
        <v>151206.66666666666</v>
      </c>
      <c r="AV51" s="53">
        <v>0</v>
      </c>
      <c r="AX51" s="53">
        <v>154764.98437600001</v>
      </c>
      <c r="AY51" s="53">
        <v>3390075.3944281545</v>
      </c>
      <c r="AZ51" s="53">
        <v>5101053.8850329574</v>
      </c>
      <c r="BB51" s="53">
        <v>115534.05425088</v>
      </c>
      <c r="BC51" s="53">
        <v>2530734.9470141088</v>
      </c>
      <c r="BD51" s="53">
        <v>3808002.4281090028</v>
      </c>
      <c r="BF51" s="53">
        <v>-18571.798125119996</v>
      </c>
      <c r="BG51" s="53">
        <v>-406809.0473313785</v>
      </c>
      <c r="BH51" s="53">
        <v>-612126.46620395489</v>
      </c>
      <c r="BJ51" s="53">
        <v>107751.23330399999</v>
      </c>
      <c r="BK51" s="53">
        <v>2360254.8484463519</v>
      </c>
      <c r="BL51" s="53">
        <v>3551480.6496998384</v>
      </c>
      <c r="BN51" s="53">
        <v>20659.131999999998</v>
      </c>
      <c r="BO51" s="53">
        <v>452531.4000826666</v>
      </c>
      <c r="BP51" s="53">
        <v>680924.99071999977</v>
      </c>
      <c r="BR51" s="53">
        <v>22749.626951999999</v>
      </c>
      <c r="BS51" s="53">
        <v>498322.995174576</v>
      </c>
      <c r="BT51" s="53">
        <v>749827.70433792006</v>
      </c>
      <c r="BV51" s="53">
        <v>1287.2228399999999</v>
      </c>
      <c r="BW51" s="53">
        <v>28196.187235919999</v>
      </c>
      <c r="BX51" s="53">
        <v>42426.864806400001</v>
      </c>
      <c r="BZ51" s="53">
        <v>2317.76928</v>
      </c>
      <c r="CA51" s="53">
        <v>50769.963488639987</v>
      </c>
      <c r="CB51" s="53">
        <v>76393.675468799993</v>
      </c>
      <c r="CD51" s="53">
        <v>0</v>
      </c>
      <c r="CE51" s="53">
        <v>0</v>
      </c>
      <c r="CF51" s="53">
        <v>0</v>
      </c>
      <c r="CH51" s="53">
        <v>0</v>
      </c>
      <c r="CI51" s="53">
        <v>0</v>
      </c>
      <c r="CJ51" s="53">
        <v>0</v>
      </c>
      <c r="CL51" s="53">
        <v>0</v>
      </c>
      <c r="CM51" s="53">
        <v>0</v>
      </c>
      <c r="CN51" s="53">
        <v>0</v>
      </c>
      <c r="CP51" s="53">
        <v>0</v>
      </c>
      <c r="CQ51" s="53">
        <v>0</v>
      </c>
      <c r="CR51" s="53">
        <v>0</v>
      </c>
      <c r="CT51" s="53">
        <v>0</v>
      </c>
      <c r="CU51" s="53">
        <v>0</v>
      </c>
      <c r="CV51" s="53">
        <v>0</v>
      </c>
      <c r="CX51" s="53">
        <v>125649.45095334978</v>
      </c>
      <c r="CY51" s="53">
        <v>2068316.867768696</v>
      </c>
      <c r="CZ51" s="53">
        <v>3263259.8180137048</v>
      </c>
      <c r="DB51" s="53">
        <v>20139</v>
      </c>
      <c r="DC51" s="53">
        <v>82972.680000000008</v>
      </c>
      <c r="DD51" s="53">
        <v>85461.86039999999</v>
      </c>
      <c r="DF51" s="53">
        <v>13800</v>
      </c>
      <c r="DG51" s="53">
        <v>57408</v>
      </c>
      <c r="DH51" s="53">
        <v>59704.320000000007</v>
      </c>
      <c r="DJ51" s="53">
        <v>2277.7144000000003</v>
      </c>
      <c r="DK51" s="53">
        <v>14237.467087999999</v>
      </c>
      <c r="DL51" s="53">
        <v>15466.591861760007</v>
      </c>
      <c r="DN51" s="53">
        <v>13500</v>
      </c>
      <c r="DO51" s="53">
        <v>55080</v>
      </c>
      <c r="DP51" s="53">
        <v>56181.600000000013</v>
      </c>
      <c r="DR51" s="53">
        <v>13272.5</v>
      </c>
      <c r="DS51" s="53">
        <v>168473.90999999997</v>
      </c>
      <c r="DT51" s="53">
        <v>241922.13119999997</v>
      </c>
      <c r="DV51" s="53">
        <v>11850</v>
      </c>
      <c r="DW51" s="53">
        <v>49770</v>
      </c>
      <c r="DX51" s="53">
        <v>52258.5</v>
      </c>
      <c r="DZ51" s="53">
        <v>103139</v>
      </c>
      <c r="EA51" s="53">
        <v>0</v>
      </c>
      <c r="EB51" s="53">
        <v>0</v>
      </c>
      <c r="ED51" s="53">
        <v>13217.346020187266</v>
      </c>
      <c r="EE51" s="53">
        <v>231949.03395987104</v>
      </c>
      <c r="EF51" s="53">
        <v>313554.11676872091</v>
      </c>
      <c r="EH51" s="53">
        <v>0</v>
      </c>
      <c r="EI51" s="53">
        <v>0</v>
      </c>
      <c r="EJ51" s="53">
        <v>0</v>
      </c>
      <c r="EL51" s="53">
        <v>0</v>
      </c>
      <c r="EM51" s="53">
        <v>-327869.47119640233</v>
      </c>
      <c r="EN51" s="53">
        <v>-549780.35055823741</v>
      </c>
      <c r="EP51" s="53">
        <v>3350.0659385603831</v>
      </c>
      <c r="EQ51" s="53">
        <v>75011.287377395463</v>
      </c>
      <c r="ER51" s="53">
        <v>143189.49628349781</v>
      </c>
      <c r="ET51" s="53">
        <v>0</v>
      </c>
      <c r="EU51" s="53">
        <v>0</v>
      </c>
      <c r="EV51" s="53">
        <v>0</v>
      </c>
      <c r="EX51" s="53">
        <v>0</v>
      </c>
      <c r="EY51" s="53">
        <v>0</v>
      </c>
      <c r="EZ51" s="53">
        <v>0</v>
      </c>
      <c r="FB51" s="53">
        <v>0</v>
      </c>
      <c r="FC51" s="53">
        <v>0</v>
      </c>
      <c r="FD51" s="53">
        <v>0</v>
      </c>
      <c r="FF51" t="str">
        <v>North Carolina</v>
      </c>
      <c r="FG51" s="127" t="str">
        <v>NC-2026-01-Center</v>
      </c>
      <c r="FH51" s="89">
        <v>0</v>
      </c>
      <c r="FI51" s="89">
        <v>0</v>
      </c>
      <c r="FJ51" s="89">
        <v>0</v>
      </c>
      <c r="FK51" s="89">
        <v>0</v>
      </c>
      <c r="FL51" s="89">
        <v>0</v>
      </c>
      <c r="FM51" s="89">
        <v>363.9</v>
      </c>
      <c r="FN51" s="89">
        <v>963.65</v>
      </c>
      <c r="FO51" s="89">
        <v>993.98</v>
      </c>
      <c r="FP51" s="89">
        <v>1024.3</v>
      </c>
      <c r="FQ51" s="89">
        <v>1054.6299999999999</v>
      </c>
      <c r="FR51" s="89">
        <v>1095.06</v>
      </c>
      <c r="FS51" s="89">
        <v>1122.02</v>
      </c>
    </row>
    <row r="52" spans="2:175" x14ac:dyDescent="0.25">
      <c r="B52" t="str">
        <v>New Jersey</v>
      </c>
      <c r="C52" s="116" t="str">
        <v>NJ-2027-01-Remote</v>
      </c>
      <c r="D52" s="3">
        <v>2027</v>
      </c>
      <c r="E52">
        <v>6</v>
      </c>
      <c r="G52" t="str">
        <v>JV2</v>
      </c>
      <c r="H52" t="str">
        <v>Center</v>
      </c>
      <c r="I52" t="str">
        <v>North Carolina</v>
      </c>
      <c r="J52" s="53">
        <v>0</v>
      </c>
      <c r="K52" s="53">
        <v>6615.8399999999992</v>
      </c>
      <c r="L52" s="53">
        <v>44105.599999999991</v>
      </c>
      <c r="N52" s="53">
        <v>0</v>
      </c>
      <c r="O52" s="53">
        <v>16.950000000000003</v>
      </c>
      <c r="P52" s="53">
        <v>39.53</v>
      </c>
      <c r="R52" s="53">
        <v>0</v>
      </c>
      <c r="S52" s="53">
        <v>2.5799999999999996</v>
      </c>
      <c r="T52" s="53">
        <v>6</v>
      </c>
      <c r="V52" s="53">
        <v>0</v>
      </c>
      <c r="W52" s="53">
        <v>20</v>
      </c>
      <c r="X52" s="53">
        <v>46</v>
      </c>
      <c r="Z52" s="53">
        <v>0</v>
      </c>
      <c r="AA52" s="53">
        <v>6</v>
      </c>
      <c r="AB52" s="53">
        <v>9</v>
      </c>
      <c r="AD52" s="53">
        <v>0</v>
      </c>
      <c r="AE52" s="53">
        <v>18</v>
      </c>
      <c r="AF52" s="53">
        <v>42</v>
      </c>
      <c r="AH52" s="53">
        <v>0</v>
      </c>
      <c r="AI52" s="53">
        <v>17.5</v>
      </c>
      <c r="AJ52" s="53">
        <v>44</v>
      </c>
      <c r="AL52" s="53">
        <v>0</v>
      </c>
      <c r="AM52" s="53">
        <v>2.5</v>
      </c>
      <c r="AN52" s="53">
        <v>23</v>
      </c>
      <c r="AP52" s="53">
        <v>0</v>
      </c>
      <c r="AQ52" s="53">
        <v>20.5</v>
      </c>
      <c r="AR52" s="53">
        <v>65</v>
      </c>
      <c r="AT52" s="53">
        <v>0</v>
      </c>
      <c r="AU52" s="53">
        <v>786840</v>
      </c>
      <c r="AV52" s="53">
        <v>0</v>
      </c>
      <c r="AX52" s="53">
        <v>0</v>
      </c>
      <c r="AY52" s="53">
        <v>669513.32241057616</v>
      </c>
      <c r="AZ52" s="53">
        <v>4463422.1494038403</v>
      </c>
      <c r="BB52" s="53">
        <v>0</v>
      </c>
      <c r="BC52" s="53">
        <v>629025.32980450685</v>
      </c>
      <c r="BD52" s="53">
        <v>3590452.1468257802</v>
      </c>
      <c r="BF52" s="53">
        <v>0</v>
      </c>
      <c r="BG52" s="53">
        <v>-97963.191114069108</v>
      </c>
      <c r="BH52" s="53">
        <v>-570853.84277806082</v>
      </c>
      <c r="BJ52" s="53">
        <v>0</v>
      </c>
      <c r="BK52" s="53">
        <v>466131.83527310402</v>
      </c>
      <c r="BL52" s="53">
        <v>3107545.5684873601</v>
      </c>
      <c r="BN52" s="53">
        <v>0</v>
      </c>
      <c r="BO52" s="53">
        <v>89371.405031999995</v>
      </c>
      <c r="BP52" s="53">
        <v>595809.36687999999</v>
      </c>
      <c r="BR52" s="53">
        <v>0</v>
      </c>
      <c r="BS52" s="53">
        <v>98414.886194352002</v>
      </c>
      <c r="BT52" s="53">
        <v>656099.24129568017</v>
      </c>
      <c r="BV52" s="53">
        <v>0</v>
      </c>
      <c r="BW52" s="53">
        <v>5568.5260058399999</v>
      </c>
      <c r="BX52" s="53">
        <v>37123.506705600004</v>
      </c>
      <c r="BZ52" s="53">
        <v>0</v>
      </c>
      <c r="CA52" s="53">
        <v>10026.66990528</v>
      </c>
      <c r="CB52" s="53">
        <v>66844.466035200006</v>
      </c>
      <c r="CD52" s="53">
        <v>0</v>
      </c>
      <c r="CE52" s="53">
        <v>28285.618959037442</v>
      </c>
      <c r="CF52" s="53">
        <v>188570.79306024965</v>
      </c>
      <c r="CH52" s="53">
        <v>0</v>
      </c>
      <c r="CI52" s="53">
        <v>7648.2393385305622</v>
      </c>
      <c r="CJ52" s="53">
        <v>50988.262256870417</v>
      </c>
      <c r="CL52" s="53">
        <v>0</v>
      </c>
      <c r="CM52" s="53">
        <v>146846.60354000001</v>
      </c>
      <c r="CN52" s="53">
        <v>293693.20708000002</v>
      </c>
      <c r="CP52" s="53">
        <v>0</v>
      </c>
      <c r="CQ52" s="53">
        <v>21081.632009518082</v>
      </c>
      <c r="CR52" s="53">
        <v>140544.21339678721</v>
      </c>
      <c r="CT52" s="53">
        <v>0</v>
      </c>
      <c r="CU52" s="53">
        <v>0</v>
      </c>
      <c r="CV52" s="53">
        <v>0</v>
      </c>
      <c r="CX52" s="53">
        <v>0</v>
      </c>
      <c r="CY52" s="53">
        <v>578931.96167114272</v>
      </c>
      <c r="CZ52" s="53">
        <v>3160645.2390661575</v>
      </c>
      <c r="DB52" s="53">
        <v>0</v>
      </c>
      <c r="DC52" s="53">
        <v>41486.340000000004</v>
      </c>
      <c r="DD52" s="53">
        <v>85461.86039999999</v>
      </c>
      <c r="DF52" s="53">
        <v>0</v>
      </c>
      <c r="DG52" s="53">
        <v>34944</v>
      </c>
      <c r="DH52" s="53">
        <v>72683.520000000004</v>
      </c>
      <c r="DJ52" s="53">
        <v>0</v>
      </c>
      <c r="DK52" s="53">
        <v>5715.3110560000005</v>
      </c>
      <c r="DL52" s="53">
        <v>15382.771971840004</v>
      </c>
      <c r="DN52" s="53">
        <v>0</v>
      </c>
      <c r="DO52" s="53">
        <v>36720</v>
      </c>
      <c r="DP52" s="53">
        <v>74908.800000000003</v>
      </c>
      <c r="DR52" s="53">
        <v>0</v>
      </c>
      <c r="DS52" s="53">
        <v>44165.49</v>
      </c>
      <c r="DT52" s="53">
        <v>220324.9878</v>
      </c>
      <c r="DV52" s="53">
        <v>0</v>
      </c>
      <c r="DW52" s="53">
        <v>29925</v>
      </c>
      <c r="DX52" s="53">
        <v>62842.5</v>
      </c>
      <c r="DZ52" s="53">
        <v>0</v>
      </c>
      <c r="EA52" s="53">
        <v>104139</v>
      </c>
      <c r="EB52" s="53">
        <v>0</v>
      </c>
      <c r="ED52" s="53">
        <v>0</v>
      </c>
      <c r="EE52" s="53">
        <v>54015.490214788479</v>
      </c>
      <c r="EF52" s="53">
        <v>292736.72872685577</v>
      </c>
      <c r="EH52" s="53">
        <v>0</v>
      </c>
      <c r="EI52" s="53">
        <v>0</v>
      </c>
      <c r="EJ52" s="53">
        <v>0</v>
      </c>
      <c r="EL52" s="53">
        <v>0</v>
      </c>
      <c r="EM52" s="53">
        <v>-91733.180284393413</v>
      </c>
      <c r="EN52" s="53">
        <v>-424156.75192288193</v>
      </c>
      <c r="EP52" s="53">
        <v>0</v>
      </c>
      <c r="EQ52" s="53">
        <v>14814.141394281864</v>
      </c>
      <c r="ER52" s="53">
        <v>125290.80924806058</v>
      </c>
      <c r="ET52" s="53">
        <v>0</v>
      </c>
      <c r="EU52" s="53">
        <v>0</v>
      </c>
      <c r="EV52" s="53">
        <v>1</v>
      </c>
      <c r="EX52" s="53">
        <v>0</v>
      </c>
      <c r="EY52" s="53">
        <v>0</v>
      </c>
      <c r="EZ52" s="53">
        <v>1</v>
      </c>
      <c r="FB52" s="53">
        <v>0</v>
      </c>
      <c r="FC52" s="53">
        <v>1</v>
      </c>
      <c r="FD52" s="53">
        <v>1</v>
      </c>
      <c r="FF52" t="str">
        <v>North Carolina</v>
      </c>
      <c r="FG52" s="127" t="str">
        <v>NC-2026-02-Center</v>
      </c>
      <c r="FH52" s="89">
        <v>0</v>
      </c>
      <c r="FI52" s="89">
        <v>0</v>
      </c>
      <c r="FJ52" s="89">
        <v>0</v>
      </c>
      <c r="FK52" s="89">
        <v>0</v>
      </c>
      <c r="FL52" s="89">
        <v>0</v>
      </c>
      <c r="FM52" s="89">
        <v>0</v>
      </c>
      <c r="FN52" s="89">
        <v>0</v>
      </c>
      <c r="FO52" s="89">
        <v>0</v>
      </c>
      <c r="FP52" s="89">
        <v>0</v>
      </c>
      <c r="FQ52" s="89">
        <v>357.15999999999997</v>
      </c>
      <c r="FR52" s="89">
        <v>940.06999999999994</v>
      </c>
      <c r="FS52" s="89">
        <v>980.5</v>
      </c>
    </row>
    <row r="53" spans="2:175" x14ac:dyDescent="0.25">
      <c r="B53" t="str">
        <v>New Jersey</v>
      </c>
      <c r="C53" s="116" t="str">
        <v>NJ-2027-02-Remote</v>
      </c>
      <c r="D53" s="3">
        <v>2027</v>
      </c>
      <c r="E53">
        <v>10</v>
      </c>
      <c r="G53" t="str">
        <v>JV2</v>
      </c>
      <c r="H53" t="str">
        <v>Remote</v>
      </c>
      <c r="I53" t="str">
        <v>Arizona</v>
      </c>
      <c r="J53" s="53">
        <v>6866.3466666666673</v>
      </c>
      <c r="K53" s="53">
        <v>15384.746666666664</v>
      </c>
      <c r="L53" s="53">
        <v>15487.999999999998</v>
      </c>
      <c r="N53" s="53">
        <v>9.48</v>
      </c>
      <c r="O53" s="53">
        <v>11.28</v>
      </c>
      <c r="P53" s="53">
        <v>11.28</v>
      </c>
      <c r="R53" s="53">
        <v>1.91</v>
      </c>
      <c r="S53" s="53">
        <v>2.2799999999999998</v>
      </c>
      <c r="T53" s="53">
        <v>2.2799999999999998</v>
      </c>
      <c r="V53" s="53">
        <v>11</v>
      </c>
      <c r="W53" s="53">
        <v>14</v>
      </c>
      <c r="X53" s="53">
        <v>14</v>
      </c>
      <c r="Z53" s="53">
        <v>4</v>
      </c>
      <c r="AA53" s="53">
        <v>4</v>
      </c>
      <c r="AB53" s="53">
        <v>3</v>
      </c>
      <c r="AD53" s="53">
        <v>21</v>
      </c>
      <c r="AE53" s="53">
        <v>25</v>
      </c>
      <c r="AF53" s="53">
        <v>25</v>
      </c>
      <c r="AH53" s="53">
        <v>30.642857142857146</v>
      </c>
      <c r="AI53" s="53">
        <v>25.785714285714285</v>
      </c>
      <c r="AJ53" s="53">
        <v>24</v>
      </c>
      <c r="AL53" s="53">
        <v>11</v>
      </c>
      <c r="AM53" s="53">
        <v>24</v>
      </c>
      <c r="AN53" s="53">
        <v>24</v>
      </c>
      <c r="AP53" s="53">
        <v>32</v>
      </c>
      <c r="AQ53" s="53">
        <v>49</v>
      </c>
      <c r="AR53" s="53">
        <v>49</v>
      </c>
      <c r="AT53" s="53">
        <v>0</v>
      </c>
      <c r="AU53" s="53">
        <v>0</v>
      </c>
      <c r="AV53" s="53">
        <v>0</v>
      </c>
      <c r="AX53" s="53">
        <v>712461.63395866647</v>
      </c>
      <c r="AY53" s="53">
        <v>1644232.8866712262</v>
      </c>
      <c r="AZ53" s="53">
        <v>1655268.0067159997</v>
      </c>
      <c r="BB53" s="53">
        <v>626966.23788362648</v>
      </c>
      <c r="BC53" s="53">
        <v>1446924.9402706798</v>
      </c>
      <c r="BD53" s="53">
        <v>1456635.8459100805</v>
      </c>
      <c r="BF53" s="53">
        <v>-85495.396075039986</v>
      </c>
      <c r="BG53" s="53">
        <v>-197307.94640054714</v>
      </c>
      <c r="BH53" s="53">
        <v>-198632.16080591994</v>
      </c>
      <c r="BJ53" s="53">
        <v>557630.76914999983</v>
      </c>
      <c r="BK53" s="53">
        <v>1286911.1900969995</v>
      </c>
      <c r="BL53" s="53">
        <v>1295548.1779499997</v>
      </c>
      <c r="BN53" s="53">
        <v>0</v>
      </c>
      <c r="BO53" s="53">
        <v>0</v>
      </c>
      <c r="BP53" s="53">
        <v>0</v>
      </c>
      <c r="BR53" s="53">
        <v>112603.70120999998</v>
      </c>
      <c r="BS53" s="53">
        <v>259869.02292780002</v>
      </c>
      <c r="BT53" s="53">
        <v>261613.11033000002</v>
      </c>
      <c r="BV53" s="53">
        <v>17323.646339999999</v>
      </c>
      <c r="BW53" s="53">
        <v>39979.849681200001</v>
      </c>
      <c r="BX53" s="53">
        <v>40248.170819999999</v>
      </c>
      <c r="BZ53" s="53">
        <v>24903.517258666663</v>
      </c>
      <c r="CA53" s="53">
        <v>57472.823965226671</v>
      </c>
      <c r="CB53" s="53">
        <v>57858.547616000003</v>
      </c>
      <c r="CD53" s="53">
        <v>0</v>
      </c>
      <c r="CE53" s="53">
        <v>0</v>
      </c>
      <c r="CF53" s="53">
        <v>0</v>
      </c>
      <c r="CH53" s="53">
        <v>0</v>
      </c>
      <c r="CI53" s="53">
        <v>0</v>
      </c>
      <c r="CJ53" s="53">
        <v>0</v>
      </c>
      <c r="CL53" s="53">
        <v>0</v>
      </c>
      <c r="CM53" s="53">
        <v>0</v>
      </c>
      <c r="CN53" s="53">
        <v>0</v>
      </c>
      <c r="CP53" s="53">
        <v>0</v>
      </c>
      <c r="CQ53" s="53">
        <v>0</v>
      </c>
      <c r="CR53" s="53">
        <v>0</v>
      </c>
      <c r="CT53" s="53">
        <v>0</v>
      </c>
      <c r="CU53" s="53">
        <v>0</v>
      </c>
      <c r="CV53" s="53">
        <v>0</v>
      </c>
      <c r="CX53" s="53">
        <v>552232.03500748856</v>
      </c>
      <c r="CY53" s="53">
        <v>901435.79880470608</v>
      </c>
      <c r="CZ53" s="53">
        <v>991989.85234671459</v>
      </c>
      <c r="DB53" s="53">
        <v>0</v>
      </c>
      <c r="DC53" s="53">
        <v>0</v>
      </c>
      <c r="DD53" s="53">
        <v>0</v>
      </c>
      <c r="DF53" s="53">
        <v>0</v>
      </c>
      <c r="DG53" s="53">
        <v>0</v>
      </c>
      <c r="DH53" s="53">
        <v>0</v>
      </c>
      <c r="DJ53" s="53">
        <v>11028.046200000001</v>
      </c>
      <c r="DK53" s="53">
        <v>12499.395791999999</v>
      </c>
      <c r="DL53" s="53">
        <v>12857.242245120004</v>
      </c>
      <c r="DN53" s="53">
        <v>54000</v>
      </c>
      <c r="DO53" s="53">
        <v>55080</v>
      </c>
      <c r="DP53" s="53">
        <v>56181.600000000013</v>
      </c>
      <c r="DR53" s="53">
        <v>68780</v>
      </c>
      <c r="DS53" s="53">
        <v>117274.49999999999</v>
      </c>
      <c r="DT53" s="53">
        <v>119978.92800000003</v>
      </c>
      <c r="DV53" s="53">
        <v>23400</v>
      </c>
      <c r="DW53" s="53">
        <v>24570</v>
      </c>
      <c r="DX53" s="53">
        <v>25798.5</v>
      </c>
      <c r="DZ53" s="53">
        <v>0</v>
      </c>
      <c r="EA53" s="53">
        <v>0</v>
      </c>
      <c r="EB53" s="53">
        <v>0</v>
      </c>
      <c r="ED53" s="53">
        <v>87870.659526712945</v>
      </c>
      <c r="EE53" s="53">
        <v>137161.25595711966</v>
      </c>
      <c r="EF53" s="53">
        <v>119940.61840575059</v>
      </c>
      <c r="EH53" s="53">
        <v>0</v>
      </c>
      <c r="EI53" s="53">
        <v>0</v>
      </c>
      <c r="EJ53" s="53">
        <v>0</v>
      </c>
      <c r="EL53" s="53">
        <v>-36062.343757967988</v>
      </c>
      <c r="EM53" s="53">
        <v>-187517.11649363791</v>
      </c>
      <c r="EN53" s="53">
        <v>-218495.37688651201</v>
      </c>
      <c r="EP53" s="53">
        <v>14603.04348041368</v>
      </c>
      <c r="EQ53" s="53">
        <v>34449.414199135193</v>
      </c>
      <c r="ER53" s="53">
        <v>43996.772601074743</v>
      </c>
      <c r="ET53" s="53">
        <v>0</v>
      </c>
      <c r="EU53" s="53">
        <v>0</v>
      </c>
      <c r="EV53" s="53">
        <v>0</v>
      </c>
      <c r="EX53" s="53">
        <v>0</v>
      </c>
      <c r="EY53" s="53">
        <v>0</v>
      </c>
      <c r="EZ53" s="53">
        <v>0</v>
      </c>
      <c r="FB53" s="53">
        <v>0</v>
      </c>
      <c r="FC53" s="53">
        <v>0</v>
      </c>
      <c r="FD53" s="53">
        <v>0</v>
      </c>
      <c r="FF53" t="str">
        <v>Arizona</v>
      </c>
      <c r="FG53" s="127" t="str">
        <v>NC-2027-01-Center</v>
      </c>
      <c r="FH53" s="89">
        <v>0</v>
      </c>
      <c r="FI53" s="89">
        <v>0</v>
      </c>
      <c r="FJ53" s="89">
        <v>0</v>
      </c>
      <c r="FK53" s="89">
        <v>0</v>
      </c>
      <c r="FL53" s="89">
        <v>0</v>
      </c>
      <c r="FM53" s="89">
        <v>0</v>
      </c>
      <c r="FN53" s="89">
        <v>0</v>
      </c>
      <c r="FO53" s="89">
        <v>0</v>
      </c>
      <c r="FP53" s="89">
        <v>0</v>
      </c>
      <c r="FQ53" s="89">
        <v>0</v>
      </c>
      <c r="FR53" s="89">
        <v>0</v>
      </c>
      <c r="FS53" s="89">
        <v>0</v>
      </c>
    </row>
    <row r="54" spans="2:175" x14ac:dyDescent="0.25">
      <c r="B54" t="str">
        <v>New Jersey</v>
      </c>
      <c r="C54" s="116" t="str">
        <v>NJ-2027-04-Remote</v>
      </c>
      <c r="D54" s="3">
        <v>2028</v>
      </c>
      <c r="E54">
        <v>3</v>
      </c>
      <c r="G54" t="str">
        <v>JV2</v>
      </c>
      <c r="H54" t="str">
        <v>Remote</v>
      </c>
      <c r="I54" t="str">
        <v>Arizona</v>
      </c>
      <c r="J54" s="53">
        <v>0</v>
      </c>
      <c r="K54" s="53">
        <v>6608.2133333333331</v>
      </c>
      <c r="L54" s="53">
        <v>14765.226666666669</v>
      </c>
      <c r="N54" s="53">
        <v>0</v>
      </c>
      <c r="O54" s="53">
        <v>9.02</v>
      </c>
      <c r="P54" s="53">
        <v>10.83</v>
      </c>
      <c r="R54" s="53">
        <v>0</v>
      </c>
      <c r="S54" s="53">
        <v>1.82</v>
      </c>
      <c r="T54" s="53">
        <v>2.19</v>
      </c>
      <c r="V54" s="53">
        <v>0</v>
      </c>
      <c r="W54" s="53">
        <v>11</v>
      </c>
      <c r="X54" s="53">
        <v>13</v>
      </c>
      <c r="Z54" s="53">
        <v>0</v>
      </c>
      <c r="AA54" s="53">
        <v>3</v>
      </c>
      <c r="AB54" s="53">
        <v>3</v>
      </c>
      <c r="AD54" s="53">
        <v>0</v>
      </c>
      <c r="AE54" s="53">
        <v>20</v>
      </c>
      <c r="AF54" s="53">
        <v>24</v>
      </c>
      <c r="AH54" s="53">
        <v>0</v>
      </c>
      <c r="AI54" s="53">
        <v>29.857142857142854</v>
      </c>
      <c r="AJ54" s="53">
        <v>25.714285714285715</v>
      </c>
      <c r="AL54" s="53">
        <v>0</v>
      </c>
      <c r="AM54" s="53">
        <v>11</v>
      </c>
      <c r="AN54" s="53">
        <v>24</v>
      </c>
      <c r="AP54" s="53">
        <v>0</v>
      </c>
      <c r="AQ54" s="53">
        <v>31</v>
      </c>
      <c r="AR54" s="53">
        <v>48</v>
      </c>
      <c r="AT54" s="53">
        <v>0</v>
      </c>
      <c r="AU54" s="53">
        <v>0</v>
      </c>
      <c r="AV54" s="53">
        <v>0</v>
      </c>
      <c r="AX54" s="53">
        <v>0</v>
      </c>
      <c r="AY54" s="53">
        <v>706247.68286549323</v>
      </c>
      <c r="AZ54" s="53">
        <v>1578022.1664025863</v>
      </c>
      <c r="BB54" s="53">
        <v>0</v>
      </c>
      <c r="BC54" s="53">
        <v>621497.96092163387</v>
      </c>
      <c r="BD54" s="53">
        <v>1388659.506434276</v>
      </c>
      <c r="BF54" s="53">
        <v>0</v>
      </c>
      <c r="BG54" s="53">
        <v>-84749.721943859171</v>
      </c>
      <c r="BH54" s="53">
        <v>-189362.65996831036</v>
      </c>
      <c r="BJ54" s="53">
        <v>0</v>
      </c>
      <c r="BK54" s="53">
        <v>552767.2225919998</v>
      </c>
      <c r="BL54" s="53">
        <v>1235089.2629789996</v>
      </c>
      <c r="BN54" s="53">
        <v>0</v>
      </c>
      <c r="BO54" s="53">
        <v>0</v>
      </c>
      <c r="BP54" s="53">
        <v>0</v>
      </c>
      <c r="BR54" s="53">
        <v>0</v>
      </c>
      <c r="BS54" s="53">
        <v>111621.5937408</v>
      </c>
      <c r="BT54" s="53">
        <v>249404.4985146001</v>
      </c>
      <c r="BV54" s="53">
        <v>0</v>
      </c>
      <c r="BW54" s="53">
        <v>17172.552883199998</v>
      </c>
      <c r="BX54" s="53">
        <v>38369.922848399998</v>
      </c>
      <c r="BZ54" s="53">
        <v>0</v>
      </c>
      <c r="CA54" s="53">
        <v>24686.313649493331</v>
      </c>
      <c r="CB54" s="53">
        <v>55158.48206058667</v>
      </c>
      <c r="CD54" s="53">
        <v>0</v>
      </c>
      <c r="CE54" s="53">
        <v>0</v>
      </c>
      <c r="CF54" s="53">
        <v>0</v>
      </c>
      <c r="CH54" s="53">
        <v>0</v>
      </c>
      <c r="CI54" s="53">
        <v>0</v>
      </c>
      <c r="CJ54" s="53">
        <v>0</v>
      </c>
      <c r="CL54" s="53">
        <v>0</v>
      </c>
      <c r="CM54" s="53">
        <v>0</v>
      </c>
      <c r="CN54" s="53">
        <v>0</v>
      </c>
      <c r="CP54" s="53">
        <v>0</v>
      </c>
      <c r="CQ54" s="53">
        <v>0</v>
      </c>
      <c r="CR54" s="53">
        <v>0</v>
      </c>
      <c r="CT54" s="53">
        <v>0</v>
      </c>
      <c r="CU54" s="53">
        <v>0</v>
      </c>
      <c r="CV54" s="53">
        <v>0</v>
      </c>
      <c r="CX54" s="53">
        <v>0</v>
      </c>
      <c r="CY54" s="53">
        <v>469746.47505736805</v>
      </c>
      <c r="CZ54" s="53">
        <v>828951.1558826149</v>
      </c>
      <c r="DB54" s="53">
        <v>0</v>
      </c>
      <c r="DC54" s="53">
        <v>0</v>
      </c>
      <c r="DD54" s="53">
        <v>0</v>
      </c>
      <c r="DF54" s="53">
        <v>0</v>
      </c>
      <c r="DG54" s="53">
        <v>0</v>
      </c>
      <c r="DH54" s="53">
        <v>0</v>
      </c>
      <c r="DJ54" s="53">
        <v>0</v>
      </c>
      <c r="DK54" s="53">
        <v>11381.563647999999</v>
      </c>
      <c r="DL54" s="53">
        <v>12981.149908480003</v>
      </c>
      <c r="DN54" s="53">
        <v>0</v>
      </c>
      <c r="DO54" s="53">
        <v>55080</v>
      </c>
      <c r="DP54" s="53">
        <v>56181.600000000013</v>
      </c>
      <c r="DR54" s="53">
        <v>0</v>
      </c>
      <c r="DS54" s="53">
        <v>68646</v>
      </c>
      <c r="DT54" s="53">
        <v>116217.88199999997</v>
      </c>
      <c r="DV54" s="53">
        <v>0</v>
      </c>
      <c r="DW54" s="53">
        <v>24570</v>
      </c>
      <c r="DX54" s="53">
        <v>25798.5</v>
      </c>
      <c r="DZ54" s="53">
        <v>0</v>
      </c>
      <c r="EA54" s="53">
        <v>0</v>
      </c>
      <c r="EB54" s="53">
        <v>0</v>
      </c>
      <c r="ED54" s="53">
        <v>0</v>
      </c>
      <c r="EE54" s="53">
        <v>55875.306243125946</v>
      </c>
      <c r="EF54" s="53">
        <v>114276.28445699291</v>
      </c>
      <c r="EH54" s="53">
        <v>0</v>
      </c>
      <c r="EI54" s="53">
        <v>0</v>
      </c>
      <c r="EJ54" s="53">
        <v>0</v>
      </c>
      <c r="EL54" s="53">
        <v>0</v>
      </c>
      <c r="EM54" s="53">
        <v>-32774.306532976792</v>
      </c>
      <c r="EN54" s="53">
        <v>-181351.16281580491</v>
      </c>
      <c r="EP54" s="53">
        <v>0</v>
      </c>
      <c r="EQ54" s="53">
        <v>14797.063817078208</v>
      </c>
      <c r="ER54" s="53">
        <v>41943.589879691273</v>
      </c>
      <c r="ET54" s="53">
        <v>0</v>
      </c>
      <c r="EU54" s="53">
        <v>0</v>
      </c>
      <c r="EV54" s="53">
        <v>0</v>
      </c>
      <c r="EX54" s="53">
        <v>0</v>
      </c>
      <c r="EY54" s="53">
        <v>0</v>
      </c>
      <c r="EZ54" s="53">
        <v>0</v>
      </c>
      <c r="FB54" s="53">
        <v>0</v>
      </c>
      <c r="FC54" s="53">
        <v>0</v>
      </c>
      <c r="FD54" s="53">
        <v>0</v>
      </c>
      <c r="FF54" t="str">
        <v>Arizona</v>
      </c>
      <c r="FG54" s="127" t="str">
        <v>AZB2-Remote</v>
      </c>
      <c r="FH54" s="89">
        <v>350.42</v>
      </c>
      <c r="FI54" s="89">
        <v>855.83</v>
      </c>
      <c r="FJ54" s="89">
        <v>872.68</v>
      </c>
      <c r="FK54" s="89">
        <v>899.63</v>
      </c>
      <c r="FL54" s="89">
        <v>919.85</v>
      </c>
      <c r="FM54" s="89">
        <v>943.43999999999994</v>
      </c>
      <c r="FN54" s="89">
        <v>970.39</v>
      </c>
      <c r="FO54" s="89">
        <v>997.35</v>
      </c>
      <c r="FP54" s="89">
        <v>1020.93</v>
      </c>
      <c r="FQ54" s="89">
        <v>1041.1500000000001</v>
      </c>
      <c r="FR54" s="89">
        <v>1064.74</v>
      </c>
      <c r="FS54" s="89">
        <v>1091.69</v>
      </c>
    </row>
    <row r="55" spans="2:175" x14ac:dyDescent="0.25">
      <c r="B55" t="str">
        <v>New Jersey</v>
      </c>
      <c r="C55" s="116" t="str">
        <v>NJ-2028-01-Remote</v>
      </c>
      <c r="D55" s="3">
        <v>2028</v>
      </c>
      <c r="E55">
        <v>6</v>
      </c>
      <c r="G55" t="str">
        <v>JV2</v>
      </c>
      <c r="H55" t="str">
        <v>Center</v>
      </c>
      <c r="I55" t="str">
        <v>North Carolina</v>
      </c>
      <c r="J55" s="53">
        <v>0</v>
      </c>
      <c r="K55" s="53">
        <v>0</v>
      </c>
      <c r="L55" s="53">
        <v>8821.119999999999</v>
      </c>
      <c r="N55" s="53">
        <v>0</v>
      </c>
      <c r="O55" s="53">
        <v>0</v>
      </c>
      <c r="P55" s="53">
        <v>19.770000000000003</v>
      </c>
      <c r="R55" s="53">
        <v>0</v>
      </c>
      <c r="S55" s="53">
        <v>0</v>
      </c>
      <c r="T55" s="53">
        <v>3</v>
      </c>
      <c r="V55" s="53">
        <v>0</v>
      </c>
      <c r="W55" s="53">
        <v>0</v>
      </c>
      <c r="X55" s="53">
        <v>23</v>
      </c>
      <c r="Z55" s="53">
        <v>0</v>
      </c>
      <c r="AA55" s="53">
        <v>0</v>
      </c>
      <c r="AB55" s="53">
        <v>6</v>
      </c>
      <c r="AD55" s="53">
        <v>0</v>
      </c>
      <c r="AE55" s="53">
        <v>0</v>
      </c>
      <c r="AF55" s="53">
        <v>21</v>
      </c>
      <c r="AH55" s="53">
        <v>0</v>
      </c>
      <c r="AI55" s="53">
        <v>0</v>
      </c>
      <c r="AJ55" s="53">
        <v>21.5</v>
      </c>
      <c r="AL55" s="53">
        <v>0</v>
      </c>
      <c r="AM55" s="53">
        <v>0</v>
      </c>
      <c r="AN55" s="53">
        <v>3.5</v>
      </c>
      <c r="AP55" s="53">
        <v>0</v>
      </c>
      <c r="AQ55" s="53">
        <v>0</v>
      </c>
      <c r="AR55" s="53">
        <v>24.5</v>
      </c>
      <c r="AT55" s="53">
        <v>0</v>
      </c>
      <c r="AU55" s="53">
        <v>0</v>
      </c>
      <c r="AV55" s="53">
        <v>786840</v>
      </c>
      <c r="AX55" s="53">
        <v>0</v>
      </c>
      <c r="AY55" s="53">
        <v>0</v>
      </c>
      <c r="AZ55" s="53">
        <v>892684.42988076806</v>
      </c>
      <c r="BB55" s="53">
        <v>0</v>
      </c>
      <c r="BC55" s="53">
        <v>0</v>
      </c>
      <c r="BD55" s="53">
        <v>817162.93788680923</v>
      </c>
      <c r="BF55" s="53">
        <v>0</v>
      </c>
      <c r="BG55" s="53">
        <v>0</v>
      </c>
      <c r="BH55" s="53">
        <v>-127680.65608129215</v>
      </c>
      <c r="BJ55" s="53">
        <v>0</v>
      </c>
      <c r="BK55" s="53">
        <v>0</v>
      </c>
      <c r="BL55" s="53">
        <v>621509.11369747203</v>
      </c>
      <c r="BN55" s="53">
        <v>0</v>
      </c>
      <c r="BO55" s="53">
        <v>0</v>
      </c>
      <c r="BP55" s="53">
        <v>119161.873376</v>
      </c>
      <c r="BR55" s="53">
        <v>0</v>
      </c>
      <c r="BS55" s="53">
        <v>0</v>
      </c>
      <c r="BT55" s="53">
        <v>131219.84825913602</v>
      </c>
      <c r="BV55" s="53">
        <v>0</v>
      </c>
      <c r="BW55" s="53">
        <v>0</v>
      </c>
      <c r="BX55" s="53">
        <v>7424.7013411199996</v>
      </c>
      <c r="BZ55" s="53">
        <v>0</v>
      </c>
      <c r="CA55" s="53">
        <v>0</v>
      </c>
      <c r="CB55" s="53">
        <v>13368.893207040001</v>
      </c>
      <c r="CD55" s="53">
        <v>0</v>
      </c>
      <c r="CE55" s="53">
        <v>0</v>
      </c>
      <c r="CF55" s="53">
        <v>37714.15861204992</v>
      </c>
      <c r="CH55" s="53">
        <v>0</v>
      </c>
      <c r="CI55" s="53">
        <v>0</v>
      </c>
      <c r="CJ55" s="53">
        <v>10197.652451374082</v>
      </c>
      <c r="CL55" s="53">
        <v>0</v>
      </c>
      <c r="CM55" s="53">
        <v>0</v>
      </c>
      <c r="CN55" s="53">
        <v>171321.03746333334</v>
      </c>
      <c r="CP55" s="53">
        <v>0</v>
      </c>
      <c r="CQ55" s="53">
        <v>0</v>
      </c>
      <c r="CR55" s="53">
        <v>28108.842679357444</v>
      </c>
      <c r="CT55" s="53">
        <v>0</v>
      </c>
      <c r="CU55" s="53">
        <v>0</v>
      </c>
      <c r="CV55" s="53">
        <v>0</v>
      </c>
      <c r="CX55" s="53">
        <v>0</v>
      </c>
      <c r="CY55" s="53">
        <v>0</v>
      </c>
      <c r="CZ55" s="53">
        <v>812275.1659065648</v>
      </c>
      <c r="DB55" s="53">
        <v>0</v>
      </c>
      <c r="DC55" s="53">
        <v>0</v>
      </c>
      <c r="DD55" s="53">
        <v>49852.751899999996</v>
      </c>
      <c r="DF55" s="53">
        <v>0</v>
      </c>
      <c r="DG55" s="53">
        <v>0</v>
      </c>
      <c r="DH55" s="53">
        <v>42398.720000000001</v>
      </c>
      <c r="DJ55" s="53">
        <v>0</v>
      </c>
      <c r="DK55" s="53">
        <v>0</v>
      </c>
      <c r="DL55" s="53">
        <v>7157.4897305600016</v>
      </c>
      <c r="DN55" s="53">
        <v>0</v>
      </c>
      <c r="DO55" s="53">
        <v>0</v>
      </c>
      <c r="DP55" s="53">
        <v>43696.800000000003</v>
      </c>
      <c r="DR55" s="53">
        <v>0</v>
      </c>
      <c r="DS55" s="53">
        <v>0</v>
      </c>
      <c r="DT55" s="53">
        <v>57304.71179999999</v>
      </c>
      <c r="DV55" s="53">
        <v>0</v>
      </c>
      <c r="DW55" s="53">
        <v>0</v>
      </c>
      <c r="DX55" s="53">
        <v>36658.125</v>
      </c>
      <c r="DZ55" s="53">
        <v>0</v>
      </c>
      <c r="EA55" s="53">
        <v>0</v>
      </c>
      <c r="EB55" s="53">
        <v>104139</v>
      </c>
      <c r="ED55" s="53">
        <v>0</v>
      </c>
      <c r="EE55" s="53">
        <v>0</v>
      </c>
      <c r="EF55" s="53">
        <v>63909.689823640358</v>
      </c>
      <c r="EH55" s="53">
        <v>0</v>
      </c>
      <c r="EI55" s="53">
        <v>0</v>
      </c>
      <c r="EJ55" s="53">
        <v>0</v>
      </c>
      <c r="EL55" s="53">
        <v>0</v>
      </c>
      <c r="EM55" s="53">
        <v>0</v>
      </c>
      <c r="EN55" s="53">
        <v>-125370.82590124052</v>
      </c>
      <c r="EP55" s="53">
        <v>0</v>
      </c>
      <c r="EQ55" s="53">
        <v>0</v>
      </c>
      <c r="ER55" s="53">
        <v>25058.161849612115</v>
      </c>
      <c r="ET55" s="53">
        <v>0</v>
      </c>
      <c r="EU55" s="53">
        <v>0</v>
      </c>
      <c r="EV55" s="53">
        <v>1</v>
      </c>
      <c r="EX55" s="53">
        <v>0</v>
      </c>
      <c r="EY55" s="53">
        <v>0</v>
      </c>
      <c r="EZ55" s="53">
        <v>0</v>
      </c>
      <c r="FB55" s="53">
        <v>0</v>
      </c>
      <c r="FC55" s="53">
        <v>0</v>
      </c>
      <c r="FD55" s="53">
        <v>1</v>
      </c>
      <c r="FF55" t="str">
        <v>North Carolina</v>
      </c>
      <c r="FG55" s="127" t="str">
        <v>AZB3-Remote</v>
      </c>
      <c r="FH55" s="89">
        <v>0</v>
      </c>
      <c r="FI55" s="89">
        <v>0</v>
      </c>
      <c r="FJ55" s="89">
        <v>0</v>
      </c>
      <c r="FK55" s="89">
        <v>0</v>
      </c>
      <c r="FL55" s="89">
        <v>0</v>
      </c>
      <c r="FM55" s="89">
        <v>0</v>
      </c>
      <c r="FN55" s="89">
        <v>0</v>
      </c>
      <c r="FO55" s="89">
        <v>0</v>
      </c>
      <c r="FP55" s="89">
        <v>0</v>
      </c>
      <c r="FQ55" s="89">
        <v>0</v>
      </c>
      <c r="FR55" s="89">
        <v>0</v>
      </c>
      <c r="FS55" s="89">
        <v>0</v>
      </c>
    </row>
    <row r="56" spans="2:175" x14ac:dyDescent="0.25">
      <c r="B56" t="str">
        <v>New Jersey</v>
      </c>
      <c r="C56" t="str">
        <v>NJ-2028-02-Remote</v>
      </c>
      <c r="D56">
        <v>2028</v>
      </c>
      <c r="E56">
        <v>9</v>
      </c>
      <c r="FG56" t="str">
        <v>NCA9-Center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</row>
    <row r="57" spans="2:175" x14ac:dyDescent="0.25">
      <c r="B57" t="str">
        <v>New Jersey</v>
      </c>
      <c r="C57" t="str">
        <v>NJ-2028-06-Remote</v>
      </c>
      <c r="D57">
        <v>2028</v>
      </c>
      <c r="E57">
        <v>12</v>
      </c>
      <c r="FE57" s="181"/>
      <c r="FF57" s="86"/>
      <c r="FH57" s="181"/>
    </row>
    <row r="58" spans="2:175" x14ac:dyDescent="0.25">
      <c r="B58" t="str">
        <v>North Carolina</v>
      </c>
      <c r="C58" t="str">
        <v>GBB1-Remote</v>
      </c>
      <c r="D58">
        <v>2023</v>
      </c>
      <c r="E58">
        <v>2</v>
      </c>
      <c r="FE58" s="181"/>
      <c r="FF58" s="86"/>
    </row>
    <row r="59" spans="2:175" x14ac:dyDescent="0.25">
      <c r="J59" s="53"/>
      <c r="K59" s="53"/>
      <c r="L59" s="53"/>
      <c r="FE59" s="181"/>
      <c r="FF59" s="86"/>
    </row>
    <row r="60" spans="2:175" x14ac:dyDescent="0.25">
      <c r="J60" s="53"/>
      <c r="K60" s="53"/>
      <c r="L60" s="53"/>
      <c r="FE60" s="181"/>
      <c r="FF60" s="86"/>
    </row>
    <row r="61" spans="2:175" x14ac:dyDescent="0.25">
      <c r="K61" s="53"/>
      <c r="L61" s="53"/>
      <c r="AD61" s="53"/>
      <c r="FE61" s="181"/>
      <c r="FF61" s="86"/>
    </row>
    <row r="62" spans="2:175" x14ac:dyDescent="0.25">
      <c r="J62" s="53"/>
      <c r="K62" s="53"/>
      <c r="L62" s="53"/>
      <c r="FE62" s="181"/>
      <c r="FF62" s="86"/>
    </row>
    <row r="63" spans="2:175" x14ac:dyDescent="0.25">
      <c r="J63" s="53"/>
      <c r="K63" s="53"/>
      <c r="L63" s="53"/>
      <c r="FE63" s="181"/>
      <c r="FF63" s="86"/>
    </row>
    <row r="64" spans="2:175" x14ac:dyDescent="0.25">
      <c r="J64" s="53"/>
      <c r="K64" s="53"/>
      <c r="L64" s="53"/>
      <c r="FE64" s="181"/>
      <c r="FF64" s="86"/>
    </row>
    <row r="65" spans="161:162" x14ac:dyDescent="0.25">
      <c r="FE65" s="181"/>
      <c r="FF65" s="86"/>
    </row>
    <row r="66" spans="161:162" x14ac:dyDescent="0.25">
      <c r="FE66" s="181"/>
      <c r="FF66" s="86"/>
    </row>
    <row r="67" spans="161:162" x14ac:dyDescent="0.25">
      <c r="FE67" s="181"/>
      <c r="FF67" s="86"/>
    </row>
    <row r="68" spans="161:162" x14ac:dyDescent="0.25">
      <c r="FE68" s="181"/>
      <c r="FF68" s="86"/>
    </row>
    <row r="69" spans="161:162" x14ac:dyDescent="0.25">
      <c r="FE69" s="181"/>
      <c r="FF69" s="86"/>
    </row>
    <row r="70" spans="161:162" x14ac:dyDescent="0.25">
      <c r="FE70" s="181"/>
      <c r="FF70" s="86"/>
    </row>
    <row r="71" spans="161:162" x14ac:dyDescent="0.25">
      <c r="FE71" s="181"/>
      <c r="FF71" s="86"/>
    </row>
    <row r="72" spans="161:162" x14ac:dyDescent="0.25">
      <c r="FE72" s="181"/>
      <c r="FF72" s="86"/>
    </row>
    <row r="73" spans="161:162" x14ac:dyDescent="0.25">
      <c r="FE73" s="181"/>
      <c r="FF73" s="86"/>
    </row>
    <row r="74" spans="161:162" x14ac:dyDescent="0.25">
      <c r="FE74" s="181"/>
      <c r="FF74" s="86"/>
    </row>
    <row r="75" spans="161:162" x14ac:dyDescent="0.25">
      <c r="FE75" s="181"/>
      <c r="FF75" s="86"/>
    </row>
    <row r="76" spans="161:162" x14ac:dyDescent="0.25">
      <c r="FE76" s="181"/>
      <c r="FF76" s="86"/>
    </row>
    <row r="77" spans="161:162" x14ac:dyDescent="0.25">
      <c r="FE77" s="181"/>
      <c r="FF77" s="86"/>
    </row>
    <row r="78" spans="161:162" x14ac:dyDescent="0.25">
      <c r="FE78" s="181"/>
      <c r="FF78" s="86"/>
    </row>
    <row r="79" spans="161:162" x14ac:dyDescent="0.25">
      <c r="FE79" s="181"/>
      <c r="FF79" s="86"/>
    </row>
    <row r="80" spans="161:162" x14ac:dyDescent="0.25">
      <c r="FE80" s="181"/>
      <c r="FF80" s="86"/>
    </row>
    <row r="81" spans="161:162" x14ac:dyDescent="0.25">
      <c r="FE81" s="181"/>
      <c r="FF81" s="86"/>
    </row>
    <row r="82" spans="161:162" x14ac:dyDescent="0.25">
      <c r="FE82" s="181"/>
      <c r="FF82" s="86"/>
    </row>
    <row r="83" spans="161:162" x14ac:dyDescent="0.25">
      <c r="FE83" s="181"/>
      <c r="FF83" s="86"/>
    </row>
    <row r="84" spans="161:162" x14ac:dyDescent="0.25">
      <c r="FE84" s="181"/>
      <c r="FF84" s="86"/>
    </row>
    <row r="85" spans="161:162" x14ac:dyDescent="0.25">
      <c r="FE85" s="181"/>
      <c r="FF85" s="86"/>
    </row>
    <row r="86" spans="161:162" x14ac:dyDescent="0.25">
      <c r="FE86" s="181"/>
      <c r="FF86" s="86"/>
    </row>
    <row r="87" spans="161:162" x14ac:dyDescent="0.25">
      <c r="FE87" s="181"/>
      <c r="FF87" s="86"/>
    </row>
    <row r="88" spans="161:162" x14ac:dyDescent="0.25">
      <c r="FE88" s="181"/>
      <c r="FF88" s="86"/>
    </row>
    <row r="89" spans="161:162" x14ac:dyDescent="0.25">
      <c r="FE89" s="181"/>
      <c r="FF89" s="86"/>
    </row>
    <row r="90" spans="161:162" x14ac:dyDescent="0.25">
      <c r="FE90" s="181"/>
      <c r="FF90" s="86"/>
    </row>
    <row r="91" spans="161:162" x14ac:dyDescent="0.25">
      <c r="FE91" s="181"/>
      <c r="FF91" s="86"/>
    </row>
    <row r="92" spans="161:162" x14ac:dyDescent="0.25">
      <c r="FE92" s="181"/>
      <c r="FF92" s="86"/>
    </row>
    <row r="93" spans="161:162" x14ac:dyDescent="0.25">
      <c r="FE93" s="181"/>
      <c r="FF93" s="86"/>
    </row>
    <row r="94" spans="161:162" x14ac:dyDescent="0.25">
      <c r="FE94" s="181"/>
      <c r="FF94" s="86"/>
    </row>
    <row r="95" spans="161:162" x14ac:dyDescent="0.25">
      <c r="FE95" s="181"/>
      <c r="FF95" s="86"/>
    </row>
    <row r="96" spans="161:162" x14ac:dyDescent="0.25">
      <c r="FE96" s="181"/>
      <c r="FF96" s="86"/>
    </row>
    <row r="97" spans="161:162" x14ac:dyDescent="0.25">
      <c r="FE97" s="181"/>
      <c r="FF97" s="86"/>
    </row>
    <row r="98" spans="161:162" x14ac:dyDescent="0.25">
      <c r="FE98" s="181"/>
      <c r="FF98" s="86"/>
    </row>
    <row r="99" spans="161:162" x14ac:dyDescent="0.25">
      <c r="FE99" s="181"/>
      <c r="FF99" s="86"/>
    </row>
    <row r="100" spans="161:162" x14ac:dyDescent="0.25">
      <c r="FE100" s="181"/>
      <c r="FF100" s="86"/>
    </row>
    <row r="101" spans="161:162" x14ac:dyDescent="0.25">
      <c r="FE101" s="181"/>
      <c r="FF101" s="86"/>
    </row>
    <row r="102" spans="161:162" x14ac:dyDescent="0.25">
      <c r="FE102" s="181"/>
      <c r="FF102" s="86"/>
    </row>
    <row r="103" spans="161:162" x14ac:dyDescent="0.25">
      <c r="FE103" s="181"/>
      <c r="FF103" s="86"/>
    </row>
    <row r="104" spans="161:162" x14ac:dyDescent="0.25">
      <c r="FE104" s="181"/>
      <c r="FF104" s="86"/>
    </row>
    <row r="105" spans="161:162" x14ac:dyDescent="0.25">
      <c r="FE105" s="181"/>
      <c r="FF105" s="86"/>
    </row>
    <row r="106" spans="161:162" x14ac:dyDescent="0.25">
      <c r="FE106" s="181"/>
      <c r="FF106" s="86"/>
    </row>
    <row r="107" spans="161:162" x14ac:dyDescent="0.25">
      <c r="FE107" s="181"/>
      <c r="FF107" s="86"/>
    </row>
    <row r="108" spans="161:162" x14ac:dyDescent="0.25">
      <c r="FE108" s="181"/>
      <c r="FF108" s="86"/>
    </row>
  </sheetData>
  <mergeCells count="2">
    <mergeCell ref="B2:E2"/>
    <mergeCell ref="B38:E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B80B-14E5-4876-81F1-2F6594EB7BD4}">
  <dimension ref="B1:AX62"/>
  <sheetViews>
    <sheetView workbookViewId="0">
      <pane xSplit="4" ySplit="25" topLeftCell="E44" activePane="bottomRight" state="frozen"/>
      <selection activeCell="C10" sqref="C10"/>
      <selection pane="topRight" activeCell="C10" sqref="C10"/>
      <selection pane="bottomLeft" activeCell="C10" sqref="C10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479</v>
      </c>
      <c r="C1" s="16" t="s">
        <v>45</v>
      </c>
      <c r="D1" s="55" t="s">
        <v>460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71</v>
      </c>
      <c r="F1" s="5">
        <v>141</v>
      </c>
      <c r="G1" s="5">
        <v>212</v>
      </c>
      <c r="H1" s="5">
        <v>283</v>
      </c>
      <c r="I1" s="5">
        <v>353</v>
      </c>
      <c r="J1" s="5">
        <v>424</v>
      </c>
      <c r="K1" s="5">
        <v>428</v>
      </c>
      <c r="L1" s="5">
        <v>432</v>
      </c>
      <c r="M1" s="5">
        <v>436</v>
      </c>
      <c r="N1" s="5">
        <v>440</v>
      </c>
      <c r="O1" s="5">
        <v>444</v>
      </c>
      <c r="P1" s="5">
        <v>448</v>
      </c>
      <c r="Q1" s="5">
        <v>452</v>
      </c>
      <c r="R1" s="5">
        <v>456</v>
      </c>
      <c r="S1" s="5">
        <v>460</v>
      </c>
      <c r="T1" s="5">
        <v>464</v>
      </c>
      <c r="U1" s="5">
        <v>468</v>
      </c>
      <c r="V1" s="5">
        <v>472</v>
      </c>
      <c r="W1" s="5">
        <v>476</v>
      </c>
      <c r="X1" s="5">
        <v>480</v>
      </c>
      <c r="Y1" s="5">
        <v>484</v>
      </c>
      <c r="Z1" s="5">
        <v>488</v>
      </c>
      <c r="AA1" s="5">
        <v>492</v>
      </c>
      <c r="AB1" s="5">
        <v>496</v>
      </c>
      <c r="AC1" s="5">
        <v>500</v>
      </c>
      <c r="AD1" s="5">
        <v>500</v>
      </c>
      <c r="AE1" s="5">
        <v>500</v>
      </c>
      <c r="AF1" s="5">
        <v>500</v>
      </c>
      <c r="AG1" s="5">
        <v>500</v>
      </c>
      <c r="AH1" s="5">
        <v>500</v>
      </c>
      <c r="AI1" s="5">
        <v>500</v>
      </c>
      <c r="AJ1" s="5">
        <v>500</v>
      </c>
      <c r="AK1" s="5">
        <v>500</v>
      </c>
      <c r="AL1" s="5">
        <v>500</v>
      </c>
      <c r="AM1" s="5">
        <v>500</v>
      </c>
      <c r="AN1" s="5">
        <v>500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7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7" t="e">
        <v>#VALUE!</v>
      </c>
      <c r="G5" s="157" t="e">
        <v>#VALUE!</v>
      </c>
      <c r="H5" s="157" t="e">
        <v>#VALUE!</v>
      </c>
      <c r="I5" s="157" t="e">
        <v>#VALUE!</v>
      </c>
      <c r="J5" s="157" t="e">
        <v>#VALUE!</v>
      </c>
      <c r="K5" s="157" t="e">
        <v>#VALUE!</v>
      </c>
      <c r="L5" s="157" t="e">
        <v>#VALUE!</v>
      </c>
      <c r="M5" s="157" t="e">
        <v>#VALUE!</v>
      </c>
      <c r="N5" s="157" t="e">
        <v>#VALUE!</v>
      </c>
      <c r="O5" s="157" t="e">
        <v>#VALUE!</v>
      </c>
      <c r="P5" s="157" t="e">
        <v>#VALUE!</v>
      </c>
      <c r="Q5" s="157" t="e">
        <v>#VALUE!</v>
      </c>
      <c r="R5" s="157" t="e">
        <v>#VALUE!</v>
      </c>
      <c r="S5" s="157" t="e">
        <v>#VALUE!</v>
      </c>
      <c r="T5" s="157" t="e">
        <v>#VALUE!</v>
      </c>
      <c r="U5" s="157" t="e">
        <v>#VALUE!</v>
      </c>
      <c r="V5" s="157" t="e">
        <v>#VALUE!</v>
      </c>
      <c r="W5" s="157" t="e">
        <v>#VALUE!</v>
      </c>
      <c r="X5" s="157" t="e">
        <v>#VALUE!</v>
      </c>
      <c r="Y5" s="157" t="e">
        <v>#VALUE!</v>
      </c>
      <c r="Z5" s="157" t="e">
        <v>#VALUE!</v>
      </c>
      <c r="AA5" s="157" t="e">
        <v>#VALUE!</v>
      </c>
      <c r="AB5" s="157" t="e">
        <v>#VALUE!</v>
      </c>
      <c r="AC5" s="157" t="e">
        <v>#VALUE!</v>
      </c>
      <c r="AD5" s="157" t="e">
        <v>#VALUE!</v>
      </c>
      <c r="AE5" s="157" t="e">
        <v>#VALUE!</v>
      </c>
      <c r="AF5" s="157" t="e">
        <v>#VALUE!</v>
      </c>
      <c r="AG5" s="157" t="e">
        <v>#VALUE!</v>
      </c>
      <c r="AH5" s="157" t="e">
        <v>#VALUE!</v>
      </c>
      <c r="AI5" s="157" t="e">
        <v>#VALUE!</v>
      </c>
      <c r="AJ5" s="157" t="e">
        <v>#VALUE!</v>
      </c>
      <c r="AK5" s="157" t="e">
        <v>#VALUE!</v>
      </c>
      <c r="AL5" s="157" t="e">
        <v>#VALUE!</v>
      </c>
      <c r="AM5" s="157" t="e">
        <v>#VALUE!</v>
      </c>
      <c r="AN5" s="157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x14ac:dyDescent="0.25">
      <c r="B7" s="1" t="s">
        <v>121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461</v>
      </c>
      <c r="C10" s="3"/>
      <c r="D10" s="3"/>
      <c r="E10" s="158">
        <v>60</v>
      </c>
      <c r="F10" s="69">
        <f t="shared" ref="F10:M10" si="0">F1-E1+E11</f>
        <v>77.099999999999994</v>
      </c>
      <c r="G10" s="69">
        <f t="shared" si="0"/>
        <v>85.1</v>
      </c>
      <c r="H10" s="69">
        <f t="shared" si="0"/>
        <v>92.2</v>
      </c>
      <c r="I10" s="69">
        <f t="shared" si="0"/>
        <v>98.3</v>
      </c>
      <c r="J10" s="69">
        <f t="shared" si="0"/>
        <v>106.30000000000001</v>
      </c>
      <c r="K10" s="69">
        <f t="shared" si="0"/>
        <v>46.400000000000006</v>
      </c>
      <c r="L10" s="69">
        <f t="shared" si="0"/>
        <v>46.800000000000004</v>
      </c>
      <c r="M10" s="69">
        <f t="shared" si="0"/>
        <v>47.2</v>
      </c>
      <c r="N10" s="69">
        <f>N1-M1+M11</f>
        <v>47.6</v>
      </c>
      <c r="O10" s="69">
        <f>O1-N1+N11</f>
        <v>48</v>
      </c>
      <c r="P10" s="69">
        <f t="shared" ref="P10:AN10" si="1">P1-O1+O11</f>
        <v>48.400000000000006</v>
      </c>
      <c r="Q10" s="69">
        <f t="shared" si="1"/>
        <v>48.800000000000004</v>
      </c>
      <c r="R10" s="69">
        <f t="shared" si="1"/>
        <v>49.2</v>
      </c>
      <c r="S10" s="69">
        <f t="shared" si="1"/>
        <v>49.6</v>
      </c>
      <c r="T10" s="69">
        <f t="shared" si="1"/>
        <v>50</v>
      </c>
      <c r="U10" s="69">
        <f t="shared" si="1"/>
        <v>50.400000000000006</v>
      </c>
      <c r="V10" s="69">
        <f t="shared" si="1"/>
        <v>50.800000000000004</v>
      </c>
      <c r="W10" s="69">
        <f t="shared" si="1"/>
        <v>51.2</v>
      </c>
      <c r="X10" s="69">
        <f t="shared" si="1"/>
        <v>51.6</v>
      </c>
      <c r="Y10" s="69">
        <f t="shared" si="1"/>
        <v>52</v>
      </c>
      <c r="Z10" s="69">
        <f t="shared" si="1"/>
        <v>52.400000000000006</v>
      </c>
      <c r="AA10" s="69">
        <f t="shared" si="1"/>
        <v>52.800000000000004</v>
      </c>
      <c r="AB10" s="69">
        <f t="shared" si="1"/>
        <v>53.2</v>
      </c>
      <c r="AC10" s="69">
        <f t="shared" si="1"/>
        <v>53.6</v>
      </c>
      <c r="AD10" s="69">
        <f t="shared" si="1"/>
        <v>50</v>
      </c>
      <c r="AE10" s="69">
        <f t="shared" si="1"/>
        <v>50</v>
      </c>
      <c r="AF10" s="69">
        <f t="shared" si="1"/>
        <v>50</v>
      </c>
      <c r="AG10" s="69">
        <f t="shared" si="1"/>
        <v>50</v>
      </c>
      <c r="AH10" s="69">
        <f t="shared" si="1"/>
        <v>50</v>
      </c>
      <c r="AI10" s="69">
        <f t="shared" si="1"/>
        <v>50</v>
      </c>
      <c r="AJ10" s="69">
        <f t="shared" si="1"/>
        <v>50</v>
      </c>
      <c r="AK10" s="69">
        <f t="shared" si="1"/>
        <v>50</v>
      </c>
      <c r="AL10" s="69">
        <f t="shared" si="1"/>
        <v>50</v>
      </c>
      <c r="AM10" s="69">
        <f t="shared" si="1"/>
        <v>50</v>
      </c>
      <c r="AN10" s="69">
        <f t="shared" si="1"/>
        <v>50</v>
      </c>
    </row>
    <row r="11" spans="2:40" x14ac:dyDescent="0.25">
      <c r="B11" s="55" t="s">
        <v>462</v>
      </c>
      <c r="C11" s="3"/>
      <c r="D11" s="3"/>
      <c r="E11" s="69">
        <f>E1*0.1</f>
        <v>7.1000000000000005</v>
      </c>
      <c r="F11" s="69">
        <f t="shared" ref="F11:AN11" si="2">F1*0.1</f>
        <v>14.100000000000001</v>
      </c>
      <c r="G11" s="69">
        <f t="shared" si="2"/>
        <v>21.200000000000003</v>
      </c>
      <c r="H11" s="69">
        <f t="shared" si="2"/>
        <v>28.3</v>
      </c>
      <c r="I11" s="69">
        <f t="shared" si="2"/>
        <v>35.300000000000004</v>
      </c>
      <c r="J11" s="69">
        <f t="shared" si="2"/>
        <v>42.400000000000006</v>
      </c>
      <c r="K11" s="69">
        <f t="shared" si="2"/>
        <v>42.800000000000004</v>
      </c>
      <c r="L11" s="69">
        <f t="shared" si="2"/>
        <v>43.2</v>
      </c>
      <c r="M11" s="69">
        <f t="shared" si="2"/>
        <v>43.6</v>
      </c>
      <c r="N11" s="69">
        <f t="shared" si="2"/>
        <v>44</v>
      </c>
      <c r="O11" s="69">
        <f t="shared" si="2"/>
        <v>44.400000000000006</v>
      </c>
      <c r="P11" s="69">
        <f t="shared" si="2"/>
        <v>44.800000000000004</v>
      </c>
      <c r="Q11" s="69">
        <f t="shared" si="2"/>
        <v>45.2</v>
      </c>
      <c r="R11" s="69">
        <f t="shared" si="2"/>
        <v>45.6</v>
      </c>
      <c r="S11" s="69">
        <f t="shared" si="2"/>
        <v>46</v>
      </c>
      <c r="T11" s="69">
        <f t="shared" si="2"/>
        <v>46.400000000000006</v>
      </c>
      <c r="U11" s="69">
        <f t="shared" si="2"/>
        <v>46.800000000000004</v>
      </c>
      <c r="V11" s="69">
        <f t="shared" si="2"/>
        <v>47.2</v>
      </c>
      <c r="W11" s="69">
        <f t="shared" si="2"/>
        <v>47.6</v>
      </c>
      <c r="X11" s="69">
        <f t="shared" si="2"/>
        <v>48</v>
      </c>
      <c r="Y11" s="69">
        <f t="shared" si="2"/>
        <v>48.400000000000006</v>
      </c>
      <c r="Z11" s="69">
        <f t="shared" si="2"/>
        <v>48.800000000000004</v>
      </c>
      <c r="AA11" s="69">
        <f t="shared" si="2"/>
        <v>49.2</v>
      </c>
      <c r="AB11" s="69">
        <f t="shared" si="2"/>
        <v>49.6</v>
      </c>
      <c r="AC11" s="69">
        <f t="shared" si="2"/>
        <v>50</v>
      </c>
      <c r="AD11" s="69">
        <f t="shared" si="2"/>
        <v>50</v>
      </c>
      <c r="AE11" s="69">
        <f t="shared" si="2"/>
        <v>50</v>
      </c>
      <c r="AF11" s="69">
        <f t="shared" si="2"/>
        <v>50</v>
      </c>
      <c r="AG11" s="69">
        <f t="shared" si="2"/>
        <v>50</v>
      </c>
      <c r="AH11" s="69">
        <f t="shared" si="2"/>
        <v>50</v>
      </c>
      <c r="AI11" s="69">
        <f t="shared" si="2"/>
        <v>50</v>
      </c>
      <c r="AJ11" s="69">
        <f t="shared" si="2"/>
        <v>50</v>
      </c>
      <c r="AK11" s="69">
        <f t="shared" si="2"/>
        <v>50</v>
      </c>
      <c r="AL11" s="69">
        <f t="shared" si="2"/>
        <v>50</v>
      </c>
      <c r="AM11" s="69">
        <f t="shared" si="2"/>
        <v>50</v>
      </c>
      <c r="AN11" s="69">
        <f t="shared" si="2"/>
        <v>50</v>
      </c>
    </row>
    <row r="12" spans="2:40" x14ac:dyDescent="0.25">
      <c r="B12" s="55" t="s">
        <v>463</v>
      </c>
      <c r="C12" s="3"/>
      <c r="D12" s="3"/>
      <c r="E12" s="69">
        <f t="shared" ref="E12:AN12" si="3">E1+E11</f>
        <v>78.099999999999994</v>
      </c>
      <c r="F12" s="69">
        <f t="shared" si="3"/>
        <v>155.1</v>
      </c>
      <c r="G12" s="69">
        <f t="shared" si="3"/>
        <v>233.2</v>
      </c>
      <c r="H12" s="69">
        <f t="shared" si="3"/>
        <v>311.3</v>
      </c>
      <c r="I12" s="69">
        <f t="shared" si="3"/>
        <v>388.3</v>
      </c>
      <c r="J12" s="69">
        <f t="shared" si="3"/>
        <v>466.4</v>
      </c>
      <c r="K12" s="69">
        <f t="shared" si="3"/>
        <v>470.8</v>
      </c>
      <c r="L12" s="69">
        <f t="shared" si="3"/>
        <v>475.2</v>
      </c>
      <c r="M12" s="69">
        <f t="shared" si="3"/>
        <v>479.6</v>
      </c>
      <c r="N12" s="69">
        <f t="shared" si="3"/>
        <v>484</v>
      </c>
      <c r="O12" s="69">
        <f t="shared" si="3"/>
        <v>488.4</v>
      </c>
      <c r="P12" s="69">
        <f t="shared" si="3"/>
        <v>492.8</v>
      </c>
      <c r="Q12" s="69">
        <f t="shared" si="3"/>
        <v>497.2</v>
      </c>
      <c r="R12" s="69">
        <f t="shared" si="3"/>
        <v>501.6</v>
      </c>
      <c r="S12" s="69">
        <f t="shared" si="3"/>
        <v>506</v>
      </c>
      <c r="T12" s="69">
        <f t="shared" si="3"/>
        <v>510.4</v>
      </c>
      <c r="U12" s="69">
        <f t="shared" si="3"/>
        <v>514.79999999999995</v>
      </c>
      <c r="V12" s="69">
        <f t="shared" si="3"/>
        <v>519.20000000000005</v>
      </c>
      <c r="W12" s="69">
        <f t="shared" si="3"/>
        <v>523.6</v>
      </c>
      <c r="X12" s="69">
        <f t="shared" si="3"/>
        <v>528</v>
      </c>
      <c r="Y12" s="69">
        <f t="shared" si="3"/>
        <v>532.4</v>
      </c>
      <c r="Z12" s="69">
        <f t="shared" si="3"/>
        <v>536.79999999999995</v>
      </c>
      <c r="AA12" s="69">
        <f t="shared" si="3"/>
        <v>541.20000000000005</v>
      </c>
      <c r="AB12" s="69">
        <f t="shared" si="3"/>
        <v>545.6</v>
      </c>
      <c r="AC12" s="69">
        <f t="shared" si="3"/>
        <v>550</v>
      </c>
      <c r="AD12" s="69">
        <f t="shared" si="3"/>
        <v>550</v>
      </c>
      <c r="AE12" s="69">
        <f t="shared" si="3"/>
        <v>550</v>
      </c>
      <c r="AF12" s="69">
        <f t="shared" si="3"/>
        <v>550</v>
      </c>
      <c r="AG12" s="69">
        <f t="shared" si="3"/>
        <v>550</v>
      </c>
      <c r="AH12" s="69">
        <f t="shared" si="3"/>
        <v>550</v>
      </c>
      <c r="AI12" s="69">
        <f t="shared" si="3"/>
        <v>550</v>
      </c>
      <c r="AJ12" s="69">
        <f t="shared" si="3"/>
        <v>550</v>
      </c>
      <c r="AK12" s="69">
        <f t="shared" si="3"/>
        <v>550</v>
      </c>
      <c r="AL12" s="69">
        <f t="shared" si="3"/>
        <v>550</v>
      </c>
      <c r="AM12" s="69">
        <f t="shared" si="3"/>
        <v>550</v>
      </c>
      <c r="AN12" s="69">
        <f t="shared" si="3"/>
        <v>550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464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169.47301136363635</v>
      </c>
      <c r="G22" s="78">
        <v>169.47301136363637</v>
      </c>
      <c r="H22" s="78">
        <v>169.47301136363637</v>
      </c>
      <c r="I22" s="78">
        <v>169.47301136363635</v>
      </c>
      <c r="J22" s="78">
        <v>169.47301136363637</v>
      </c>
      <c r="K22" s="78">
        <v>169.47301136363635</v>
      </c>
      <c r="L22" s="78">
        <v>169.47301136363632</v>
      </c>
      <c r="M22" s="78">
        <v>169.47301136363637</v>
      </c>
      <c r="N22" s="78">
        <v>169.47301136363637</v>
      </c>
      <c r="O22" s="78">
        <v>169.47301136363637</v>
      </c>
      <c r="P22" s="78">
        <v>169.47301136363635</v>
      </c>
      <c r="Q22" s="78">
        <v>174.55720170454543</v>
      </c>
      <c r="R22" s="78">
        <v>174.55720170454546</v>
      </c>
      <c r="S22" s="78">
        <v>174.55720170454543</v>
      </c>
      <c r="T22" s="78">
        <v>174.55720170454549</v>
      </c>
      <c r="U22" s="78">
        <v>174.55720170454546</v>
      </c>
      <c r="V22" s="78">
        <v>174.55720170454549</v>
      </c>
      <c r="W22" s="78">
        <v>174.55720170454546</v>
      </c>
      <c r="X22" s="78">
        <v>174.55720170454546</v>
      </c>
      <c r="Y22" s="78">
        <v>174.55720170454546</v>
      </c>
      <c r="Z22" s="78">
        <v>174.55720170454543</v>
      </c>
      <c r="AA22" s="78">
        <v>174.55720170454543</v>
      </c>
      <c r="AB22" s="78">
        <v>174.55720170454546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3665.4933333333329</v>
      </c>
      <c r="F23" s="52">
        <v>7279.36</v>
      </c>
      <c r="G23" s="52">
        <v>10944.853333333333</v>
      </c>
      <c r="H23" s="52">
        <v>14610.346666666665</v>
      </c>
      <c r="I23" s="52">
        <v>18224.21333333333</v>
      </c>
      <c r="J23" s="52">
        <v>21889.706666666665</v>
      </c>
      <c r="K23" s="52">
        <v>22096.213333333333</v>
      </c>
      <c r="L23" s="52">
        <v>22302.720000000001</v>
      </c>
      <c r="M23" s="52">
        <v>22509.226666666662</v>
      </c>
      <c r="N23" s="52">
        <v>22715.733333333334</v>
      </c>
      <c r="O23" s="52">
        <v>22922.239999999998</v>
      </c>
      <c r="P23" s="52">
        <v>23128.74666666667</v>
      </c>
      <c r="Q23" s="52">
        <v>23335.25333333333</v>
      </c>
      <c r="R23" s="52">
        <v>23541.759999999998</v>
      </c>
      <c r="S23" s="52">
        <v>23748.266666666666</v>
      </c>
      <c r="T23" s="52">
        <v>23954.773333333327</v>
      </c>
      <c r="U23" s="52">
        <v>24161.279999999999</v>
      </c>
      <c r="V23" s="52">
        <v>24367.786666666663</v>
      </c>
      <c r="W23" s="52">
        <v>24574.293333333335</v>
      </c>
      <c r="X23" s="52">
        <v>24780.799999999996</v>
      </c>
      <c r="Y23" s="52">
        <v>24987.306666666664</v>
      </c>
      <c r="Z23" s="52">
        <v>25193.813333333332</v>
      </c>
      <c r="AA23" s="52">
        <v>25400.32</v>
      </c>
      <c r="AB23" s="52">
        <v>25606.826666666664</v>
      </c>
      <c r="AC23" s="52">
        <v>25813.333333333332</v>
      </c>
      <c r="AD23" s="52">
        <v>25813.333333333332</v>
      </c>
      <c r="AE23" s="52">
        <v>25813.333333333332</v>
      </c>
      <c r="AF23" s="52">
        <v>25813.333333333332</v>
      </c>
      <c r="AG23" s="52">
        <v>25813.333333333332</v>
      </c>
      <c r="AH23" s="52">
        <v>25813.333333333332</v>
      </c>
      <c r="AI23" s="52">
        <v>25813.333333333332</v>
      </c>
      <c r="AJ23" s="52">
        <v>25813.333333333332</v>
      </c>
      <c r="AK23" s="52">
        <v>25813.333333333332</v>
      </c>
      <c r="AL23" s="52">
        <v>25813.333333333332</v>
      </c>
      <c r="AM23" s="52">
        <v>25813.333333333332</v>
      </c>
      <c r="AN23" s="52">
        <v>25813.333333333332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562073.15666666662</v>
      </c>
      <c r="F26" s="12">
        <v>1116229.7899999998</v>
      </c>
      <c r="G26" s="12">
        <v>1678302.9466666665</v>
      </c>
      <c r="H26" s="12">
        <v>2240376.103333333</v>
      </c>
      <c r="I26" s="12">
        <v>2794532.7366666663</v>
      </c>
      <c r="J26" s="12">
        <v>3356605.8933333331</v>
      </c>
      <c r="K26" s="12">
        <v>3388271.9866666663</v>
      </c>
      <c r="L26" s="12">
        <v>3419938.0799999996</v>
      </c>
      <c r="M26" s="12">
        <v>3451604.1733333329</v>
      </c>
      <c r="N26" s="12">
        <v>3483270.2666666661</v>
      </c>
      <c r="O26" s="12">
        <v>3514936.3599999994</v>
      </c>
      <c r="P26" s="12">
        <v>3546602.4533333331</v>
      </c>
      <c r="Q26" s="12">
        <v>3685616.6030666661</v>
      </c>
      <c r="R26" s="12">
        <v>3718232.6791999997</v>
      </c>
      <c r="S26" s="12">
        <v>3750848.7553333328</v>
      </c>
      <c r="T26" s="12">
        <v>3783464.8314666664</v>
      </c>
      <c r="U26" s="12">
        <v>3816080.9075999996</v>
      </c>
      <c r="V26" s="12">
        <v>3848696.9837333327</v>
      </c>
      <c r="W26" s="12">
        <v>3881313.0598666663</v>
      </c>
      <c r="X26" s="12">
        <v>3913929.1359999995</v>
      </c>
      <c r="Y26" s="12">
        <v>3946545.2121333331</v>
      </c>
      <c r="Z26" s="12">
        <v>3979161.2882666662</v>
      </c>
      <c r="AA26" s="12">
        <v>4011777.3643999994</v>
      </c>
      <c r="AB26" s="12">
        <v>4044393.440533333</v>
      </c>
      <c r="AC26" s="12">
        <v>4077009.5166666661</v>
      </c>
      <c r="AD26" s="12">
        <v>4077009.5166666661</v>
      </c>
      <c r="AE26" s="12">
        <v>4077009.5166666661</v>
      </c>
      <c r="AF26" s="12">
        <v>4077009.5166666661</v>
      </c>
      <c r="AG26" s="12">
        <v>4077009.5166666661</v>
      </c>
      <c r="AH26" s="12">
        <v>4077009.5166666661</v>
      </c>
      <c r="AI26" s="12">
        <v>4077009.5166666661</v>
      </c>
      <c r="AJ26" s="12">
        <v>4077009.5166666661</v>
      </c>
      <c r="AK26" s="12">
        <v>4077009.5166666661</v>
      </c>
      <c r="AL26" s="12">
        <v>4077009.5166666661</v>
      </c>
      <c r="AM26" s="12">
        <v>4077009.5166666661</v>
      </c>
      <c r="AN26" s="12">
        <v>4077009.5166666661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74918.986999999979</v>
      </c>
      <c r="F28" s="12">
        <v>148782.77699999997</v>
      </c>
      <c r="G28" s="12">
        <v>223701.76399999994</v>
      </c>
      <c r="H28" s="12">
        <v>298620.75099999993</v>
      </c>
      <c r="I28" s="12">
        <v>372484.54099999985</v>
      </c>
      <c r="J28" s="12">
        <v>447403.52799999987</v>
      </c>
      <c r="K28" s="12">
        <v>451624.31599999982</v>
      </c>
      <c r="L28" s="12">
        <v>455845.10399999988</v>
      </c>
      <c r="M28" s="12">
        <v>460065.89199999982</v>
      </c>
      <c r="N28" s="12">
        <v>464286.67999999993</v>
      </c>
      <c r="O28" s="12">
        <v>468507.46799999988</v>
      </c>
      <c r="P28" s="12">
        <v>472728.25599999982</v>
      </c>
      <c r="Q28" s="12">
        <v>491257.51531999989</v>
      </c>
      <c r="R28" s="12">
        <v>495604.92695999984</v>
      </c>
      <c r="S28" s="12">
        <v>499952.33859999996</v>
      </c>
      <c r="T28" s="12">
        <v>504299.75023999985</v>
      </c>
      <c r="U28" s="12">
        <v>508647.1618799998</v>
      </c>
      <c r="V28" s="12">
        <v>512994.57351999986</v>
      </c>
      <c r="W28" s="12">
        <v>517341.98515999981</v>
      </c>
      <c r="X28" s="12">
        <v>521689.39679999987</v>
      </c>
      <c r="Y28" s="12">
        <v>526036.80843999994</v>
      </c>
      <c r="Z28" s="12">
        <v>530384.22007999977</v>
      </c>
      <c r="AA28" s="12">
        <v>534731.63171999983</v>
      </c>
      <c r="AB28" s="12">
        <v>539079.04335999978</v>
      </c>
      <c r="AC28" s="12">
        <v>543426.45499999984</v>
      </c>
      <c r="AD28" s="12">
        <v>543426.45499999984</v>
      </c>
      <c r="AE28" s="12">
        <v>543426.45499999984</v>
      </c>
      <c r="AF28" s="12">
        <v>543426.45499999984</v>
      </c>
      <c r="AG28" s="12">
        <v>543426.45499999984</v>
      </c>
      <c r="AH28" s="12">
        <v>543426.45499999984</v>
      </c>
      <c r="AI28" s="12">
        <v>543426.45499999984</v>
      </c>
      <c r="AJ28" s="12">
        <v>543426.45499999984</v>
      </c>
      <c r="AK28" s="12">
        <v>543426.45499999984</v>
      </c>
      <c r="AL28" s="12">
        <v>543426.45499999984</v>
      </c>
      <c r="AM28" s="12">
        <v>543426.45499999984</v>
      </c>
      <c r="AN28" s="12">
        <v>543426.45499999984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11525.998</v>
      </c>
      <c r="F29" s="12">
        <v>22889.657999999999</v>
      </c>
      <c r="G29" s="12">
        <v>34415.655999999995</v>
      </c>
      <c r="H29" s="12">
        <v>45941.653999999995</v>
      </c>
      <c r="I29" s="12">
        <v>57305.313999999998</v>
      </c>
      <c r="J29" s="12">
        <v>68831.311999999991</v>
      </c>
      <c r="K29" s="12">
        <v>69480.66399999999</v>
      </c>
      <c r="L29" s="12">
        <v>70130.016000000003</v>
      </c>
      <c r="M29" s="12">
        <v>70779.367999999988</v>
      </c>
      <c r="N29" s="12">
        <v>71428.72</v>
      </c>
      <c r="O29" s="12">
        <v>72078.072</v>
      </c>
      <c r="P29" s="12">
        <v>72727.423999999985</v>
      </c>
      <c r="Q29" s="12">
        <v>75578.079279999991</v>
      </c>
      <c r="R29" s="12">
        <v>76246.911840000001</v>
      </c>
      <c r="S29" s="12">
        <v>76915.744399999981</v>
      </c>
      <c r="T29" s="12">
        <v>77584.576959999991</v>
      </c>
      <c r="U29" s="12">
        <v>78253.409520000001</v>
      </c>
      <c r="V29" s="12">
        <v>78922.242079999996</v>
      </c>
      <c r="W29" s="12">
        <v>79591.074639999992</v>
      </c>
      <c r="X29" s="12">
        <v>80259.907200000001</v>
      </c>
      <c r="Y29" s="12">
        <v>80928.739759999997</v>
      </c>
      <c r="Z29" s="12">
        <v>81597.572319999992</v>
      </c>
      <c r="AA29" s="12">
        <v>82266.404880000002</v>
      </c>
      <c r="AB29" s="12">
        <v>82935.237439999983</v>
      </c>
      <c r="AC29" s="12">
        <v>83604.069999999992</v>
      </c>
      <c r="AD29" s="12">
        <v>83604.069999999992</v>
      </c>
      <c r="AE29" s="12">
        <v>83604.069999999992</v>
      </c>
      <c r="AF29" s="12">
        <v>83604.069999999992</v>
      </c>
      <c r="AG29" s="12">
        <v>83604.069999999992</v>
      </c>
      <c r="AH29" s="12">
        <v>83604.069999999992</v>
      </c>
      <c r="AI29" s="12">
        <v>83604.069999999992</v>
      </c>
      <c r="AJ29" s="12">
        <v>83604.069999999992</v>
      </c>
      <c r="AK29" s="12">
        <v>83604.069999999992</v>
      </c>
      <c r="AL29" s="12">
        <v>83604.069999999992</v>
      </c>
      <c r="AM29" s="12">
        <v>83604.069999999992</v>
      </c>
      <c r="AN29" s="12">
        <v>83604.069999999992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15038.746666666666</v>
      </c>
      <c r="F30" s="12">
        <v>29865.679999999997</v>
      </c>
      <c r="G30" s="12">
        <v>44904.426666666659</v>
      </c>
      <c r="H30" s="12">
        <v>59943.173333333325</v>
      </c>
      <c r="I30" s="12">
        <v>74770.106666666659</v>
      </c>
      <c r="J30" s="12">
        <v>89808.853333333318</v>
      </c>
      <c r="K30" s="12">
        <v>90656.106666666659</v>
      </c>
      <c r="L30" s="12">
        <v>91503.359999999986</v>
      </c>
      <c r="M30" s="12">
        <v>92350.613333333327</v>
      </c>
      <c r="N30" s="12">
        <v>93197.866666666654</v>
      </c>
      <c r="O30" s="12">
        <v>94045.119999999981</v>
      </c>
      <c r="P30" s="12">
        <v>94892.373333333322</v>
      </c>
      <c r="Q30" s="12">
        <v>98611.815466666652</v>
      </c>
      <c r="R30" s="12">
        <v>99484.486399999994</v>
      </c>
      <c r="S30" s="12">
        <v>100357.15733333334</v>
      </c>
      <c r="T30" s="12">
        <v>101229.82826666665</v>
      </c>
      <c r="U30" s="12">
        <v>102102.49919999999</v>
      </c>
      <c r="V30" s="12">
        <v>102975.17013333332</v>
      </c>
      <c r="W30" s="12">
        <v>103847.84106666666</v>
      </c>
      <c r="X30" s="12">
        <v>104720.51199999999</v>
      </c>
      <c r="Y30" s="12">
        <v>105593.18293333332</v>
      </c>
      <c r="Z30" s="12">
        <v>106465.85386666666</v>
      </c>
      <c r="AA30" s="12">
        <v>107338.5248</v>
      </c>
      <c r="AB30" s="12">
        <v>108211.19573333333</v>
      </c>
      <c r="AC30" s="12">
        <v>109083.86666666667</v>
      </c>
      <c r="AD30" s="12">
        <v>109083.86666666667</v>
      </c>
      <c r="AE30" s="12">
        <v>109083.86666666667</v>
      </c>
      <c r="AF30" s="12">
        <v>109083.86666666667</v>
      </c>
      <c r="AG30" s="12">
        <v>109083.86666666667</v>
      </c>
      <c r="AH30" s="12">
        <v>109083.86666666667</v>
      </c>
      <c r="AI30" s="12">
        <v>109083.86666666667</v>
      </c>
      <c r="AJ30" s="12">
        <v>109083.86666666667</v>
      </c>
      <c r="AK30" s="12">
        <v>109083.86666666667</v>
      </c>
      <c r="AL30" s="12">
        <v>109083.86666666667</v>
      </c>
      <c r="AM30" s="12">
        <v>109083.86666666667</v>
      </c>
      <c r="AN30" s="12">
        <v>109083.86666666667</v>
      </c>
    </row>
    <row r="31" spans="2:50" outlineLevel="1" x14ac:dyDescent="0.25">
      <c r="B31" s="39" t="str">
        <f>Base!B36</f>
        <v>Tertiary Direct Staff - Service A</v>
      </c>
      <c r="C31" s="4"/>
      <c r="E31" s="187" cm="1">
        <f t="array" ref="E31:AN31">_xlfn.BYCOL(_xlfn.ANCHORARRAY($E$25),_xlfn.LAMBDA(_xlpm.a,0))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outlineLevel="1" x14ac:dyDescent="0.25">
      <c r="B32" s="39" t="str">
        <f>Base!B37</f>
        <v>Tertiary Direct Staff - Service B</v>
      </c>
      <c r="C32" s="4"/>
      <c r="E32" s="187" cm="1">
        <f t="array" ref="E32:AN32">_xlfn.BYCOL(_xlfn.ANCHORARRAY($E$25),_xlfn.LAMBDA(_xlpm.a,0))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outlineLevel="1" x14ac:dyDescent="0.25">
      <c r="B33" s="39" t="str">
        <f>Base!B38</f>
        <v>Quaternary Direct Staff - Service A</v>
      </c>
      <c r="C33" s="4"/>
      <c r="E33" s="187" cm="1">
        <f t="array" ref="E33:AN33">_xlfn.BYCOL(_xlfn.ANCHORARRAY($E$25),_xlfn.LAMBDA(_xlpm.a,0))</f>
        <v>0</v>
      </c>
      <c r="F33" s="187">
        <v>0</v>
      </c>
      <c r="G33" s="187">
        <v>0</v>
      </c>
      <c r="H33" s="187">
        <v>0</v>
      </c>
      <c r="I33" s="187">
        <v>0</v>
      </c>
      <c r="J33" s="187">
        <v>0</v>
      </c>
      <c r="K33" s="187">
        <v>0</v>
      </c>
      <c r="L33" s="187">
        <v>0</v>
      </c>
      <c r="M33" s="187">
        <v>0</v>
      </c>
      <c r="N33" s="187">
        <v>0</v>
      </c>
      <c r="O33" s="187">
        <v>0</v>
      </c>
      <c r="P33" s="187">
        <v>0</v>
      </c>
      <c r="Q33" s="187">
        <v>0</v>
      </c>
      <c r="R33" s="187">
        <v>0</v>
      </c>
      <c r="S33" s="187">
        <v>0</v>
      </c>
      <c r="T33" s="187">
        <v>0</v>
      </c>
      <c r="U33" s="187">
        <v>0</v>
      </c>
      <c r="V33" s="187">
        <v>0</v>
      </c>
      <c r="W33" s="187">
        <v>0</v>
      </c>
      <c r="X33" s="187">
        <v>0</v>
      </c>
      <c r="Y33" s="187">
        <v>0</v>
      </c>
      <c r="Z33" s="187">
        <v>0</v>
      </c>
      <c r="AA33" s="187">
        <v>0</v>
      </c>
      <c r="AB33" s="187">
        <v>0</v>
      </c>
      <c r="AC33" s="187">
        <v>0</v>
      </c>
      <c r="AD33" s="187">
        <v>0</v>
      </c>
      <c r="AE33" s="187">
        <v>0</v>
      </c>
      <c r="AF33" s="187">
        <v>0</v>
      </c>
      <c r="AG33" s="187">
        <v>0</v>
      </c>
      <c r="AH33" s="187">
        <v>0</v>
      </c>
      <c r="AI33" s="187">
        <v>0</v>
      </c>
      <c r="AJ33" s="187">
        <v>0</v>
      </c>
      <c r="AK33" s="187">
        <v>0</v>
      </c>
      <c r="AL33" s="187">
        <v>0</v>
      </c>
      <c r="AM33" s="187">
        <v>0</v>
      </c>
      <c r="AN33" s="187">
        <v>0</v>
      </c>
    </row>
    <row r="34" spans="2:40" outlineLevel="1" x14ac:dyDescent="0.25">
      <c r="B34" s="39" t="str">
        <f>Base!B39</f>
        <v>Quinary Direct Staff - Service A</v>
      </c>
      <c r="C34" s="4"/>
      <c r="E34" s="187" cm="1">
        <f t="array" ref="E34:AN34">_xlfn.BYCOL(_xlfn.ANCHORARRAY($E$25),_xlfn.LAMBDA(_xlpm.a,0))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-79626.8266</v>
      </c>
      <c r="F35" s="12">
        <v>-158132.14859999996</v>
      </c>
      <c r="G35" s="12">
        <v>-237758.97519999999</v>
      </c>
      <c r="H35" s="12">
        <v>-317385.80179999996</v>
      </c>
      <c r="I35" s="12">
        <v>-395891.12379999988</v>
      </c>
      <c r="J35" s="12">
        <v>-475517.95039999997</v>
      </c>
      <c r="K35" s="12">
        <v>-480003.96879999986</v>
      </c>
      <c r="L35" s="12">
        <v>-484489.98719999986</v>
      </c>
      <c r="M35" s="12">
        <v>-488976.00559999992</v>
      </c>
      <c r="N35" s="12">
        <v>-493462.02399999998</v>
      </c>
      <c r="O35" s="12">
        <v>-497948.04239999992</v>
      </c>
      <c r="P35" s="12">
        <v>-502434.06079999998</v>
      </c>
      <c r="Q35" s="12">
        <v>-522127.68157599983</v>
      </c>
      <c r="R35" s="12">
        <v>-526748.28052799997</v>
      </c>
      <c r="S35" s="12">
        <v>-531368.87947999989</v>
      </c>
      <c r="T35" s="12">
        <v>-535989.47843199992</v>
      </c>
      <c r="U35" s="12">
        <v>-540610.07738399995</v>
      </c>
      <c r="V35" s="12">
        <v>-545230.67633599997</v>
      </c>
      <c r="W35" s="12">
        <v>-549851.275288</v>
      </c>
      <c r="X35" s="12">
        <v>-554471.87423999992</v>
      </c>
      <c r="Y35" s="12">
        <v>-559092.47319199995</v>
      </c>
      <c r="Z35" s="12">
        <v>-563713.07214399986</v>
      </c>
      <c r="AA35" s="12">
        <v>-568333.67109599989</v>
      </c>
      <c r="AB35" s="12">
        <v>-572954.27004799992</v>
      </c>
      <c r="AC35" s="12">
        <v>-577574.86899999983</v>
      </c>
      <c r="AD35" s="12">
        <v>-577574.86899999983</v>
      </c>
      <c r="AE35" s="12">
        <v>-577574.86899999983</v>
      </c>
      <c r="AF35" s="12">
        <v>-577574.86899999983</v>
      </c>
      <c r="AG35" s="12">
        <v>-577574.86899999983</v>
      </c>
      <c r="AH35" s="12">
        <v>-577574.86899999983</v>
      </c>
      <c r="AI35" s="12">
        <v>-577574.86899999983</v>
      </c>
      <c r="AJ35" s="12">
        <v>-577574.86899999983</v>
      </c>
      <c r="AK35" s="12">
        <v>-577574.86899999983</v>
      </c>
      <c r="AL35" s="12">
        <v>-577574.86899999983</v>
      </c>
      <c r="AM35" s="12">
        <v>-577574.86899999983</v>
      </c>
      <c r="AN35" s="12">
        <v>-577574.86899999983</v>
      </c>
    </row>
    <row r="36" spans="2:40" x14ac:dyDescent="0.25">
      <c r="B36" s="39" t="s">
        <v>320</v>
      </c>
      <c r="C36" s="4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87">
        <v>0</v>
      </c>
      <c r="AD36" s="187">
        <v>0</v>
      </c>
      <c r="AE36" s="187">
        <v>0</v>
      </c>
      <c r="AF36" s="187">
        <v>0</v>
      </c>
      <c r="AG36" s="187">
        <v>0</v>
      </c>
      <c r="AH36" s="187">
        <v>0</v>
      </c>
      <c r="AI36" s="187">
        <v>0</v>
      </c>
      <c r="AJ36" s="187">
        <v>0</v>
      </c>
      <c r="AK36" s="187">
        <v>0</v>
      </c>
      <c r="AL36" s="187">
        <v>0</v>
      </c>
      <c r="AM36" s="187">
        <v>0</v>
      </c>
      <c r="AN36" s="187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583930.06173333328</v>
      </c>
      <c r="F37" s="13">
        <v>1159635.7563999998</v>
      </c>
      <c r="G37" s="13">
        <v>1743565.8181333332</v>
      </c>
      <c r="H37" s="13">
        <v>2327495.8798666662</v>
      </c>
      <c r="I37" s="13">
        <v>2903201.5745333326</v>
      </c>
      <c r="J37" s="13">
        <v>3487131.6362666665</v>
      </c>
      <c r="K37" s="13">
        <v>3520029.1045333324</v>
      </c>
      <c r="L37" s="13">
        <v>3552926.5727999993</v>
      </c>
      <c r="M37" s="13">
        <v>3585824.0410666661</v>
      </c>
      <c r="N37" s="13">
        <v>3618721.509333333</v>
      </c>
      <c r="O37" s="13">
        <v>3651618.9775999999</v>
      </c>
      <c r="P37" s="13">
        <v>3684516.4458666667</v>
      </c>
      <c r="Q37" s="13">
        <v>3828936.3315573325</v>
      </c>
      <c r="R37" s="13">
        <v>3862820.7238719999</v>
      </c>
      <c r="S37" s="13">
        <v>3896705.1161866663</v>
      </c>
      <c r="T37" s="13">
        <v>3930589.5085013332</v>
      </c>
      <c r="U37" s="13">
        <v>3964473.9008160001</v>
      </c>
      <c r="V37" s="13">
        <v>3998358.2931306669</v>
      </c>
      <c r="W37" s="13">
        <v>4032242.6854453338</v>
      </c>
      <c r="X37" s="13">
        <v>4066127.0777599998</v>
      </c>
      <c r="Y37" s="13">
        <v>4100011.4700746667</v>
      </c>
      <c r="Z37" s="13">
        <v>4133895.8623893326</v>
      </c>
      <c r="AA37" s="13">
        <v>4167780.2547039995</v>
      </c>
      <c r="AB37" s="13">
        <v>4201664.6470186664</v>
      </c>
      <c r="AC37" s="13">
        <v>4235549.0393333323</v>
      </c>
      <c r="AD37" s="13">
        <v>4235549.0393333323</v>
      </c>
      <c r="AE37" s="13">
        <v>4235549.0393333323</v>
      </c>
      <c r="AF37" s="13">
        <v>4235549.0393333323</v>
      </c>
      <c r="AG37" s="13">
        <v>4235549.0393333323</v>
      </c>
      <c r="AH37" s="13">
        <v>4235549.0393333323</v>
      </c>
      <c r="AI37" s="13">
        <v>4235549.0393333323</v>
      </c>
      <c r="AJ37" s="13">
        <v>4235549.0393333323</v>
      </c>
      <c r="AK37" s="13">
        <v>4235549.0393333323</v>
      </c>
      <c r="AL37" s="13">
        <v>4235549.0393333323</v>
      </c>
      <c r="AM37" s="13">
        <v>4235549.0393333323</v>
      </c>
      <c r="AN37" s="13">
        <v>4235549.0393333323</v>
      </c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9666.6666666666661</v>
      </c>
      <c r="F40" s="12">
        <v>9666.6666666666661</v>
      </c>
      <c r="G40" s="12">
        <v>9666.6666666666661</v>
      </c>
      <c r="H40" s="12">
        <v>9666.6666666666661</v>
      </c>
      <c r="I40" s="12">
        <v>9666.6666666666661</v>
      </c>
      <c r="J40" s="12">
        <v>9666.6666666666661</v>
      </c>
      <c r="K40" s="12">
        <v>9666.6666666666661</v>
      </c>
      <c r="L40" s="12">
        <v>9666.6666666666661</v>
      </c>
      <c r="M40" s="12">
        <v>9666.6666666666661</v>
      </c>
      <c r="N40" s="12">
        <v>9666.6666666666661</v>
      </c>
      <c r="O40" s="12">
        <v>9666.6666666666661</v>
      </c>
      <c r="P40" s="12">
        <v>9666.6666666666661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458</v>
      </c>
      <c r="C41" s="146">
        <f>_xlfn.XLOOKUP($B$1&amp;"-"&amp;$C$1,Base!$D$4:$BD$4,Base!$D$12:$BD$12,0,0)</f>
        <v>90</v>
      </c>
      <c r="E41" s="12" cm="1">
        <f t="array" ref="E41:AN41">_xlfn.BYCOL(_xlfn.ANCHORARRAY($E$23),_xlfn.LAMBDA(_xlpm.a,_xlpm.a*$C$41))</f>
        <v>329894.39999999997</v>
      </c>
      <c r="F41" s="12">
        <v>655142.40000000002</v>
      </c>
      <c r="G41" s="12">
        <v>985036.79999999993</v>
      </c>
      <c r="H41" s="12">
        <v>1314931.1999999997</v>
      </c>
      <c r="I41" s="12">
        <v>1640179.1999999997</v>
      </c>
      <c r="J41" s="12">
        <v>1970073.5999999999</v>
      </c>
      <c r="K41" s="12">
        <v>1988659.2</v>
      </c>
      <c r="L41" s="12">
        <v>2007244.8</v>
      </c>
      <c r="M41" s="12">
        <v>2025830.3999999997</v>
      </c>
      <c r="N41" s="12">
        <v>2044416</v>
      </c>
      <c r="O41" s="12">
        <v>2063001.5999999999</v>
      </c>
      <c r="P41" s="12">
        <v>2081587.2000000002</v>
      </c>
      <c r="Q41" s="12">
        <v>2100172.7999999998</v>
      </c>
      <c r="R41" s="12">
        <v>2118758.3999999999</v>
      </c>
      <c r="S41" s="12">
        <v>2137344</v>
      </c>
      <c r="T41" s="12">
        <v>2155929.5999999996</v>
      </c>
      <c r="U41" s="12">
        <v>2174515.1999999997</v>
      </c>
      <c r="V41" s="12">
        <v>2193100.7999999998</v>
      </c>
      <c r="W41" s="12">
        <v>2211686.4000000004</v>
      </c>
      <c r="X41" s="12">
        <v>2230271.9999999995</v>
      </c>
      <c r="Y41" s="12">
        <v>2248857.5999999996</v>
      </c>
      <c r="Z41" s="12">
        <v>2267443.1999999997</v>
      </c>
      <c r="AA41" s="12">
        <v>2286028.7999999998</v>
      </c>
      <c r="AB41" s="12">
        <v>2304614.3999999999</v>
      </c>
      <c r="AC41" s="12">
        <v>2323200</v>
      </c>
      <c r="AD41" s="12">
        <v>2323200</v>
      </c>
      <c r="AE41" s="12">
        <v>2323200</v>
      </c>
      <c r="AF41" s="12">
        <v>2323200</v>
      </c>
      <c r="AG41" s="12">
        <v>2323200</v>
      </c>
      <c r="AH41" s="12">
        <v>2323200</v>
      </c>
      <c r="AI41" s="12">
        <v>2323200</v>
      </c>
      <c r="AJ41" s="12">
        <v>2323200</v>
      </c>
      <c r="AK41" s="12">
        <v>2323200</v>
      </c>
      <c r="AL41" s="12">
        <v>2323200</v>
      </c>
      <c r="AM41" s="12">
        <v>2323200</v>
      </c>
      <c r="AN41" s="12">
        <v>2323200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37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42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C49" s="146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332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339561.06666666665</v>
      </c>
      <c r="F50" s="13">
        <v>664809.06666666665</v>
      </c>
      <c r="G50" s="13">
        <v>994703.46666666656</v>
      </c>
      <c r="H50" s="13">
        <v>1324597.8666666665</v>
      </c>
      <c r="I50" s="13">
        <v>1649845.8666666665</v>
      </c>
      <c r="J50" s="13">
        <v>1979740.2666666666</v>
      </c>
      <c r="K50" s="13">
        <v>1998325.8666666667</v>
      </c>
      <c r="L50" s="13">
        <v>2016911.4666666668</v>
      </c>
      <c r="M50" s="13">
        <v>2035497.0666666664</v>
      </c>
      <c r="N50" s="13">
        <v>2054082.6666666667</v>
      </c>
      <c r="O50" s="13">
        <v>2072668.2666666666</v>
      </c>
      <c r="P50" s="13">
        <v>2091253.8666666669</v>
      </c>
      <c r="Q50" s="13">
        <v>2110806.1333333333</v>
      </c>
      <c r="R50" s="13">
        <v>2129391.7333333334</v>
      </c>
      <c r="S50" s="13">
        <v>2147977.3333333335</v>
      </c>
      <c r="T50" s="13">
        <v>2166562.9333333331</v>
      </c>
      <c r="U50" s="13">
        <v>2185148.5333333332</v>
      </c>
      <c r="V50" s="13">
        <v>2203734.1333333333</v>
      </c>
      <c r="W50" s="13">
        <v>2222319.7333333339</v>
      </c>
      <c r="X50" s="13">
        <v>2240905.333333333</v>
      </c>
      <c r="Y50" s="13">
        <v>2259490.9333333331</v>
      </c>
      <c r="Z50" s="13">
        <v>2278076.5333333332</v>
      </c>
      <c r="AA50" s="13">
        <v>2296662.1333333333</v>
      </c>
      <c r="AB50" s="13">
        <v>2315247.7333333334</v>
      </c>
      <c r="AC50" s="13">
        <v>2334896.6666666665</v>
      </c>
      <c r="AD50" s="13">
        <v>2334896.6666666665</v>
      </c>
      <c r="AE50" s="13">
        <v>2334896.6666666665</v>
      </c>
      <c r="AF50" s="13">
        <v>2334896.6666666665</v>
      </c>
      <c r="AG50" s="13">
        <v>2334896.6666666665</v>
      </c>
      <c r="AH50" s="13">
        <v>2334896.6666666665</v>
      </c>
      <c r="AI50" s="13">
        <v>2334896.6666666665</v>
      </c>
      <c r="AJ50" s="13">
        <v>2334896.6666666665</v>
      </c>
      <c r="AK50" s="13">
        <v>2334896.6666666665</v>
      </c>
      <c r="AL50" s="13">
        <v>2334896.6666666665</v>
      </c>
      <c r="AM50" s="13">
        <v>2334896.6666666665</v>
      </c>
      <c r="AN50" s="13">
        <v>2334896.6666666665</v>
      </c>
    </row>
    <row r="51" spans="2:40" x14ac:dyDescent="0.25">
      <c r="C51" s="63"/>
    </row>
    <row r="52" spans="2:40" x14ac:dyDescent="0.25">
      <c r="B52" s="1" t="s">
        <v>50</v>
      </c>
      <c r="E52" s="74">
        <f>E37-E50</f>
        <v>244368.99506666663</v>
      </c>
      <c r="F52" s="74">
        <f t="shared" ref="F52:AN52" si="4">F37-F50</f>
        <v>494826.68973333319</v>
      </c>
      <c r="G52" s="74">
        <f t="shared" si="4"/>
        <v>748862.35146666667</v>
      </c>
      <c r="H52" s="74">
        <f t="shared" si="4"/>
        <v>1002898.0131999997</v>
      </c>
      <c r="I52" s="74">
        <f t="shared" si="4"/>
        <v>1253355.7078666661</v>
      </c>
      <c r="J52" s="74">
        <f t="shared" si="4"/>
        <v>1507391.3695999999</v>
      </c>
      <c r="K52" s="74">
        <f t="shared" si="4"/>
        <v>1521703.2378666657</v>
      </c>
      <c r="L52" s="74">
        <f t="shared" si="4"/>
        <v>1536015.1061333325</v>
      </c>
      <c r="M52" s="74">
        <f t="shared" si="4"/>
        <v>1550326.9743999997</v>
      </c>
      <c r="N52" s="74">
        <f t="shared" si="4"/>
        <v>1564638.8426666663</v>
      </c>
      <c r="O52" s="74">
        <f t="shared" si="4"/>
        <v>1578950.7109333333</v>
      </c>
      <c r="P52" s="74">
        <f t="shared" si="4"/>
        <v>1593262.5791999998</v>
      </c>
      <c r="Q52" s="74">
        <f t="shared" si="4"/>
        <v>1718130.1982239992</v>
      </c>
      <c r="R52" s="74">
        <f t="shared" si="4"/>
        <v>1733428.9905386665</v>
      </c>
      <c r="S52" s="74">
        <f t="shared" si="4"/>
        <v>1748727.7828533328</v>
      </c>
      <c r="T52" s="74">
        <f t="shared" si="4"/>
        <v>1764026.5751680001</v>
      </c>
      <c r="U52" s="74">
        <f t="shared" si="4"/>
        <v>1779325.3674826669</v>
      </c>
      <c r="V52" s="74">
        <f t="shared" si="4"/>
        <v>1794624.1597973336</v>
      </c>
      <c r="W52" s="74">
        <f t="shared" si="4"/>
        <v>1809922.952112</v>
      </c>
      <c r="X52" s="74">
        <f t="shared" si="4"/>
        <v>1825221.7444266668</v>
      </c>
      <c r="Y52" s="74">
        <f t="shared" si="4"/>
        <v>1840520.5367413335</v>
      </c>
      <c r="Z52" s="74">
        <f t="shared" si="4"/>
        <v>1855819.3290559994</v>
      </c>
      <c r="AA52" s="74">
        <f t="shared" si="4"/>
        <v>1871118.1213706662</v>
      </c>
      <c r="AB52" s="74">
        <f t="shared" si="4"/>
        <v>1886416.913685333</v>
      </c>
      <c r="AC52" s="74">
        <f t="shared" si="4"/>
        <v>1900652.3726666658</v>
      </c>
      <c r="AD52" s="74">
        <f t="shared" si="4"/>
        <v>1900652.3726666658</v>
      </c>
      <c r="AE52" s="74">
        <f t="shared" si="4"/>
        <v>1900652.3726666658</v>
      </c>
      <c r="AF52" s="74">
        <f t="shared" si="4"/>
        <v>1900652.3726666658</v>
      </c>
      <c r="AG52" s="74">
        <f t="shared" si="4"/>
        <v>1900652.3726666658</v>
      </c>
      <c r="AH52" s="74">
        <f t="shared" si="4"/>
        <v>1900652.3726666658</v>
      </c>
      <c r="AI52" s="74">
        <f t="shared" si="4"/>
        <v>1900652.3726666658</v>
      </c>
      <c r="AJ52" s="74">
        <f t="shared" si="4"/>
        <v>1900652.3726666658</v>
      </c>
      <c r="AK52" s="74">
        <f t="shared" si="4"/>
        <v>1900652.3726666658</v>
      </c>
      <c r="AL52" s="74">
        <f t="shared" si="4"/>
        <v>1900652.3726666658</v>
      </c>
      <c r="AM52" s="74">
        <f t="shared" si="4"/>
        <v>1900652.3726666658</v>
      </c>
      <c r="AN52" s="74">
        <f t="shared" si="4"/>
        <v>1900652.3726666658</v>
      </c>
    </row>
    <row r="53" spans="2:40" x14ac:dyDescent="0.25">
      <c r="C53" s="63"/>
      <c r="E53" s="107">
        <f>IFERROR(E52/E37,"")</f>
        <v>0.41849017730185645</v>
      </c>
      <c r="F53" s="107">
        <f t="shared" ref="F53:AN53" si="5">IFERROR(F52/F37,"")</f>
        <v>0.42670872039120683</v>
      </c>
      <c r="G53" s="107">
        <f t="shared" si="5"/>
        <v>0.42950047751475245</v>
      </c>
      <c r="H53" s="107">
        <f t="shared" si="5"/>
        <v>0.43089142364344468</v>
      </c>
      <c r="I53" s="107">
        <f t="shared" si="5"/>
        <v>0.43171501381819605</v>
      </c>
      <c r="J53" s="107">
        <f t="shared" si="5"/>
        <v>0.4322725743768645</v>
      </c>
      <c r="K53" s="107">
        <f t="shared" si="5"/>
        <v>0.43229848182417385</v>
      </c>
      <c r="L53" s="107">
        <f t="shared" si="5"/>
        <v>0.43232390950394056</v>
      </c>
      <c r="M53" s="107">
        <f t="shared" si="5"/>
        <v>0.43234887062077587</v>
      </c>
      <c r="N53" s="107">
        <f t="shared" si="5"/>
        <v>0.43237337789912311</v>
      </c>
      <c r="O53" s="107">
        <f t="shared" si="5"/>
        <v>0.43239744360488758</v>
      </c>
      <c r="P53" s="107">
        <f t="shared" si="5"/>
        <v>0.4324210795659062</v>
      </c>
      <c r="Q53" s="107">
        <f t="shared" si="5"/>
        <v>0.44872258231705536</v>
      </c>
      <c r="R53" s="107">
        <f t="shared" si="5"/>
        <v>0.44874694283019129</v>
      </c>
      <c r="S53" s="107">
        <f t="shared" si="5"/>
        <v>0.44877087968222906</v>
      </c>
      <c r="T53" s="107">
        <f t="shared" si="5"/>
        <v>0.44879440382992153</v>
      </c>
      <c r="U53" s="107">
        <f t="shared" si="5"/>
        <v>0.44881752585543111</v>
      </c>
      <c r="V53" s="107">
        <f t="shared" si="5"/>
        <v>0.44884025598220323</v>
      </c>
      <c r="W53" s="107">
        <f t="shared" si="5"/>
        <v>0.44886260409003786</v>
      </c>
      <c r="X53" s="107">
        <f t="shared" si="5"/>
        <v>0.44888457972940882</v>
      </c>
      <c r="Y53" s="107">
        <f t="shared" si="5"/>
        <v>0.4489061921350711</v>
      </c>
      <c r="Z53" s="107">
        <f t="shared" si="5"/>
        <v>0.44892745023900105</v>
      </c>
      <c r="AA53" s="107">
        <f t="shared" si="5"/>
        <v>0.4489483626827046</v>
      </c>
      <c r="AB53" s="107">
        <f t="shared" si="5"/>
        <v>0.4489689378289291</v>
      </c>
      <c r="AC53" s="107">
        <f t="shared" si="5"/>
        <v>0.44873813406864133</v>
      </c>
      <c r="AD53" s="107">
        <f t="shared" si="5"/>
        <v>0.44873813406864133</v>
      </c>
      <c r="AE53" s="107">
        <f t="shared" si="5"/>
        <v>0.44873813406864133</v>
      </c>
      <c r="AF53" s="107">
        <f t="shared" si="5"/>
        <v>0.44873813406864133</v>
      </c>
      <c r="AG53" s="107">
        <f t="shared" si="5"/>
        <v>0.44873813406864133</v>
      </c>
      <c r="AH53" s="107">
        <f t="shared" si="5"/>
        <v>0.44873813406864133</v>
      </c>
      <c r="AI53" s="107">
        <f t="shared" si="5"/>
        <v>0.44873813406864133</v>
      </c>
      <c r="AJ53" s="107">
        <f t="shared" si="5"/>
        <v>0.44873813406864133</v>
      </c>
      <c r="AK53" s="107">
        <f t="shared" si="5"/>
        <v>0.44873813406864133</v>
      </c>
      <c r="AL53" s="107">
        <f t="shared" si="5"/>
        <v>0.44873813406864133</v>
      </c>
      <c r="AM53" s="107">
        <f t="shared" si="5"/>
        <v>0.44873813406864133</v>
      </c>
      <c r="AN53" s="107">
        <f t="shared" si="5"/>
        <v>0.44873813406864133</v>
      </c>
    </row>
    <row r="54" spans="2:40" x14ac:dyDescent="0.25">
      <c r="C54" s="63"/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100000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100000</v>
      </c>
      <c r="F55" s="12">
        <v>100000</v>
      </c>
      <c r="G55" s="12">
        <v>100000</v>
      </c>
      <c r="H55" s="12">
        <v>100000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-426268.94506533328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-846534.10217199987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-1272803.0472373331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-1699071.9923026662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-2119337.1494093328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-2545606.0944746663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-2569621.2463093325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-2593636.3981439993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-2617651.549978666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-2641666.7018133332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-2665681.8536479999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-2689697.0054826667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-2795123.5220368528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-2819859.1284265597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-2844594.7348162662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-2869330.3412059732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-2894065.9475956801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-2918801.5539853866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-2943537.1603750936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-2968272.7667647996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-2993008.3731545066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-3017743.9795442126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-3042479.5859339195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-3067215.1923236265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-3091950.7987133325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-3091950.7987133325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-3091950.7987133325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-3091950.7987133325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-3091950.7987133325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-3091950.7987133325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-3091950.7987133325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-3091950.7987133325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-3091950.7987133325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-3091950.7987133325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-3091950.7987133325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-3091950.7987133325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-281899.94999866665</v>
      </c>
      <c r="F58" s="13">
        <f t="shared" ref="F58:AN58" si="6">F37-F50-F55+F56</f>
        <v>-451707.41243866668</v>
      </c>
      <c r="G58" s="13">
        <f t="shared" si="6"/>
        <v>-623940.69577066647</v>
      </c>
      <c r="H58" s="13">
        <f t="shared" si="6"/>
        <v>-796173.97910266649</v>
      </c>
      <c r="I58" s="13">
        <f t="shared" si="6"/>
        <v>-865981.44154266664</v>
      </c>
      <c r="J58" s="13">
        <f t="shared" si="6"/>
        <v>-1038214.7248746664</v>
      </c>
      <c r="K58" s="13">
        <f t="shared" si="6"/>
        <v>-1047918.0084426668</v>
      </c>
      <c r="L58" s="13">
        <f t="shared" si="6"/>
        <v>-1057621.2920106668</v>
      </c>
      <c r="M58" s="13">
        <f t="shared" si="6"/>
        <v>-1067324.5755786663</v>
      </c>
      <c r="N58" s="13">
        <f t="shared" si="6"/>
        <v>-1077027.8591466669</v>
      </c>
      <c r="O58" s="13">
        <f t="shared" si="6"/>
        <v>-1086731.1427146667</v>
      </c>
      <c r="P58" s="13">
        <f t="shared" si="6"/>
        <v>-1096434.4262826669</v>
      </c>
      <c r="Q58" s="13">
        <f t="shared" si="6"/>
        <v>-1076993.3238128535</v>
      </c>
      <c r="R58" s="13">
        <f t="shared" si="6"/>
        <v>-1086430.1378878932</v>
      </c>
      <c r="S58" s="13">
        <f t="shared" si="6"/>
        <v>-1095866.9519629334</v>
      </c>
      <c r="T58" s="13">
        <f t="shared" si="6"/>
        <v>-1105303.7660379731</v>
      </c>
      <c r="U58" s="13">
        <f t="shared" si="6"/>
        <v>-1114740.5801130133</v>
      </c>
      <c r="V58" s="13">
        <f t="shared" si="6"/>
        <v>-1124177.394188053</v>
      </c>
      <c r="W58" s="13">
        <f t="shared" si="6"/>
        <v>-1133614.2082630936</v>
      </c>
      <c r="X58" s="13">
        <f t="shared" si="6"/>
        <v>-1143051.0223381328</v>
      </c>
      <c r="Y58" s="13">
        <f t="shared" si="6"/>
        <v>-1152487.836413173</v>
      </c>
      <c r="Z58" s="13">
        <f t="shared" si="6"/>
        <v>-1161924.6504882132</v>
      </c>
      <c r="AA58" s="13">
        <f t="shared" si="6"/>
        <v>-1171361.4645632533</v>
      </c>
      <c r="AB58" s="13">
        <f t="shared" si="6"/>
        <v>-1180798.2786382935</v>
      </c>
      <c r="AC58" s="13">
        <f t="shared" si="6"/>
        <v>-1191298.4260466667</v>
      </c>
      <c r="AD58" s="13">
        <f t="shared" si="6"/>
        <v>-1191298.4260466667</v>
      </c>
      <c r="AE58" s="13">
        <f t="shared" si="6"/>
        <v>-1191298.4260466667</v>
      </c>
      <c r="AF58" s="13">
        <f t="shared" si="6"/>
        <v>-1191298.4260466667</v>
      </c>
      <c r="AG58" s="13">
        <f t="shared" si="6"/>
        <v>-1191298.4260466667</v>
      </c>
      <c r="AH58" s="13">
        <f t="shared" si="6"/>
        <v>-1191298.4260466667</v>
      </c>
      <c r="AI58" s="13">
        <f t="shared" si="6"/>
        <v>-1191298.4260466667</v>
      </c>
      <c r="AJ58" s="13">
        <f t="shared" si="6"/>
        <v>-1191298.4260466667</v>
      </c>
      <c r="AK58" s="13">
        <f t="shared" si="6"/>
        <v>-1191298.4260466667</v>
      </c>
      <c r="AL58" s="13">
        <f t="shared" si="6"/>
        <v>-1191298.4260466667</v>
      </c>
      <c r="AM58" s="13">
        <f t="shared" si="6"/>
        <v>-1191298.4260466667</v>
      </c>
      <c r="AN58" s="13">
        <f t="shared" si="6"/>
        <v>-1191298.4260466667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-381899.94999866665</v>
      </c>
      <c r="F59" s="12">
        <v>-833607.36243733333</v>
      </c>
      <c r="G59" s="12">
        <v>-1457548.0582079999</v>
      </c>
      <c r="H59" s="12">
        <v>-2253722.0373106664</v>
      </c>
      <c r="I59" s="12">
        <v>-3119703.4788533328</v>
      </c>
      <c r="J59" s="12">
        <v>-4157918.2037279992</v>
      </c>
      <c r="K59" s="12">
        <v>-5205836.2121706661</v>
      </c>
      <c r="L59" s="12">
        <v>-6263457.5041813329</v>
      </c>
      <c r="M59" s="12">
        <v>-7330782.0797599992</v>
      </c>
      <c r="N59" s="12">
        <v>-8407809.9389066659</v>
      </c>
      <c r="O59" s="12">
        <v>-9494541.0816213321</v>
      </c>
      <c r="P59" s="12">
        <v>-10590975.507903999</v>
      </c>
      <c r="Q59" s="12">
        <v>-11667968.831716852</v>
      </c>
      <c r="R59" s="12">
        <v>-12754398.969604746</v>
      </c>
      <c r="S59" s="12">
        <v>-13850265.921567678</v>
      </c>
      <c r="T59" s="12">
        <v>-14955569.687605651</v>
      </c>
      <c r="U59" s="12">
        <v>-16070310.267718665</v>
      </c>
      <c r="V59" s="12">
        <v>-17194487.661906719</v>
      </c>
      <c r="W59" s="12">
        <v>-18328101.870169811</v>
      </c>
      <c r="X59" s="12">
        <v>-19471152.892507944</v>
      </c>
      <c r="Y59" s="12">
        <v>-20623640.728921115</v>
      </c>
      <c r="Z59" s="12">
        <v>-21785565.379409328</v>
      </c>
      <c r="AA59" s="12">
        <v>-22956926.843972582</v>
      </c>
      <c r="AB59" s="12">
        <v>-24137725.122610874</v>
      </c>
      <c r="AC59" s="12">
        <v>-25329023.54865754</v>
      </c>
      <c r="AD59" s="12">
        <v>-26520321.974704206</v>
      </c>
      <c r="AE59" s="12">
        <v>-27711620.400750872</v>
      </c>
      <c r="AF59" s="12">
        <v>-28902918.826797538</v>
      </c>
      <c r="AG59" s="12">
        <v>-30094217.252844203</v>
      </c>
      <c r="AH59" s="12">
        <v>-31285515.678890869</v>
      </c>
      <c r="AI59" s="12">
        <v>-32476814.104937535</v>
      </c>
      <c r="AJ59" s="12">
        <v>-33668112.530984201</v>
      </c>
      <c r="AK59" s="12">
        <v>-34859410.95703087</v>
      </c>
      <c r="AL59" s="12">
        <v>-36050709.38307754</v>
      </c>
      <c r="AM59" s="12">
        <v>-37242007.809124209</v>
      </c>
      <c r="AN59" s="12">
        <v>-38433306.235170878</v>
      </c>
    </row>
    <row r="62" spans="2:40" x14ac:dyDescent="0.25">
      <c r="E62" s="1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3EA2-F856-43BD-B70F-EC0D5CFF3683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480</v>
      </c>
      <c r="C1" s="16" t="s">
        <v>45</v>
      </c>
      <c r="D1" s="55" t="s">
        <v>460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22</v>
      </c>
      <c r="O1" s="5">
        <v>45</v>
      </c>
      <c r="P1" s="5">
        <v>67</v>
      </c>
      <c r="Q1" s="5">
        <v>89</v>
      </c>
      <c r="R1" s="5">
        <v>111</v>
      </c>
      <c r="S1" s="5">
        <v>134</v>
      </c>
      <c r="T1" s="5">
        <v>139</v>
      </c>
      <c r="U1" s="5">
        <v>145</v>
      </c>
      <c r="V1" s="5">
        <v>150</v>
      </c>
      <c r="W1" s="5">
        <v>156</v>
      </c>
      <c r="X1" s="5">
        <v>162</v>
      </c>
      <c r="Y1" s="5">
        <v>167</v>
      </c>
      <c r="Z1" s="5">
        <v>173</v>
      </c>
      <c r="AA1" s="5">
        <v>178</v>
      </c>
      <c r="AB1" s="5">
        <v>184</v>
      </c>
      <c r="AC1" s="5">
        <v>190</v>
      </c>
      <c r="AD1" s="5">
        <v>195</v>
      </c>
      <c r="AE1" s="5">
        <v>201</v>
      </c>
      <c r="AF1" s="5">
        <v>206</v>
      </c>
      <c r="AG1" s="5">
        <v>212</v>
      </c>
      <c r="AH1" s="5">
        <v>218</v>
      </c>
      <c r="AI1" s="5">
        <v>223</v>
      </c>
      <c r="AJ1" s="5">
        <v>229</v>
      </c>
      <c r="AK1" s="5">
        <v>234</v>
      </c>
      <c r="AL1" s="5">
        <v>240</v>
      </c>
      <c r="AM1" s="5">
        <v>240</v>
      </c>
      <c r="AN1" s="5">
        <v>240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7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7" t="e">
        <v>#VALUE!</v>
      </c>
      <c r="G5" s="157" t="e">
        <v>#VALUE!</v>
      </c>
      <c r="H5" s="157" t="e">
        <v>#VALUE!</v>
      </c>
      <c r="I5" s="157" t="e">
        <v>#VALUE!</v>
      </c>
      <c r="J5" s="157" t="e">
        <v>#VALUE!</v>
      </c>
      <c r="K5" s="157" t="e">
        <v>#VALUE!</v>
      </c>
      <c r="L5" s="157" t="e">
        <v>#VALUE!</v>
      </c>
      <c r="M5" s="157" t="e">
        <v>#VALUE!</v>
      </c>
      <c r="N5" s="157" t="e">
        <v>#VALUE!</v>
      </c>
      <c r="O5" s="157" t="e">
        <v>#VALUE!</v>
      </c>
      <c r="P5" s="157" t="e">
        <v>#VALUE!</v>
      </c>
      <c r="Q5" s="157" t="e">
        <v>#VALUE!</v>
      </c>
      <c r="R5" s="157" t="e">
        <v>#VALUE!</v>
      </c>
      <c r="S5" s="157" t="e">
        <v>#VALUE!</v>
      </c>
      <c r="T5" s="157" t="e">
        <v>#VALUE!</v>
      </c>
      <c r="U5" s="157" t="e">
        <v>#VALUE!</v>
      </c>
      <c r="V5" s="157" t="e">
        <v>#VALUE!</v>
      </c>
      <c r="W5" s="157" t="e">
        <v>#VALUE!</v>
      </c>
      <c r="X5" s="157" t="e">
        <v>#VALUE!</v>
      </c>
      <c r="Y5" s="157" t="e">
        <v>#VALUE!</v>
      </c>
      <c r="Z5" s="157" t="e">
        <v>#VALUE!</v>
      </c>
      <c r="AA5" s="157" t="e">
        <v>#VALUE!</v>
      </c>
      <c r="AB5" s="157" t="e">
        <v>#VALUE!</v>
      </c>
      <c r="AC5" s="157" t="e">
        <v>#VALUE!</v>
      </c>
      <c r="AD5" s="157" t="e">
        <v>#VALUE!</v>
      </c>
      <c r="AE5" s="157" t="e">
        <v>#VALUE!</v>
      </c>
      <c r="AF5" s="157" t="e">
        <v>#VALUE!</v>
      </c>
      <c r="AG5" s="157" t="e">
        <v>#VALUE!</v>
      </c>
      <c r="AH5" s="157" t="e">
        <v>#VALUE!</v>
      </c>
      <c r="AI5" s="157" t="e">
        <v>#VALUE!</v>
      </c>
      <c r="AJ5" s="157" t="e">
        <v>#VALUE!</v>
      </c>
      <c r="AK5" s="157" t="e">
        <v>#VALUE!</v>
      </c>
      <c r="AL5" s="157" t="e">
        <v>#VALUE!</v>
      </c>
      <c r="AM5" s="157" t="e">
        <v>#VALUE!</v>
      </c>
      <c r="AN5" s="157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121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461</v>
      </c>
      <c r="C10" s="3"/>
      <c r="D10" s="3"/>
      <c r="E10" s="158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22</v>
      </c>
      <c r="O10" s="69">
        <f>O1-N1+N11</f>
        <v>25.2</v>
      </c>
      <c r="P10" s="69">
        <f t="shared" ref="P10:AN10" si="1">P1-O1+O11</f>
        <v>26.5</v>
      </c>
      <c r="Q10" s="69">
        <f t="shared" si="1"/>
        <v>28.7</v>
      </c>
      <c r="R10" s="69">
        <f t="shared" si="1"/>
        <v>30.9</v>
      </c>
      <c r="S10" s="69">
        <f t="shared" si="1"/>
        <v>34.1</v>
      </c>
      <c r="T10" s="69">
        <f t="shared" si="1"/>
        <v>18.399999999999999</v>
      </c>
      <c r="U10" s="69">
        <f t="shared" si="1"/>
        <v>19.899999999999999</v>
      </c>
      <c r="V10" s="69">
        <f t="shared" si="1"/>
        <v>19.5</v>
      </c>
      <c r="W10" s="69">
        <f t="shared" si="1"/>
        <v>21</v>
      </c>
      <c r="X10" s="69">
        <f t="shared" si="1"/>
        <v>21.6</v>
      </c>
      <c r="Y10" s="69">
        <f t="shared" si="1"/>
        <v>21.2</v>
      </c>
      <c r="Z10" s="69">
        <f t="shared" si="1"/>
        <v>22.7</v>
      </c>
      <c r="AA10" s="69">
        <f t="shared" si="1"/>
        <v>22.3</v>
      </c>
      <c r="AB10" s="69">
        <f t="shared" si="1"/>
        <v>23.8</v>
      </c>
      <c r="AC10" s="69">
        <f t="shared" si="1"/>
        <v>24.400000000000002</v>
      </c>
      <c r="AD10" s="69">
        <f t="shared" si="1"/>
        <v>24</v>
      </c>
      <c r="AE10" s="69">
        <f t="shared" si="1"/>
        <v>25.5</v>
      </c>
      <c r="AF10" s="69">
        <f t="shared" si="1"/>
        <v>25.1</v>
      </c>
      <c r="AG10" s="69">
        <f t="shared" si="1"/>
        <v>26.6</v>
      </c>
      <c r="AH10" s="69">
        <f t="shared" si="1"/>
        <v>27.200000000000003</v>
      </c>
      <c r="AI10" s="69">
        <f t="shared" si="1"/>
        <v>26.8</v>
      </c>
      <c r="AJ10" s="69">
        <f t="shared" si="1"/>
        <v>28.3</v>
      </c>
      <c r="AK10" s="69">
        <f t="shared" si="1"/>
        <v>27.900000000000002</v>
      </c>
      <c r="AL10" s="69">
        <f t="shared" si="1"/>
        <v>29.400000000000002</v>
      </c>
      <c r="AM10" s="69">
        <f t="shared" si="1"/>
        <v>24</v>
      </c>
      <c r="AN10" s="69">
        <f t="shared" si="1"/>
        <v>24</v>
      </c>
    </row>
    <row r="11" spans="2:40" x14ac:dyDescent="0.25">
      <c r="B11" s="55" t="s">
        <v>462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2.2000000000000002</v>
      </c>
      <c r="O11" s="69">
        <f t="shared" si="2"/>
        <v>4.5</v>
      </c>
      <c r="P11" s="69">
        <f t="shared" si="2"/>
        <v>6.7</v>
      </c>
      <c r="Q11" s="69">
        <f t="shared" si="2"/>
        <v>8.9</v>
      </c>
      <c r="R11" s="69">
        <f t="shared" si="2"/>
        <v>11.100000000000001</v>
      </c>
      <c r="S11" s="69">
        <f t="shared" si="2"/>
        <v>13.4</v>
      </c>
      <c r="T11" s="69">
        <f t="shared" si="2"/>
        <v>13.9</v>
      </c>
      <c r="U11" s="69">
        <f t="shared" si="2"/>
        <v>14.5</v>
      </c>
      <c r="V11" s="69">
        <f t="shared" si="2"/>
        <v>15</v>
      </c>
      <c r="W11" s="69">
        <f t="shared" si="2"/>
        <v>15.600000000000001</v>
      </c>
      <c r="X11" s="69">
        <f t="shared" si="2"/>
        <v>16.2</v>
      </c>
      <c r="Y11" s="69">
        <f t="shared" si="2"/>
        <v>16.7</v>
      </c>
      <c r="Z11" s="69">
        <f t="shared" si="2"/>
        <v>17.3</v>
      </c>
      <c r="AA11" s="69">
        <f t="shared" si="2"/>
        <v>17.8</v>
      </c>
      <c r="AB11" s="69">
        <f t="shared" si="2"/>
        <v>18.400000000000002</v>
      </c>
      <c r="AC11" s="69">
        <f t="shared" si="2"/>
        <v>19</v>
      </c>
      <c r="AD11" s="69">
        <f t="shared" si="2"/>
        <v>19.5</v>
      </c>
      <c r="AE11" s="69">
        <f t="shared" si="2"/>
        <v>20.100000000000001</v>
      </c>
      <c r="AF11" s="69">
        <f t="shared" si="2"/>
        <v>20.6</v>
      </c>
      <c r="AG11" s="69">
        <f t="shared" si="2"/>
        <v>21.200000000000003</v>
      </c>
      <c r="AH11" s="69">
        <f t="shared" si="2"/>
        <v>21.8</v>
      </c>
      <c r="AI11" s="69">
        <f t="shared" si="2"/>
        <v>22.3</v>
      </c>
      <c r="AJ11" s="69">
        <f t="shared" si="2"/>
        <v>22.900000000000002</v>
      </c>
      <c r="AK11" s="69">
        <f t="shared" si="2"/>
        <v>23.400000000000002</v>
      </c>
      <c r="AL11" s="69">
        <f t="shared" si="2"/>
        <v>24</v>
      </c>
      <c r="AM11" s="69">
        <f t="shared" si="2"/>
        <v>24</v>
      </c>
      <c r="AN11" s="69">
        <f t="shared" si="2"/>
        <v>24</v>
      </c>
    </row>
    <row r="12" spans="2:40" x14ac:dyDescent="0.25">
      <c r="B12" s="55" t="s">
        <v>463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24.2</v>
      </c>
      <c r="O12" s="69">
        <f t="shared" si="3"/>
        <v>49.5</v>
      </c>
      <c r="P12" s="69">
        <f t="shared" si="3"/>
        <v>73.7</v>
      </c>
      <c r="Q12" s="69">
        <f t="shared" si="3"/>
        <v>97.9</v>
      </c>
      <c r="R12" s="69">
        <f t="shared" si="3"/>
        <v>122.1</v>
      </c>
      <c r="S12" s="69">
        <f t="shared" si="3"/>
        <v>147.4</v>
      </c>
      <c r="T12" s="69">
        <f t="shared" si="3"/>
        <v>152.9</v>
      </c>
      <c r="U12" s="69">
        <f t="shared" si="3"/>
        <v>159.5</v>
      </c>
      <c r="V12" s="69">
        <f t="shared" si="3"/>
        <v>165</v>
      </c>
      <c r="W12" s="69">
        <f t="shared" si="3"/>
        <v>171.6</v>
      </c>
      <c r="X12" s="69">
        <f t="shared" si="3"/>
        <v>178.2</v>
      </c>
      <c r="Y12" s="69">
        <f t="shared" si="3"/>
        <v>183.7</v>
      </c>
      <c r="Z12" s="69">
        <f t="shared" si="3"/>
        <v>190.3</v>
      </c>
      <c r="AA12" s="69">
        <f t="shared" si="3"/>
        <v>195.8</v>
      </c>
      <c r="AB12" s="69">
        <f t="shared" si="3"/>
        <v>202.4</v>
      </c>
      <c r="AC12" s="69">
        <f t="shared" si="3"/>
        <v>209</v>
      </c>
      <c r="AD12" s="69">
        <f t="shared" si="3"/>
        <v>214.5</v>
      </c>
      <c r="AE12" s="69">
        <f t="shared" si="3"/>
        <v>221.1</v>
      </c>
      <c r="AF12" s="69">
        <f t="shared" si="3"/>
        <v>226.6</v>
      </c>
      <c r="AG12" s="69">
        <f t="shared" si="3"/>
        <v>233.2</v>
      </c>
      <c r="AH12" s="69">
        <f t="shared" si="3"/>
        <v>239.8</v>
      </c>
      <c r="AI12" s="69">
        <f t="shared" si="3"/>
        <v>245.3</v>
      </c>
      <c r="AJ12" s="69">
        <f t="shared" si="3"/>
        <v>251.9</v>
      </c>
      <c r="AK12" s="69">
        <f t="shared" si="3"/>
        <v>257.39999999999998</v>
      </c>
      <c r="AL12" s="69">
        <f t="shared" si="3"/>
        <v>264</v>
      </c>
      <c r="AM12" s="69">
        <f t="shared" si="3"/>
        <v>264</v>
      </c>
      <c r="AN12" s="69">
        <f t="shared" si="3"/>
        <v>264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464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169.47301136363635</v>
      </c>
      <c r="O22" s="78">
        <v>169.4730113636364</v>
      </c>
      <c r="P22" s="78">
        <v>169.47301136363632</v>
      </c>
      <c r="Q22" s="78">
        <v>174.55720170454546</v>
      </c>
      <c r="R22" s="78">
        <v>174.55720170454549</v>
      </c>
      <c r="S22" s="78">
        <v>174.55720170454549</v>
      </c>
      <c r="T22" s="78">
        <v>174.55720170454549</v>
      </c>
      <c r="U22" s="78">
        <v>174.55720170454541</v>
      </c>
      <c r="V22" s="78">
        <v>174.55720170454541</v>
      </c>
      <c r="W22" s="78">
        <v>174.55720170454541</v>
      </c>
      <c r="X22" s="78">
        <v>174.55720170454546</v>
      </c>
      <c r="Y22" s="78">
        <v>174.55720170454549</v>
      </c>
      <c r="Z22" s="78">
        <v>174.55720170454541</v>
      </c>
      <c r="AA22" s="78">
        <v>174.55720170454546</v>
      </c>
      <c r="AB22" s="78">
        <v>174.55720170454546</v>
      </c>
      <c r="AC22" s="78">
        <v>174.55720170454543</v>
      </c>
      <c r="AD22" s="78">
        <v>174.55720170454549</v>
      </c>
      <c r="AE22" s="78">
        <v>174.55720170454543</v>
      </c>
      <c r="AF22" s="78">
        <v>174.55720170454546</v>
      </c>
      <c r="AG22" s="78">
        <v>174.55720170454546</v>
      </c>
      <c r="AH22" s="78">
        <v>174.55720170454549</v>
      </c>
      <c r="AI22" s="78">
        <v>174.55720170454543</v>
      </c>
      <c r="AJ22" s="78">
        <v>174.55720170454543</v>
      </c>
      <c r="AK22" s="78">
        <v>174.55720170454546</v>
      </c>
      <c r="AL22" s="78">
        <v>174.55720170454546</v>
      </c>
      <c r="AM22" s="78">
        <v>174.55720170454546</v>
      </c>
      <c r="AN22" s="78">
        <v>174.55720170454546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1135.7866666666666</v>
      </c>
      <c r="O23" s="52">
        <v>2323.1999999999994</v>
      </c>
      <c r="P23" s="52">
        <v>3458.9866666666667</v>
      </c>
      <c r="Q23" s="52">
        <v>4594.7733333333335</v>
      </c>
      <c r="R23" s="52">
        <v>5730.5599999999995</v>
      </c>
      <c r="S23" s="52">
        <v>6917.9733333333334</v>
      </c>
      <c r="T23" s="52">
        <v>7176.1066666666657</v>
      </c>
      <c r="U23" s="52">
        <v>7485.8666666666668</v>
      </c>
      <c r="V23" s="52">
        <v>7744</v>
      </c>
      <c r="W23" s="52">
        <v>8053.7599999999993</v>
      </c>
      <c r="X23" s="52">
        <v>8363.5199999999986</v>
      </c>
      <c r="Y23" s="52">
        <v>8621.6533333333318</v>
      </c>
      <c r="Z23" s="52">
        <v>8931.4133333333339</v>
      </c>
      <c r="AA23" s="52">
        <v>9189.5466666666671</v>
      </c>
      <c r="AB23" s="52">
        <v>9499.3066666666655</v>
      </c>
      <c r="AC23" s="52">
        <v>9809.0666666666657</v>
      </c>
      <c r="AD23" s="52">
        <v>10067.199999999999</v>
      </c>
      <c r="AE23" s="52">
        <v>10376.959999999999</v>
      </c>
      <c r="AF23" s="52">
        <v>10635.093333333332</v>
      </c>
      <c r="AG23" s="52">
        <v>10944.853333333333</v>
      </c>
      <c r="AH23" s="52">
        <v>11254.613333333331</v>
      </c>
      <c r="AI23" s="52">
        <v>11512.746666666664</v>
      </c>
      <c r="AJ23" s="52">
        <v>11822.506666666666</v>
      </c>
      <c r="AK23" s="52">
        <v>12080.64</v>
      </c>
      <c r="AL23" s="52">
        <v>12390.399999999998</v>
      </c>
      <c r="AM23" s="52">
        <v>12390.399999999998</v>
      </c>
      <c r="AN23" s="52">
        <v>12390.399999999998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174163.51333333331</v>
      </c>
      <c r="O26" s="12">
        <v>356243.54999999993</v>
      </c>
      <c r="P26" s="12">
        <v>530407.06333333324</v>
      </c>
      <c r="Q26" s="12">
        <v>725707.6939666667</v>
      </c>
      <c r="R26" s="12">
        <v>905096.11269999994</v>
      </c>
      <c r="S26" s="12">
        <v>1092638.5504666667</v>
      </c>
      <c r="T26" s="12">
        <v>1133408.6456333334</v>
      </c>
      <c r="U26" s="12">
        <v>1182332.7598333331</v>
      </c>
      <c r="V26" s="12">
        <v>1223102.855</v>
      </c>
      <c r="W26" s="12">
        <v>1272026.9691999997</v>
      </c>
      <c r="X26" s="12">
        <v>1320951.0833999999</v>
      </c>
      <c r="Y26" s="12">
        <v>1361721.1785666668</v>
      </c>
      <c r="Z26" s="12">
        <v>1410645.2927666665</v>
      </c>
      <c r="AA26" s="12">
        <v>1451415.3879333334</v>
      </c>
      <c r="AB26" s="12">
        <v>1500339.5021333334</v>
      </c>
      <c r="AC26" s="12">
        <v>1549263.6163333331</v>
      </c>
      <c r="AD26" s="12">
        <v>1590033.7115</v>
      </c>
      <c r="AE26" s="12">
        <v>1638957.8256999997</v>
      </c>
      <c r="AF26" s="12">
        <v>1679727.9208666664</v>
      </c>
      <c r="AG26" s="12">
        <v>1728652.0350666668</v>
      </c>
      <c r="AH26" s="12">
        <v>1777576.1492666665</v>
      </c>
      <c r="AI26" s="12">
        <v>1818346.2444333332</v>
      </c>
      <c r="AJ26" s="12">
        <v>1867270.3586333334</v>
      </c>
      <c r="AK26" s="12">
        <v>1908040.4537999998</v>
      </c>
      <c r="AL26" s="12">
        <v>1956964.5679999997</v>
      </c>
      <c r="AM26" s="12">
        <v>1956964.5679999997</v>
      </c>
      <c r="AN26" s="12">
        <v>1956964.5679999997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23214.333999999992</v>
      </c>
      <c r="O28" s="12">
        <v>47483.864999999983</v>
      </c>
      <c r="P28" s="12">
        <v>70698.198999999979</v>
      </c>
      <c r="Q28" s="12">
        <v>96729.908989999982</v>
      </c>
      <c r="R28" s="12">
        <v>120640.67300999997</v>
      </c>
      <c r="S28" s="12">
        <v>145638.28993999996</v>
      </c>
      <c r="T28" s="12">
        <v>151072.55448999998</v>
      </c>
      <c r="U28" s="12">
        <v>157593.67194999996</v>
      </c>
      <c r="V28" s="12">
        <v>163027.93649999992</v>
      </c>
      <c r="W28" s="12">
        <v>169549.05395999999</v>
      </c>
      <c r="X28" s="12">
        <v>176070.17141999997</v>
      </c>
      <c r="Y28" s="12">
        <v>181504.43596999993</v>
      </c>
      <c r="Z28" s="12">
        <v>188025.55342999997</v>
      </c>
      <c r="AA28" s="12">
        <v>193459.81797999996</v>
      </c>
      <c r="AB28" s="12">
        <v>199980.93543999994</v>
      </c>
      <c r="AC28" s="12">
        <v>206502.05289999992</v>
      </c>
      <c r="AD28" s="12">
        <v>211936.31744999994</v>
      </c>
      <c r="AE28" s="12">
        <v>218457.43490999992</v>
      </c>
      <c r="AF28" s="12">
        <v>223891.69945999995</v>
      </c>
      <c r="AG28" s="12">
        <v>230412.81691999992</v>
      </c>
      <c r="AH28" s="12">
        <v>236933.9343799999</v>
      </c>
      <c r="AI28" s="12">
        <v>242368.19892999993</v>
      </c>
      <c r="AJ28" s="12">
        <v>248889.31638999993</v>
      </c>
      <c r="AK28" s="12">
        <v>254323.5809399999</v>
      </c>
      <c r="AL28" s="12">
        <v>260844.69839999994</v>
      </c>
      <c r="AM28" s="12">
        <v>260844.69839999994</v>
      </c>
      <c r="AN28" s="12">
        <v>260844.69839999994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3571.4359999999997</v>
      </c>
      <c r="O29" s="12">
        <v>7305.21</v>
      </c>
      <c r="P29" s="12">
        <v>10876.645999999999</v>
      </c>
      <c r="Q29" s="12">
        <v>14881.524459999999</v>
      </c>
      <c r="R29" s="12">
        <v>18560.10354</v>
      </c>
      <c r="S29" s="12">
        <v>22405.890759999998</v>
      </c>
      <c r="T29" s="12">
        <v>23241.931459999996</v>
      </c>
      <c r="U29" s="12">
        <v>24245.1803</v>
      </c>
      <c r="V29" s="12">
        <v>25081.221000000001</v>
      </c>
      <c r="W29" s="12">
        <v>26084.469840000005</v>
      </c>
      <c r="X29" s="12">
        <v>27087.718680000002</v>
      </c>
      <c r="Y29" s="12">
        <v>27923.759379999996</v>
      </c>
      <c r="Z29" s="12">
        <v>28927.00822</v>
      </c>
      <c r="AA29" s="12">
        <v>29763.048919999997</v>
      </c>
      <c r="AB29" s="12">
        <v>30766.297759999998</v>
      </c>
      <c r="AC29" s="12">
        <v>31769.546599999998</v>
      </c>
      <c r="AD29" s="12">
        <v>32605.587299999999</v>
      </c>
      <c r="AE29" s="12">
        <v>33608.836139999999</v>
      </c>
      <c r="AF29" s="12">
        <v>34444.876839999997</v>
      </c>
      <c r="AG29" s="12">
        <v>35448.125679999997</v>
      </c>
      <c r="AH29" s="12">
        <v>36451.374519999998</v>
      </c>
      <c r="AI29" s="12">
        <v>37287.415219999995</v>
      </c>
      <c r="AJ29" s="12">
        <v>38290.664060000003</v>
      </c>
      <c r="AK29" s="12">
        <v>39126.704760000001</v>
      </c>
      <c r="AL29" s="12">
        <v>40129.953600000001</v>
      </c>
      <c r="AM29" s="12">
        <v>40129.953600000001</v>
      </c>
      <c r="AN29" s="12">
        <v>40129.953600000001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4659.8933333333325</v>
      </c>
      <c r="O30" s="12">
        <v>9531.5999999999985</v>
      </c>
      <c r="P30" s="12">
        <v>14191.493333333332</v>
      </c>
      <c r="Q30" s="12">
        <v>19416.928266666666</v>
      </c>
      <c r="R30" s="12">
        <v>24216.618399999996</v>
      </c>
      <c r="S30" s="12">
        <v>29234.476266666668</v>
      </c>
      <c r="T30" s="12">
        <v>30325.314933333331</v>
      </c>
      <c r="U30" s="12">
        <v>31634.32133333333</v>
      </c>
      <c r="V30" s="12">
        <v>32725.159999999996</v>
      </c>
      <c r="W30" s="12">
        <v>34034.166400000002</v>
      </c>
      <c r="X30" s="12">
        <v>35343.1728</v>
      </c>
      <c r="Y30" s="12">
        <v>36434.011466666663</v>
      </c>
      <c r="Z30" s="12">
        <v>37743.017866666662</v>
      </c>
      <c r="AA30" s="12">
        <v>38833.856533333332</v>
      </c>
      <c r="AB30" s="12">
        <v>40142.86293333333</v>
      </c>
      <c r="AC30" s="12">
        <v>41451.869333333329</v>
      </c>
      <c r="AD30" s="12">
        <v>42542.707999999999</v>
      </c>
      <c r="AE30" s="12">
        <v>43851.714399999997</v>
      </c>
      <c r="AF30" s="12">
        <v>44942.55306666666</v>
      </c>
      <c r="AG30" s="12">
        <v>46251.559466666658</v>
      </c>
      <c r="AH30" s="12">
        <v>47560.565866666664</v>
      </c>
      <c r="AI30" s="12">
        <v>48651.404533333327</v>
      </c>
      <c r="AJ30" s="12">
        <v>49960.410933333325</v>
      </c>
      <c r="AK30" s="12">
        <v>51051.249599999996</v>
      </c>
      <c r="AL30" s="12">
        <v>52360.255999999994</v>
      </c>
      <c r="AM30" s="12">
        <v>52360.255999999994</v>
      </c>
      <c r="AN30" s="12">
        <v>52360.255999999994</v>
      </c>
    </row>
    <row r="31" spans="2:50" outlineLevel="1" x14ac:dyDescent="0.25">
      <c r="B31" s="39" t="str">
        <f>Base!B36</f>
        <v>Tertiary Direct Staff - Service A</v>
      </c>
      <c r="C31" s="4"/>
      <c r="E31" s="187" cm="1">
        <f t="array" ref="E31:AN31">_xlfn.BYCOL(_xlfn.ANCHORARRAY($E$25),_xlfn.LAMBDA(_xlpm.a,0))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outlineLevel="1" x14ac:dyDescent="0.25">
      <c r="B32" s="39" t="str">
        <f>Base!B37</f>
        <v>Tertiary Direct Staff - Service B</v>
      </c>
      <c r="C32" s="4"/>
      <c r="E32" s="187" cm="1">
        <f t="array" ref="E32:AN32">_xlfn.BYCOL(_xlfn.ANCHORARRAY($E$25),_xlfn.LAMBDA(_xlpm.a,0))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outlineLevel="1" x14ac:dyDescent="0.25">
      <c r="B33" s="39" t="str">
        <f>Base!B38</f>
        <v>Quaternary Direct Staff - Service A</v>
      </c>
      <c r="C33" s="4"/>
      <c r="E33" s="187" cm="1">
        <f t="array" ref="E33:AN33">_xlfn.BYCOL(_xlfn.ANCHORARRAY($E$25),_xlfn.LAMBDA(_xlpm.a,0))</f>
        <v>0</v>
      </c>
      <c r="F33" s="187">
        <v>0</v>
      </c>
      <c r="G33" s="187">
        <v>0</v>
      </c>
      <c r="H33" s="187">
        <v>0</v>
      </c>
      <c r="I33" s="187">
        <v>0</v>
      </c>
      <c r="J33" s="187">
        <v>0</v>
      </c>
      <c r="K33" s="187">
        <v>0</v>
      </c>
      <c r="L33" s="187">
        <v>0</v>
      </c>
      <c r="M33" s="187">
        <v>0</v>
      </c>
      <c r="N33" s="187">
        <v>0</v>
      </c>
      <c r="O33" s="187">
        <v>0</v>
      </c>
      <c r="P33" s="187">
        <v>0</v>
      </c>
      <c r="Q33" s="187">
        <v>0</v>
      </c>
      <c r="R33" s="187">
        <v>0</v>
      </c>
      <c r="S33" s="187">
        <v>0</v>
      </c>
      <c r="T33" s="187">
        <v>0</v>
      </c>
      <c r="U33" s="187">
        <v>0</v>
      </c>
      <c r="V33" s="187">
        <v>0</v>
      </c>
      <c r="W33" s="187">
        <v>0</v>
      </c>
      <c r="X33" s="187">
        <v>0</v>
      </c>
      <c r="Y33" s="187">
        <v>0</v>
      </c>
      <c r="Z33" s="187">
        <v>0</v>
      </c>
      <c r="AA33" s="187">
        <v>0</v>
      </c>
      <c r="AB33" s="187">
        <v>0</v>
      </c>
      <c r="AC33" s="187">
        <v>0</v>
      </c>
      <c r="AD33" s="187">
        <v>0</v>
      </c>
      <c r="AE33" s="187">
        <v>0</v>
      </c>
      <c r="AF33" s="187">
        <v>0</v>
      </c>
      <c r="AG33" s="187">
        <v>0</v>
      </c>
      <c r="AH33" s="187">
        <v>0</v>
      </c>
      <c r="AI33" s="187">
        <v>0</v>
      </c>
      <c r="AJ33" s="187">
        <v>0</v>
      </c>
      <c r="AK33" s="187">
        <v>0</v>
      </c>
      <c r="AL33" s="187">
        <v>0</v>
      </c>
      <c r="AM33" s="187">
        <v>0</v>
      </c>
      <c r="AN33" s="187">
        <v>0</v>
      </c>
    </row>
    <row r="34" spans="2:40" outlineLevel="1" x14ac:dyDescent="0.25">
      <c r="B34" s="39" t="str">
        <f>Base!B39</f>
        <v>Quinary Direct Staff - Service A</v>
      </c>
      <c r="C34" s="4"/>
      <c r="E34" s="187" cm="1">
        <f t="array" ref="E34:AN34">_xlfn.BYCOL(_xlfn.ANCHORARRAY($E$25),_xlfn.LAMBDA(_xlpm.a,0))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-24673.101199999997</v>
      </c>
      <c r="O35" s="12">
        <v>-50467.706999999988</v>
      </c>
      <c r="P35" s="12">
        <v>-75140.80819999997</v>
      </c>
      <c r="Q35" s="12">
        <v>-102808.32668200001</v>
      </c>
      <c r="R35" s="12">
        <v>-128221.620918</v>
      </c>
      <c r="S35" s="12">
        <v>-154790.06489200002</v>
      </c>
      <c r="T35" s="12">
        <v>-160565.813582</v>
      </c>
      <c r="U35" s="12">
        <v>-167496.71200999993</v>
      </c>
      <c r="V35" s="12">
        <v>-173272.46069999994</v>
      </c>
      <c r="W35" s="12">
        <v>-180203.35912799992</v>
      </c>
      <c r="X35" s="12">
        <v>-187134.25755599997</v>
      </c>
      <c r="Y35" s="12">
        <v>-192910.006246</v>
      </c>
      <c r="Z35" s="12">
        <v>-199840.90467399996</v>
      </c>
      <c r="AA35" s="12">
        <v>-205616.65336400003</v>
      </c>
      <c r="AB35" s="12">
        <v>-212547.55179199998</v>
      </c>
      <c r="AC35" s="12">
        <v>-219478.45021999997</v>
      </c>
      <c r="AD35" s="12">
        <v>-225254.19891000001</v>
      </c>
      <c r="AE35" s="12">
        <v>-232185.09733799993</v>
      </c>
      <c r="AF35" s="12">
        <v>-237960.84602799997</v>
      </c>
      <c r="AG35" s="12">
        <v>-244891.74445599999</v>
      </c>
      <c r="AH35" s="12">
        <v>-251822.64288399997</v>
      </c>
      <c r="AI35" s="12">
        <v>-257598.39157399992</v>
      </c>
      <c r="AJ35" s="12">
        <v>-264529.29000199999</v>
      </c>
      <c r="AK35" s="12">
        <v>-270305.03869199997</v>
      </c>
      <c r="AL35" s="12">
        <v>-277235.93711999996</v>
      </c>
      <c r="AM35" s="12">
        <v>-277235.93711999996</v>
      </c>
      <c r="AN35" s="12">
        <v>-277235.93711999996</v>
      </c>
    </row>
    <row r="36" spans="2:40" x14ac:dyDescent="0.25">
      <c r="B36" s="39" t="s">
        <v>320</v>
      </c>
      <c r="C36" s="4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87">
        <v>0</v>
      </c>
      <c r="AD36" s="187">
        <v>0</v>
      </c>
      <c r="AE36" s="187">
        <v>0</v>
      </c>
      <c r="AF36" s="187">
        <v>0</v>
      </c>
      <c r="AG36" s="187">
        <v>0</v>
      </c>
      <c r="AH36" s="187">
        <v>0</v>
      </c>
      <c r="AI36" s="187">
        <v>0</v>
      </c>
      <c r="AJ36" s="187">
        <v>0</v>
      </c>
      <c r="AK36" s="187">
        <v>0</v>
      </c>
      <c r="AL36" s="187">
        <v>0</v>
      </c>
      <c r="AM36" s="187">
        <v>0</v>
      </c>
      <c r="AN36" s="187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180936.07546666663</v>
      </c>
      <c r="O37" s="13">
        <v>370096.51799999992</v>
      </c>
      <c r="P37" s="13">
        <v>551032.59346666653</v>
      </c>
      <c r="Q37" s="13">
        <v>753927.72900133347</v>
      </c>
      <c r="R37" s="13">
        <v>940291.88673200004</v>
      </c>
      <c r="S37" s="13">
        <v>1135127.1425413336</v>
      </c>
      <c r="T37" s="13">
        <v>1177482.6329346667</v>
      </c>
      <c r="U37" s="13">
        <v>1228309.2214066663</v>
      </c>
      <c r="V37" s="13">
        <v>1270664.7117999997</v>
      </c>
      <c r="W37" s="13">
        <v>1321491.3002719996</v>
      </c>
      <c r="X37" s="13">
        <v>1372317.8887439999</v>
      </c>
      <c r="Y37" s="13">
        <v>1414673.3791373332</v>
      </c>
      <c r="Z37" s="13">
        <v>1465499.9676093331</v>
      </c>
      <c r="AA37" s="13">
        <v>1507855.4580026669</v>
      </c>
      <c r="AB37" s="13">
        <v>1558682.0464746666</v>
      </c>
      <c r="AC37" s="13">
        <v>1609508.6349466664</v>
      </c>
      <c r="AD37" s="13">
        <v>1651864.12534</v>
      </c>
      <c r="AE37" s="13">
        <v>1702690.7138119997</v>
      </c>
      <c r="AF37" s="13">
        <v>1745046.2042053333</v>
      </c>
      <c r="AG37" s="13">
        <v>1795872.7926773333</v>
      </c>
      <c r="AH37" s="13">
        <v>1846699.3811493332</v>
      </c>
      <c r="AI37" s="13">
        <v>1889054.8715426661</v>
      </c>
      <c r="AJ37" s="13">
        <v>1939881.4600146664</v>
      </c>
      <c r="AK37" s="13">
        <v>1982236.950408</v>
      </c>
      <c r="AL37" s="13">
        <v>2033063.5388799999</v>
      </c>
      <c r="AM37" s="13">
        <v>2033063.5388799999</v>
      </c>
      <c r="AN37" s="13">
        <v>2033063.5388799999</v>
      </c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</row>
    <row r="41" spans="2:40" x14ac:dyDescent="0.25">
      <c r="B41" s="39" t="s">
        <v>458</v>
      </c>
      <c r="C41" s="146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102220.8</v>
      </c>
      <c r="O41" s="12">
        <v>209087.99999999994</v>
      </c>
      <c r="P41" s="12">
        <v>311308.79999999999</v>
      </c>
      <c r="Q41" s="12">
        <v>413529.60000000003</v>
      </c>
      <c r="R41" s="12">
        <v>515750.39999999997</v>
      </c>
      <c r="S41" s="12">
        <v>622617.59999999998</v>
      </c>
      <c r="T41" s="12">
        <v>645849.59999999986</v>
      </c>
      <c r="U41" s="12">
        <v>673728</v>
      </c>
      <c r="V41" s="12">
        <v>696960</v>
      </c>
      <c r="W41" s="12">
        <v>724838.39999999991</v>
      </c>
      <c r="X41" s="12">
        <v>752716.79999999993</v>
      </c>
      <c r="Y41" s="12">
        <v>775948.79999999981</v>
      </c>
      <c r="Z41" s="12">
        <v>803827.20000000007</v>
      </c>
      <c r="AA41" s="12">
        <v>827059.20000000007</v>
      </c>
      <c r="AB41" s="12">
        <v>854937.59999999986</v>
      </c>
      <c r="AC41" s="12">
        <v>882815.99999999988</v>
      </c>
      <c r="AD41" s="12">
        <v>906047.99999999988</v>
      </c>
      <c r="AE41" s="12">
        <v>933926.39999999991</v>
      </c>
      <c r="AF41" s="12">
        <v>957158.39999999991</v>
      </c>
      <c r="AG41" s="12">
        <v>985036.79999999993</v>
      </c>
      <c r="AH41" s="12">
        <v>1012915.1999999998</v>
      </c>
      <c r="AI41" s="12">
        <v>1036147.1999999997</v>
      </c>
      <c r="AJ41" s="12">
        <v>1064025.5999999999</v>
      </c>
      <c r="AK41" s="12">
        <v>1087257.5999999999</v>
      </c>
      <c r="AL41" s="12">
        <v>1115135.9999999998</v>
      </c>
      <c r="AM41" s="12">
        <v>1115135.9999999998</v>
      </c>
      <c r="AN41" s="12">
        <v>1115135.9999999998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37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42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C49" s="146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332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102220.8</v>
      </c>
      <c r="O50" s="13">
        <v>209087.99999999994</v>
      </c>
      <c r="P50" s="13">
        <v>311308.79999999999</v>
      </c>
      <c r="Q50" s="13">
        <v>413529.60000000003</v>
      </c>
      <c r="R50" s="13">
        <v>515750.39999999997</v>
      </c>
      <c r="S50" s="13">
        <v>622617.59999999998</v>
      </c>
      <c r="T50" s="13">
        <v>645849.59999999986</v>
      </c>
      <c r="U50" s="13">
        <v>673728</v>
      </c>
      <c r="V50" s="13">
        <v>696960</v>
      </c>
      <c r="W50" s="13">
        <v>724838.39999999991</v>
      </c>
      <c r="X50" s="13">
        <v>752716.79999999993</v>
      </c>
      <c r="Y50" s="13">
        <v>775948.79999999981</v>
      </c>
      <c r="Z50" s="13">
        <v>803827.20000000007</v>
      </c>
      <c r="AA50" s="13">
        <v>827059.20000000007</v>
      </c>
      <c r="AB50" s="13">
        <v>854937.59999999986</v>
      </c>
      <c r="AC50" s="13">
        <v>882815.99999999988</v>
      </c>
      <c r="AD50" s="13">
        <v>906047.99999999988</v>
      </c>
      <c r="AE50" s="13">
        <v>933926.39999999991</v>
      </c>
      <c r="AF50" s="13">
        <v>957158.39999999991</v>
      </c>
      <c r="AG50" s="13">
        <v>985036.79999999993</v>
      </c>
      <c r="AH50" s="13">
        <v>1012915.1999999998</v>
      </c>
      <c r="AI50" s="13">
        <v>1036147.1999999997</v>
      </c>
      <c r="AJ50" s="13">
        <v>1064025.5999999999</v>
      </c>
      <c r="AK50" s="13">
        <v>1087257.5999999999</v>
      </c>
      <c r="AL50" s="13">
        <v>1115135.9999999998</v>
      </c>
      <c r="AM50" s="13">
        <v>1115135.9999999998</v>
      </c>
      <c r="AN50" s="13">
        <v>1115135.9999999998</v>
      </c>
    </row>
    <row r="51" spans="2:40" x14ac:dyDescent="0.25">
      <c r="C51" s="63"/>
    </row>
    <row r="52" spans="2:40" x14ac:dyDescent="0.25">
      <c r="B52" s="1" t="s">
        <v>50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78715.27546666663</v>
      </c>
      <c r="O52" s="74">
        <f t="shared" si="4"/>
        <v>161008.51799999998</v>
      </c>
      <c r="P52" s="74">
        <f t="shared" si="4"/>
        <v>239723.79346666654</v>
      </c>
      <c r="Q52" s="74">
        <f t="shared" si="4"/>
        <v>340398.12900133344</v>
      </c>
      <c r="R52" s="74">
        <f t="shared" si="4"/>
        <v>424541.48673200008</v>
      </c>
      <c r="S52" s="74">
        <f t="shared" si="4"/>
        <v>512509.54254133359</v>
      </c>
      <c r="T52" s="74">
        <f t="shared" si="4"/>
        <v>531633.03293466684</v>
      </c>
      <c r="U52" s="74">
        <f t="shared" si="4"/>
        <v>554581.22140666633</v>
      </c>
      <c r="V52" s="74">
        <f t="shared" si="4"/>
        <v>573704.7117999997</v>
      </c>
      <c r="W52" s="74">
        <f t="shared" si="4"/>
        <v>596652.90027199965</v>
      </c>
      <c r="X52" s="74">
        <f t="shared" si="4"/>
        <v>619601.08874399995</v>
      </c>
      <c r="Y52" s="74">
        <f t="shared" si="4"/>
        <v>638724.57913733344</v>
      </c>
      <c r="Z52" s="74">
        <f t="shared" si="4"/>
        <v>661672.76760933304</v>
      </c>
      <c r="AA52" s="74">
        <f t="shared" si="4"/>
        <v>680796.25800266687</v>
      </c>
      <c r="AB52" s="74">
        <f t="shared" si="4"/>
        <v>703744.44647466671</v>
      </c>
      <c r="AC52" s="74">
        <f t="shared" si="4"/>
        <v>726692.63494666654</v>
      </c>
      <c r="AD52" s="74">
        <f t="shared" si="4"/>
        <v>745816.12534000014</v>
      </c>
      <c r="AE52" s="74">
        <f t="shared" si="4"/>
        <v>768764.31381199975</v>
      </c>
      <c r="AF52" s="74">
        <f t="shared" si="4"/>
        <v>787887.80420533335</v>
      </c>
      <c r="AG52" s="74">
        <f t="shared" si="4"/>
        <v>810835.99267733342</v>
      </c>
      <c r="AH52" s="74">
        <f t="shared" si="4"/>
        <v>833784.18114933337</v>
      </c>
      <c r="AI52" s="74">
        <f t="shared" si="4"/>
        <v>852907.67154266639</v>
      </c>
      <c r="AJ52" s="74">
        <f t="shared" si="4"/>
        <v>875855.86001466657</v>
      </c>
      <c r="AK52" s="74">
        <f t="shared" si="4"/>
        <v>894979.35040800017</v>
      </c>
      <c r="AL52" s="74">
        <f t="shared" si="4"/>
        <v>917927.53888000012</v>
      </c>
      <c r="AM52" s="74">
        <f t="shared" si="4"/>
        <v>917927.53888000012</v>
      </c>
      <c r="AN52" s="74">
        <f t="shared" si="4"/>
        <v>917927.53888000012</v>
      </c>
    </row>
    <row r="53" spans="2:40" x14ac:dyDescent="0.25">
      <c r="C53" s="63"/>
      <c r="E53" s="107" t="str">
        <f>IFERROR(E52/E37,"")</f>
        <v/>
      </c>
      <c r="F53" s="107" t="str">
        <f t="shared" ref="F53:AN53" si="5">IFERROR(F52/F37,"")</f>
        <v/>
      </c>
      <c r="G53" s="107" t="str">
        <f t="shared" si="5"/>
        <v/>
      </c>
      <c r="H53" s="107" t="str">
        <f t="shared" si="5"/>
        <v/>
      </c>
      <c r="I53" s="107" t="str">
        <f t="shared" si="5"/>
        <v/>
      </c>
      <c r="J53" s="107" t="str">
        <f t="shared" si="5"/>
        <v/>
      </c>
      <c r="K53" s="107" t="str">
        <f t="shared" si="5"/>
        <v/>
      </c>
      <c r="L53" s="107" t="str">
        <f t="shared" si="5"/>
        <v/>
      </c>
      <c r="M53" s="107" t="str">
        <f t="shared" si="5"/>
        <v/>
      </c>
      <c r="N53" s="107">
        <f t="shared" si="5"/>
        <v>0.4350446712389765</v>
      </c>
      <c r="O53" s="107">
        <f t="shared" si="5"/>
        <v>0.43504467123897667</v>
      </c>
      <c r="P53" s="107">
        <f t="shared" si="5"/>
        <v>0.4350446712389765</v>
      </c>
      <c r="Q53" s="107">
        <f t="shared" si="5"/>
        <v>0.4514996808145405</v>
      </c>
      <c r="R53" s="107">
        <f t="shared" si="5"/>
        <v>0.4514996808145405</v>
      </c>
      <c r="S53" s="107">
        <f t="shared" si="5"/>
        <v>0.45149968081454056</v>
      </c>
      <c r="T53" s="107">
        <f t="shared" si="5"/>
        <v>0.45149968081454056</v>
      </c>
      <c r="U53" s="107">
        <f t="shared" si="5"/>
        <v>0.45149968081454028</v>
      </c>
      <c r="V53" s="107">
        <f t="shared" si="5"/>
        <v>0.45149968081454028</v>
      </c>
      <c r="W53" s="107">
        <f t="shared" si="5"/>
        <v>0.45149968081454034</v>
      </c>
      <c r="X53" s="107">
        <f t="shared" si="5"/>
        <v>0.45149968081454045</v>
      </c>
      <c r="Y53" s="107">
        <f t="shared" si="5"/>
        <v>0.4514996808145405</v>
      </c>
      <c r="Z53" s="107">
        <f t="shared" si="5"/>
        <v>0.45149968081454028</v>
      </c>
      <c r="AA53" s="107">
        <f t="shared" si="5"/>
        <v>0.4514996808145405</v>
      </c>
      <c r="AB53" s="107">
        <f t="shared" si="5"/>
        <v>0.4514996808145405</v>
      </c>
      <c r="AC53" s="107">
        <f t="shared" si="5"/>
        <v>0.45149968081454039</v>
      </c>
      <c r="AD53" s="107">
        <f t="shared" si="5"/>
        <v>0.4514996808145405</v>
      </c>
      <c r="AE53" s="107">
        <f t="shared" si="5"/>
        <v>0.45149968081454039</v>
      </c>
      <c r="AF53" s="107">
        <f t="shared" si="5"/>
        <v>0.45149968081454045</v>
      </c>
      <c r="AG53" s="107">
        <f t="shared" si="5"/>
        <v>0.45149968081454045</v>
      </c>
      <c r="AH53" s="107">
        <f t="shared" si="5"/>
        <v>0.45149968081454045</v>
      </c>
      <c r="AI53" s="107">
        <f t="shared" si="5"/>
        <v>0.45149968081454039</v>
      </c>
      <c r="AJ53" s="107">
        <f t="shared" si="5"/>
        <v>0.45149968081454045</v>
      </c>
      <c r="AK53" s="107">
        <f t="shared" si="5"/>
        <v>0.4514996808145405</v>
      </c>
      <c r="AL53" s="107">
        <f t="shared" si="5"/>
        <v>0.4514996808145405</v>
      </c>
      <c r="AM53" s="107">
        <f t="shared" si="5"/>
        <v>0.4514996808145405</v>
      </c>
      <c r="AN53" s="107">
        <f t="shared" si="5"/>
        <v>0.4514996808145405</v>
      </c>
    </row>
    <row r="54" spans="2:40" x14ac:dyDescent="0.25">
      <c r="C54" s="63"/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100000</v>
      </c>
      <c r="N55" s="12">
        <v>100000</v>
      </c>
      <c r="O55" s="12">
        <v>100000</v>
      </c>
      <c r="P55" s="12">
        <v>100000</v>
      </c>
      <c r="Q55" s="12">
        <v>100000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-132083.33509066663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-270170.45813999994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-402253.79323066655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-550367.24217097345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-686413.07731436007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-828642.81405517354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-859562.32204230665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-896665.73162686639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-927585.23961399973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-964688.64919855969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-1001792.0587831199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-1032711.5667702532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-1069814.9763548132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-1100734.4843419469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-1137837.8939265066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-1174941.3035110664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-1205860.8114982001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-1242964.2210827598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-1273883.7290698932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-1310987.1386544532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-1348090.5482390132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-1379010.0562261462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-1416113.4658107064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-1447032.9737978401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-1484136.3833823998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-1484136.3833823998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-1484136.3833823998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-100000</v>
      </c>
      <c r="N58" s="13">
        <f t="shared" si="6"/>
        <v>-153368.05962399999</v>
      </c>
      <c r="O58" s="13">
        <f t="shared" si="6"/>
        <v>-209161.94013999996</v>
      </c>
      <c r="P58" s="13">
        <f t="shared" si="6"/>
        <v>-262529.99976400001</v>
      </c>
      <c r="Q58" s="13">
        <f t="shared" si="6"/>
        <v>-309969.11316964001</v>
      </c>
      <c r="R58" s="13">
        <f t="shared" si="6"/>
        <v>-261871.59058235999</v>
      </c>
      <c r="S58" s="13">
        <f t="shared" si="6"/>
        <v>-316133.27151383995</v>
      </c>
      <c r="T58" s="13">
        <f t="shared" si="6"/>
        <v>-327929.28910763981</v>
      </c>
      <c r="U58" s="13">
        <f t="shared" si="6"/>
        <v>-342084.51022020006</v>
      </c>
      <c r="V58" s="13">
        <f t="shared" si="6"/>
        <v>-353880.52781400003</v>
      </c>
      <c r="W58" s="13">
        <f t="shared" si="6"/>
        <v>-368035.74892656005</v>
      </c>
      <c r="X58" s="13">
        <f t="shared" si="6"/>
        <v>-382190.97003911994</v>
      </c>
      <c r="Y58" s="13">
        <f t="shared" si="6"/>
        <v>-393986.9876329198</v>
      </c>
      <c r="Z58" s="13">
        <f t="shared" si="6"/>
        <v>-408142.20874548017</v>
      </c>
      <c r="AA58" s="13">
        <f t="shared" si="6"/>
        <v>-419938.22633928002</v>
      </c>
      <c r="AB58" s="13">
        <f t="shared" si="6"/>
        <v>-434093.44745183992</v>
      </c>
      <c r="AC58" s="13">
        <f t="shared" si="6"/>
        <v>-448248.66856439982</v>
      </c>
      <c r="AD58" s="13">
        <f t="shared" si="6"/>
        <v>-460044.68615819991</v>
      </c>
      <c r="AE58" s="13">
        <f t="shared" si="6"/>
        <v>-474199.90727076004</v>
      </c>
      <c r="AF58" s="13">
        <f t="shared" si="6"/>
        <v>-485995.9248645599</v>
      </c>
      <c r="AG58" s="13">
        <f t="shared" si="6"/>
        <v>-500151.1459771198</v>
      </c>
      <c r="AH58" s="13">
        <f t="shared" si="6"/>
        <v>-514306.36708967981</v>
      </c>
      <c r="AI58" s="13">
        <f t="shared" si="6"/>
        <v>-526102.38468347979</v>
      </c>
      <c r="AJ58" s="13">
        <f t="shared" si="6"/>
        <v>-540257.6057960398</v>
      </c>
      <c r="AK58" s="13">
        <f t="shared" si="6"/>
        <v>-552053.62338983989</v>
      </c>
      <c r="AL58" s="13">
        <f t="shared" si="6"/>
        <v>-566208.84450239968</v>
      </c>
      <c r="AM58" s="13">
        <f t="shared" si="6"/>
        <v>-566208.84450239968</v>
      </c>
      <c r="AN58" s="13">
        <f t="shared" si="6"/>
        <v>-566208.84450239968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-100000</v>
      </c>
      <c r="N59" s="12">
        <v>-253368.05962399999</v>
      </c>
      <c r="O59" s="12">
        <v>-462529.99976399995</v>
      </c>
      <c r="P59" s="12">
        <v>-725059.9995279999</v>
      </c>
      <c r="Q59" s="12">
        <v>-1035029.11269764</v>
      </c>
      <c r="R59" s="12">
        <v>-1296900.70328</v>
      </c>
      <c r="S59" s="12">
        <v>-1613033.97479384</v>
      </c>
      <c r="T59" s="12">
        <v>-1940963.2639014798</v>
      </c>
      <c r="U59" s="12">
        <v>-2283047.7741216798</v>
      </c>
      <c r="V59" s="12">
        <v>-2636928.3019356797</v>
      </c>
      <c r="W59" s="12">
        <v>-3004964.0508622397</v>
      </c>
      <c r="X59" s="12">
        <v>-3387155.0209013596</v>
      </c>
      <c r="Y59" s="12">
        <v>-3781142.0085342797</v>
      </c>
      <c r="Z59" s="12">
        <v>-4189284.2172797597</v>
      </c>
      <c r="AA59" s="12">
        <v>-4609222.4436190398</v>
      </c>
      <c r="AB59" s="12">
        <v>-5043315.89107088</v>
      </c>
      <c r="AC59" s="12">
        <v>-5491564.5596352797</v>
      </c>
      <c r="AD59" s="12">
        <v>-5951609.2457934795</v>
      </c>
      <c r="AE59" s="12">
        <v>-6425809.1530642398</v>
      </c>
      <c r="AF59" s="12">
        <v>-6911805.0779288001</v>
      </c>
      <c r="AG59" s="12">
        <v>-7411956.2239059201</v>
      </c>
      <c r="AH59" s="12">
        <v>-7926262.5909955995</v>
      </c>
      <c r="AI59" s="12">
        <v>-8452364.9756790791</v>
      </c>
      <c r="AJ59" s="12">
        <v>-8992622.5814751182</v>
      </c>
      <c r="AK59" s="12">
        <v>-9544676.2048649583</v>
      </c>
      <c r="AL59" s="12">
        <v>-10110885.049367357</v>
      </c>
      <c r="AM59" s="12">
        <v>-10677093.893869758</v>
      </c>
      <c r="AN59" s="12">
        <v>-11243302.738372158</v>
      </c>
    </row>
    <row r="63" spans="2:40" x14ac:dyDescent="0.25">
      <c r="E63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6F51-9A7C-4AEC-84CA-28750A49C3A1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481</v>
      </c>
      <c r="C1" s="16" t="s">
        <v>45</v>
      </c>
      <c r="D1" s="55" t="s">
        <v>460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22</v>
      </c>
      <c r="R1" s="5">
        <v>45</v>
      </c>
      <c r="S1" s="5">
        <v>67</v>
      </c>
      <c r="T1" s="5">
        <v>89</v>
      </c>
      <c r="U1" s="5">
        <v>111</v>
      </c>
      <c r="V1" s="5">
        <v>134</v>
      </c>
      <c r="W1" s="5">
        <v>139</v>
      </c>
      <c r="X1" s="5">
        <v>145</v>
      </c>
      <c r="Y1" s="5">
        <v>150</v>
      </c>
      <c r="Z1" s="5">
        <v>156</v>
      </c>
      <c r="AA1" s="5">
        <v>162</v>
      </c>
      <c r="AB1" s="5">
        <v>167</v>
      </c>
      <c r="AC1" s="5">
        <v>173</v>
      </c>
      <c r="AD1" s="5">
        <v>178</v>
      </c>
      <c r="AE1" s="5">
        <v>184</v>
      </c>
      <c r="AF1" s="5">
        <v>190</v>
      </c>
      <c r="AG1" s="5">
        <v>195</v>
      </c>
      <c r="AH1" s="5">
        <v>201</v>
      </c>
      <c r="AI1" s="5">
        <v>206</v>
      </c>
      <c r="AJ1" s="5">
        <v>212</v>
      </c>
      <c r="AK1" s="5">
        <v>218</v>
      </c>
      <c r="AL1" s="5">
        <v>223</v>
      </c>
      <c r="AM1" s="5">
        <v>229</v>
      </c>
      <c r="AN1" s="5">
        <v>234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7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7" t="e">
        <v>#VALUE!</v>
      </c>
      <c r="G5" s="157" t="e">
        <v>#VALUE!</v>
      </c>
      <c r="H5" s="157" t="e">
        <v>#VALUE!</v>
      </c>
      <c r="I5" s="157" t="e">
        <v>#VALUE!</v>
      </c>
      <c r="J5" s="157" t="e">
        <v>#VALUE!</v>
      </c>
      <c r="K5" s="157" t="e">
        <v>#VALUE!</v>
      </c>
      <c r="L5" s="157" t="e">
        <v>#VALUE!</v>
      </c>
      <c r="M5" s="157" t="e">
        <v>#VALUE!</v>
      </c>
      <c r="N5" s="157" t="e">
        <v>#VALUE!</v>
      </c>
      <c r="O5" s="157" t="e">
        <v>#VALUE!</v>
      </c>
      <c r="P5" s="157" t="e">
        <v>#VALUE!</v>
      </c>
      <c r="Q5" s="157" t="e">
        <v>#VALUE!</v>
      </c>
      <c r="R5" s="157" t="e">
        <v>#VALUE!</v>
      </c>
      <c r="S5" s="157" t="e">
        <v>#VALUE!</v>
      </c>
      <c r="T5" s="157" t="e">
        <v>#VALUE!</v>
      </c>
      <c r="U5" s="157" t="e">
        <v>#VALUE!</v>
      </c>
      <c r="V5" s="157" t="e">
        <v>#VALUE!</v>
      </c>
      <c r="W5" s="157" t="e">
        <v>#VALUE!</v>
      </c>
      <c r="X5" s="157" t="e">
        <v>#VALUE!</v>
      </c>
      <c r="Y5" s="157" t="e">
        <v>#VALUE!</v>
      </c>
      <c r="Z5" s="157" t="e">
        <v>#VALUE!</v>
      </c>
      <c r="AA5" s="157" t="e">
        <v>#VALUE!</v>
      </c>
      <c r="AB5" s="157" t="e">
        <v>#VALUE!</v>
      </c>
      <c r="AC5" s="157" t="e">
        <v>#VALUE!</v>
      </c>
      <c r="AD5" s="157" t="e">
        <v>#VALUE!</v>
      </c>
      <c r="AE5" s="157" t="e">
        <v>#VALUE!</v>
      </c>
      <c r="AF5" s="157" t="e">
        <v>#VALUE!</v>
      </c>
      <c r="AG5" s="157" t="e">
        <v>#VALUE!</v>
      </c>
      <c r="AH5" s="157" t="e">
        <v>#VALUE!</v>
      </c>
      <c r="AI5" s="157" t="e">
        <v>#VALUE!</v>
      </c>
      <c r="AJ5" s="157" t="e">
        <v>#VALUE!</v>
      </c>
      <c r="AK5" s="157" t="e">
        <v>#VALUE!</v>
      </c>
      <c r="AL5" s="157" t="e">
        <v>#VALUE!</v>
      </c>
      <c r="AM5" s="157" t="e">
        <v>#VALUE!</v>
      </c>
      <c r="AN5" s="157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121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461</v>
      </c>
      <c r="C10" s="3"/>
      <c r="D10" s="3"/>
      <c r="E10" s="158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22</v>
      </c>
      <c r="R10" s="69">
        <f t="shared" si="1"/>
        <v>25.2</v>
      </c>
      <c r="S10" s="69">
        <f t="shared" si="1"/>
        <v>26.5</v>
      </c>
      <c r="T10" s="69">
        <f t="shared" si="1"/>
        <v>28.7</v>
      </c>
      <c r="U10" s="69">
        <f t="shared" si="1"/>
        <v>30.9</v>
      </c>
      <c r="V10" s="69">
        <f t="shared" si="1"/>
        <v>34.1</v>
      </c>
      <c r="W10" s="69">
        <f t="shared" si="1"/>
        <v>18.399999999999999</v>
      </c>
      <c r="X10" s="69">
        <f t="shared" si="1"/>
        <v>19.899999999999999</v>
      </c>
      <c r="Y10" s="69">
        <f t="shared" si="1"/>
        <v>19.5</v>
      </c>
      <c r="Z10" s="69">
        <f t="shared" si="1"/>
        <v>21</v>
      </c>
      <c r="AA10" s="69">
        <f t="shared" si="1"/>
        <v>21.6</v>
      </c>
      <c r="AB10" s="69">
        <f t="shared" si="1"/>
        <v>21.2</v>
      </c>
      <c r="AC10" s="69">
        <f t="shared" si="1"/>
        <v>22.7</v>
      </c>
      <c r="AD10" s="69">
        <f t="shared" si="1"/>
        <v>22.3</v>
      </c>
      <c r="AE10" s="69">
        <f t="shared" si="1"/>
        <v>23.8</v>
      </c>
      <c r="AF10" s="69">
        <f t="shared" si="1"/>
        <v>24.400000000000002</v>
      </c>
      <c r="AG10" s="69">
        <f t="shared" si="1"/>
        <v>24</v>
      </c>
      <c r="AH10" s="69">
        <f t="shared" si="1"/>
        <v>25.5</v>
      </c>
      <c r="AI10" s="69">
        <f t="shared" si="1"/>
        <v>25.1</v>
      </c>
      <c r="AJ10" s="69">
        <f t="shared" si="1"/>
        <v>26.6</v>
      </c>
      <c r="AK10" s="69">
        <f t="shared" si="1"/>
        <v>27.200000000000003</v>
      </c>
      <c r="AL10" s="69">
        <f t="shared" si="1"/>
        <v>26.8</v>
      </c>
      <c r="AM10" s="69">
        <f t="shared" si="1"/>
        <v>28.3</v>
      </c>
      <c r="AN10" s="69">
        <f t="shared" si="1"/>
        <v>27.900000000000002</v>
      </c>
    </row>
    <row r="11" spans="2:40" x14ac:dyDescent="0.25">
      <c r="B11" s="55" t="s">
        <v>462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2.2000000000000002</v>
      </c>
      <c r="R11" s="69">
        <f t="shared" si="2"/>
        <v>4.5</v>
      </c>
      <c r="S11" s="69">
        <f t="shared" si="2"/>
        <v>6.7</v>
      </c>
      <c r="T11" s="69">
        <f t="shared" si="2"/>
        <v>8.9</v>
      </c>
      <c r="U11" s="69">
        <f t="shared" si="2"/>
        <v>11.100000000000001</v>
      </c>
      <c r="V11" s="69">
        <f t="shared" si="2"/>
        <v>13.4</v>
      </c>
      <c r="W11" s="69">
        <f t="shared" si="2"/>
        <v>13.9</v>
      </c>
      <c r="X11" s="69">
        <f t="shared" si="2"/>
        <v>14.5</v>
      </c>
      <c r="Y11" s="69">
        <f t="shared" si="2"/>
        <v>15</v>
      </c>
      <c r="Z11" s="69">
        <f t="shared" si="2"/>
        <v>15.600000000000001</v>
      </c>
      <c r="AA11" s="69">
        <f t="shared" si="2"/>
        <v>16.2</v>
      </c>
      <c r="AB11" s="69">
        <f t="shared" si="2"/>
        <v>16.7</v>
      </c>
      <c r="AC11" s="69">
        <f t="shared" si="2"/>
        <v>17.3</v>
      </c>
      <c r="AD11" s="69">
        <f t="shared" si="2"/>
        <v>17.8</v>
      </c>
      <c r="AE11" s="69">
        <f t="shared" si="2"/>
        <v>18.400000000000002</v>
      </c>
      <c r="AF11" s="69">
        <f t="shared" si="2"/>
        <v>19</v>
      </c>
      <c r="AG11" s="69">
        <f t="shared" si="2"/>
        <v>19.5</v>
      </c>
      <c r="AH11" s="69">
        <f t="shared" si="2"/>
        <v>20.100000000000001</v>
      </c>
      <c r="AI11" s="69">
        <f t="shared" si="2"/>
        <v>20.6</v>
      </c>
      <c r="AJ11" s="69">
        <f t="shared" si="2"/>
        <v>21.200000000000003</v>
      </c>
      <c r="AK11" s="69">
        <f t="shared" si="2"/>
        <v>21.8</v>
      </c>
      <c r="AL11" s="69">
        <f t="shared" si="2"/>
        <v>22.3</v>
      </c>
      <c r="AM11" s="69">
        <f t="shared" si="2"/>
        <v>22.900000000000002</v>
      </c>
      <c r="AN11" s="69">
        <f t="shared" si="2"/>
        <v>23.400000000000002</v>
      </c>
    </row>
    <row r="12" spans="2:40" x14ac:dyDescent="0.25">
      <c r="B12" s="55" t="s">
        <v>463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24.2</v>
      </c>
      <c r="R12" s="69">
        <f t="shared" si="3"/>
        <v>49.5</v>
      </c>
      <c r="S12" s="69">
        <f t="shared" si="3"/>
        <v>73.7</v>
      </c>
      <c r="T12" s="69">
        <f t="shared" si="3"/>
        <v>97.9</v>
      </c>
      <c r="U12" s="69">
        <f t="shared" si="3"/>
        <v>122.1</v>
      </c>
      <c r="V12" s="69">
        <f t="shared" si="3"/>
        <v>147.4</v>
      </c>
      <c r="W12" s="69">
        <f t="shared" si="3"/>
        <v>152.9</v>
      </c>
      <c r="X12" s="69">
        <f t="shared" si="3"/>
        <v>159.5</v>
      </c>
      <c r="Y12" s="69">
        <f t="shared" si="3"/>
        <v>165</v>
      </c>
      <c r="Z12" s="69">
        <f t="shared" si="3"/>
        <v>171.6</v>
      </c>
      <c r="AA12" s="69">
        <f t="shared" si="3"/>
        <v>178.2</v>
      </c>
      <c r="AB12" s="69">
        <f t="shared" si="3"/>
        <v>183.7</v>
      </c>
      <c r="AC12" s="69">
        <f t="shared" si="3"/>
        <v>190.3</v>
      </c>
      <c r="AD12" s="69">
        <f t="shared" si="3"/>
        <v>195.8</v>
      </c>
      <c r="AE12" s="69">
        <f t="shared" si="3"/>
        <v>202.4</v>
      </c>
      <c r="AF12" s="69">
        <f t="shared" si="3"/>
        <v>209</v>
      </c>
      <c r="AG12" s="69">
        <f t="shared" si="3"/>
        <v>214.5</v>
      </c>
      <c r="AH12" s="69">
        <f t="shared" si="3"/>
        <v>221.1</v>
      </c>
      <c r="AI12" s="69">
        <f t="shared" si="3"/>
        <v>226.6</v>
      </c>
      <c r="AJ12" s="69">
        <f t="shared" si="3"/>
        <v>233.2</v>
      </c>
      <c r="AK12" s="69">
        <f t="shared" si="3"/>
        <v>239.8</v>
      </c>
      <c r="AL12" s="69">
        <f t="shared" si="3"/>
        <v>245.3</v>
      </c>
      <c r="AM12" s="69">
        <f t="shared" si="3"/>
        <v>251.9</v>
      </c>
      <c r="AN12" s="69">
        <f t="shared" si="3"/>
        <v>257.39999999999998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464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174.55720170454541</v>
      </c>
      <c r="R22" s="78">
        <v>174.55720170454546</v>
      </c>
      <c r="S22" s="78">
        <v>174.55720170454549</v>
      </c>
      <c r="T22" s="78">
        <v>174.55720170454546</v>
      </c>
      <c r="U22" s="78">
        <v>174.55720170454549</v>
      </c>
      <c r="V22" s="78">
        <v>174.55720170454549</v>
      </c>
      <c r="W22" s="78">
        <v>174.55720170454549</v>
      </c>
      <c r="X22" s="78">
        <v>174.55720170454541</v>
      </c>
      <c r="Y22" s="78">
        <v>174.55720170454541</v>
      </c>
      <c r="Z22" s="78">
        <v>174.55720170454541</v>
      </c>
      <c r="AA22" s="78">
        <v>174.55720170454546</v>
      </c>
      <c r="AB22" s="78">
        <v>174.55720170454549</v>
      </c>
      <c r="AC22" s="78">
        <v>174.55720170454541</v>
      </c>
      <c r="AD22" s="78">
        <v>174.55720170454546</v>
      </c>
      <c r="AE22" s="78">
        <v>174.55720170454546</v>
      </c>
      <c r="AF22" s="78">
        <v>174.55720170454543</v>
      </c>
      <c r="AG22" s="78">
        <v>174.55720170454549</v>
      </c>
      <c r="AH22" s="78">
        <v>174.55720170454543</v>
      </c>
      <c r="AI22" s="78">
        <v>174.55720170454546</v>
      </c>
      <c r="AJ22" s="78">
        <v>174.55720170454546</v>
      </c>
      <c r="AK22" s="78">
        <v>174.55720170454549</v>
      </c>
      <c r="AL22" s="78">
        <v>174.55720170454543</v>
      </c>
      <c r="AM22" s="78">
        <v>174.55720170454543</v>
      </c>
      <c r="AN22" s="78">
        <v>174.55720170454546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1135.7866666666666</v>
      </c>
      <c r="R23" s="52">
        <v>2323.1999999999994</v>
      </c>
      <c r="S23" s="52">
        <v>3458.9866666666667</v>
      </c>
      <c r="T23" s="52">
        <v>4594.7733333333335</v>
      </c>
      <c r="U23" s="52">
        <v>5730.5599999999995</v>
      </c>
      <c r="V23" s="52">
        <v>6917.9733333333334</v>
      </c>
      <c r="W23" s="52">
        <v>7176.1066666666657</v>
      </c>
      <c r="X23" s="52">
        <v>7485.8666666666668</v>
      </c>
      <c r="Y23" s="52">
        <v>7744</v>
      </c>
      <c r="Z23" s="52">
        <v>8053.7599999999993</v>
      </c>
      <c r="AA23" s="52">
        <v>8363.5199999999986</v>
      </c>
      <c r="AB23" s="52">
        <v>8621.6533333333318</v>
      </c>
      <c r="AC23" s="52">
        <v>8931.4133333333339</v>
      </c>
      <c r="AD23" s="52">
        <v>9189.5466666666671</v>
      </c>
      <c r="AE23" s="52">
        <v>9499.3066666666655</v>
      </c>
      <c r="AF23" s="52">
        <v>9809.0666666666657</v>
      </c>
      <c r="AG23" s="52">
        <v>10067.199999999999</v>
      </c>
      <c r="AH23" s="52">
        <v>10376.959999999999</v>
      </c>
      <c r="AI23" s="52">
        <v>10635.093333333332</v>
      </c>
      <c r="AJ23" s="52">
        <v>10944.853333333333</v>
      </c>
      <c r="AK23" s="52">
        <v>11254.613333333331</v>
      </c>
      <c r="AL23" s="52">
        <v>11512.746666666664</v>
      </c>
      <c r="AM23" s="52">
        <v>11822.506666666666</v>
      </c>
      <c r="AN23" s="52">
        <v>12080.64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179388.4187333333</v>
      </c>
      <c r="R26" s="12">
        <v>366930.85649999994</v>
      </c>
      <c r="S26" s="12">
        <v>546319.27523333335</v>
      </c>
      <c r="T26" s="12">
        <v>725707.6939666667</v>
      </c>
      <c r="U26" s="12">
        <v>905096.11269999994</v>
      </c>
      <c r="V26" s="12">
        <v>1092638.5504666667</v>
      </c>
      <c r="W26" s="12">
        <v>1133408.6456333334</v>
      </c>
      <c r="X26" s="12">
        <v>1182332.7598333331</v>
      </c>
      <c r="Y26" s="12">
        <v>1223102.855</v>
      </c>
      <c r="Z26" s="12">
        <v>1272026.9691999997</v>
      </c>
      <c r="AA26" s="12">
        <v>1320951.0833999999</v>
      </c>
      <c r="AB26" s="12">
        <v>1361721.1785666668</v>
      </c>
      <c r="AC26" s="12">
        <v>1410645.2927666665</v>
      </c>
      <c r="AD26" s="12">
        <v>1451415.3879333334</v>
      </c>
      <c r="AE26" s="12">
        <v>1500339.5021333334</v>
      </c>
      <c r="AF26" s="12">
        <v>1549263.6163333331</v>
      </c>
      <c r="AG26" s="12">
        <v>1590033.7115</v>
      </c>
      <c r="AH26" s="12">
        <v>1638957.8256999997</v>
      </c>
      <c r="AI26" s="12">
        <v>1679727.9208666664</v>
      </c>
      <c r="AJ26" s="12">
        <v>1728652.0350666668</v>
      </c>
      <c r="AK26" s="12">
        <v>1777576.1492666665</v>
      </c>
      <c r="AL26" s="12">
        <v>1818346.2444333332</v>
      </c>
      <c r="AM26" s="12">
        <v>1867270.3586333334</v>
      </c>
      <c r="AN26" s="12">
        <v>1908040.4537999998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23910.764019999991</v>
      </c>
      <c r="R28" s="12">
        <v>48908.380949999984</v>
      </c>
      <c r="S28" s="12">
        <v>72819.144969999979</v>
      </c>
      <c r="T28" s="12">
        <v>96729.908989999982</v>
      </c>
      <c r="U28" s="12">
        <v>120640.67300999997</v>
      </c>
      <c r="V28" s="12">
        <v>145638.28993999996</v>
      </c>
      <c r="W28" s="12">
        <v>151072.55448999998</v>
      </c>
      <c r="X28" s="12">
        <v>157593.67194999996</v>
      </c>
      <c r="Y28" s="12">
        <v>163027.93649999992</v>
      </c>
      <c r="Z28" s="12">
        <v>169549.05395999999</v>
      </c>
      <c r="AA28" s="12">
        <v>176070.17141999997</v>
      </c>
      <c r="AB28" s="12">
        <v>181504.43596999993</v>
      </c>
      <c r="AC28" s="12">
        <v>188025.55342999997</v>
      </c>
      <c r="AD28" s="12">
        <v>193459.81797999996</v>
      </c>
      <c r="AE28" s="12">
        <v>199980.93543999994</v>
      </c>
      <c r="AF28" s="12">
        <v>206502.05289999992</v>
      </c>
      <c r="AG28" s="12">
        <v>211936.31744999994</v>
      </c>
      <c r="AH28" s="12">
        <v>218457.43490999992</v>
      </c>
      <c r="AI28" s="12">
        <v>223891.69945999995</v>
      </c>
      <c r="AJ28" s="12">
        <v>230412.81691999992</v>
      </c>
      <c r="AK28" s="12">
        <v>236933.9343799999</v>
      </c>
      <c r="AL28" s="12">
        <v>242368.19892999993</v>
      </c>
      <c r="AM28" s="12">
        <v>248889.31638999993</v>
      </c>
      <c r="AN28" s="12">
        <v>254323.5809399999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3678.5790799999995</v>
      </c>
      <c r="R29" s="12">
        <v>7524.3662999999997</v>
      </c>
      <c r="S29" s="12">
        <v>11202.945379999999</v>
      </c>
      <c r="T29" s="12">
        <v>14881.524459999999</v>
      </c>
      <c r="U29" s="12">
        <v>18560.10354</v>
      </c>
      <c r="V29" s="12">
        <v>22405.890759999998</v>
      </c>
      <c r="W29" s="12">
        <v>23241.931459999996</v>
      </c>
      <c r="X29" s="12">
        <v>24245.1803</v>
      </c>
      <c r="Y29" s="12">
        <v>25081.221000000001</v>
      </c>
      <c r="Z29" s="12">
        <v>26084.469840000005</v>
      </c>
      <c r="AA29" s="12">
        <v>27087.718680000002</v>
      </c>
      <c r="AB29" s="12">
        <v>27923.759379999996</v>
      </c>
      <c r="AC29" s="12">
        <v>28927.00822</v>
      </c>
      <c r="AD29" s="12">
        <v>29763.048919999997</v>
      </c>
      <c r="AE29" s="12">
        <v>30766.297759999998</v>
      </c>
      <c r="AF29" s="12">
        <v>31769.546599999998</v>
      </c>
      <c r="AG29" s="12">
        <v>32605.587299999999</v>
      </c>
      <c r="AH29" s="12">
        <v>33608.836139999999</v>
      </c>
      <c r="AI29" s="12">
        <v>34444.876839999997</v>
      </c>
      <c r="AJ29" s="12">
        <v>35448.125679999997</v>
      </c>
      <c r="AK29" s="12">
        <v>36451.374519999998</v>
      </c>
      <c r="AL29" s="12">
        <v>37287.415219999995</v>
      </c>
      <c r="AM29" s="12">
        <v>38290.664060000003</v>
      </c>
      <c r="AN29" s="12">
        <v>39126.704760000001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4799.6901333333326</v>
      </c>
      <c r="R30" s="12">
        <v>9817.5479999999989</v>
      </c>
      <c r="S30" s="12">
        <v>14617.238133333334</v>
      </c>
      <c r="T30" s="12">
        <v>19416.928266666666</v>
      </c>
      <c r="U30" s="12">
        <v>24216.618399999996</v>
      </c>
      <c r="V30" s="12">
        <v>29234.476266666668</v>
      </c>
      <c r="W30" s="12">
        <v>30325.314933333331</v>
      </c>
      <c r="X30" s="12">
        <v>31634.32133333333</v>
      </c>
      <c r="Y30" s="12">
        <v>32725.159999999996</v>
      </c>
      <c r="Z30" s="12">
        <v>34034.166400000002</v>
      </c>
      <c r="AA30" s="12">
        <v>35343.1728</v>
      </c>
      <c r="AB30" s="12">
        <v>36434.011466666663</v>
      </c>
      <c r="AC30" s="12">
        <v>37743.017866666662</v>
      </c>
      <c r="AD30" s="12">
        <v>38833.856533333332</v>
      </c>
      <c r="AE30" s="12">
        <v>40142.86293333333</v>
      </c>
      <c r="AF30" s="12">
        <v>41451.869333333329</v>
      </c>
      <c r="AG30" s="12">
        <v>42542.707999999999</v>
      </c>
      <c r="AH30" s="12">
        <v>43851.714399999997</v>
      </c>
      <c r="AI30" s="12">
        <v>44942.55306666666</v>
      </c>
      <c r="AJ30" s="12">
        <v>46251.559466666658</v>
      </c>
      <c r="AK30" s="12">
        <v>47560.565866666664</v>
      </c>
      <c r="AL30" s="12">
        <v>48651.404533333327</v>
      </c>
      <c r="AM30" s="12">
        <v>49960.410933333325</v>
      </c>
      <c r="AN30" s="12">
        <v>51051.249599999996</v>
      </c>
    </row>
    <row r="31" spans="2:50" outlineLevel="1" x14ac:dyDescent="0.25">
      <c r="B31" s="39" t="str">
        <f>Base!B36</f>
        <v>Tertiary Direct Staff - Service A</v>
      </c>
      <c r="C31" s="4"/>
      <c r="E31" s="187" cm="1">
        <f t="array" ref="E31:AN31">_xlfn.BYCOL(_xlfn.ANCHORARRAY($E$25),_xlfn.LAMBDA(_xlpm.a,0))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outlineLevel="1" x14ac:dyDescent="0.25">
      <c r="B32" s="39" t="str">
        <f>Base!B37</f>
        <v>Tertiary Direct Staff - Service B</v>
      </c>
      <c r="C32" s="4"/>
      <c r="E32" s="187" cm="1">
        <f t="array" ref="E32:AN32">_xlfn.BYCOL(_xlfn.ANCHORARRAY($E$25),_xlfn.LAMBDA(_xlpm.a,0))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outlineLevel="1" x14ac:dyDescent="0.25">
      <c r="B33" s="39" t="str">
        <f>Base!B38</f>
        <v>Quaternary Direct Staff - Service A</v>
      </c>
      <c r="C33" s="4"/>
      <c r="E33" s="187" cm="1">
        <f t="array" ref="E33:AN33">_xlfn.BYCOL(_xlfn.ANCHORARRAY($E$25),_xlfn.LAMBDA(_xlpm.a,0))</f>
        <v>0</v>
      </c>
      <c r="F33" s="187">
        <v>0</v>
      </c>
      <c r="G33" s="187">
        <v>0</v>
      </c>
      <c r="H33" s="187">
        <v>0</v>
      </c>
      <c r="I33" s="187">
        <v>0</v>
      </c>
      <c r="J33" s="187">
        <v>0</v>
      </c>
      <c r="K33" s="187">
        <v>0</v>
      </c>
      <c r="L33" s="187">
        <v>0</v>
      </c>
      <c r="M33" s="187">
        <v>0</v>
      </c>
      <c r="N33" s="187">
        <v>0</v>
      </c>
      <c r="O33" s="187">
        <v>0</v>
      </c>
      <c r="P33" s="187">
        <v>0</v>
      </c>
      <c r="Q33" s="187">
        <v>0</v>
      </c>
      <c r="R33" s="187">
        <v>0</v>
      </c>
      <c r="S33" s="187">
        <v>0</v>
      </c>
      <c r="T33" s="187">
        <v>0</v>
      </c>
      <c r="U33" s="187">
        <v>0</v>
      </c>
      <c r="V33" s="187">
        <v>0</v>
      </c>
      <c r="W33" s="187">
        <v>0</v>
      </c>
      <c r="X33" s="187">
        <v>0</v>
      </c>
      <c r="Y33" s="187">
        <v>0</v>
      </c>
      <c r="Z33" s="187">
        <v>0</v>
      </c>
      <c r="AA33" s="187">
        <v>0</v>
      </c>
      <c r="AB33" s="187">
        <v>0</v>
      </c>
      <c r="AC33" s="187">
        <v>0</v>
      </c>
      <c r="AD33" s="187">
        <v>0</v>
      </c>
      <c r="AE33" s="187">
        <v>0</v>
      </c>
      <c r="AF33" s="187">
        <v>0</v>
      </c>
      <c r="AG33" s="187">
        <v>0</v>
      </c>
      <c r="AH33" s="187">
        <v>0</v>
      </c>
      <c r="AI33" s="187">
        <v>0</v>
      </c>
      <c r="AJ33" s="187">
        <v>0</v>
      </c>
      <c r="AK33" s="187">
        <v>0</v>
      </c>
      <c r="AL33" s="187">
        <v>0</v>
      </c>
      <c r="AM33" s="187">
        <v>0</v>
      </c>
      <c r="AN33" s="187">
        <v>0</v>
      </c>
    </row>
    <row r="34" spans="2:40" outlineLevel="1" x14ac:dyDescent="0.25">
      <c r="B34" s="39" t="str">
        <f>Base!B39</f>
        <v>Quinary Direct Staff - Service A</v>
      </c>
      <c r="C34" s="4"/>
      <c r="E34" s="187" cm="1">
        <f t="array" ref="E34:AN34">_xlfn.BYCOL(_xlfn.ANCHORARRAY($E$25),_xlfn.LAMBDA(_xlpm.a,0))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-25413.294235999994</v>
      </c>
      <c r="R35" s="12">
        <v>-51981.738209999989</v>
      </c>
      <c r="S35" s="12">
        <v>-77395.032446000012</v>
      </c>
      <c r="T35" s="12">
        <v>-102808.32668200001</v>
      </c>
      <c r="U35" s="12">
        <v>-128221.620918</v>
      </c>
      <c r="V35" s="12">
        <v>-154790.06489200002</v>
      </c>
      <c r="W35" s="12">
        <v>-160565.813582</v>
      </c>
      <c r="X35" s="12">
        <v>-167496.71200999993</v>
      </c>
      <c r="Y35" s="12">
        <v>-173272.46069999994</v>
      </c>
      <c r="Z35" s="12">
        <v>-180203.35912799992</v>
      </c>
      <c r="AA35" s="12">
        <v>-187134.25755599997</v>
      </c>
      <c r="AB35" s="12">
        <v>-192910.006246</v>
      </c>
      <c r="AC35" s="12">
        <v>-199840.90467399996</v>
      </c>
      <c r="AD35" s="12">
        <v>-205616.65336400003</v>
      </c>
      <c r="AE35" s="12">
        <v>-212547.55179199998</v>
      </c>
      <c r="AF35" s="12">
        <v>-219478.45021999997</v>
      </c>
      <c r="AG35" s="12">
        <v>-225254.19891000001</v>
      </c>
      <c r="AH35" s="12">
        <v>-232185.09733799993</v>
      </c>
      <c r="AI35" s="12">
        <v>-237960.84602799997</v>
      </c>
      <c r="AJ35" s="12">
        <v>-244891.74445599999</v>
      </c>
      <c r="AK35" s="12">
        <v>-251822.64288399997</v>
      </c>
      <c r="AL35" s="12">
        <v>-257598.39157399992</v>
      </c>
      <c r="AM35" s="12">
        <v>-264529.29000199999</v>
      </c>
      <c r="AN35" s="12">
        <v>-270305.03869199997</v>
      </c>
    </row>
    <row r="36" spans="2:40" x14ac:dyDescent="0.25">
      <c r="B36" s="39" t="s">
        <v>320</v>
      </c>
      <c r="C36" s="4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87">
        <v>0</v>
      </c>
      <c r="AD36" s="187">
        <v>0</v>
      </c>
      <c r="AE36" s="187">
        <v>0</v>
      </c>
      <c r="AF36" s="187">
        <v>0</v>
      </c>
      <c r="AG36" s="187">
        <v>0</v>
      </c>
      <c r="AH36" s="187">
        <v>0</v>
      </c>
      <c r="AI36" s="187">
        <v>0</v>
      </c>
      <c r="AJ36" s="187">
        <v>0</v>
      </c>
      <c r="AK36" s="187">
        <v>0</v>
      </c>
      <c r="AL36" s="187">
        <v>0</v>
      </c>
      <c r="AM36" s="187">
        <v>0</v>
      </c>
      <c r="AN36" s="187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186364.15773066663</v>
      </c>
      <c r="R37" s="13">
        <v>381199.41353999992</v>
      </c>
      <c r="S37" s="13">
        <v>567563.57127066678</v>
      </c>
      <c r="T37" s="13">
        <v>753927.72900133347</v>
      </c>
      <c r="U37" s="13">
        <v>940291.88673200004</v>
      </c>
      <c r="V37" s="13">
        <v>1135127.1425413336</v>
      </c>
      <c r="W37" s="13">
        <v>1177482.6329346667</v>
      </c>
      <c r="X37" s="13">
        <v>1228309.2214066663</v>
      </c>
      <c r="Y37" s="13">
        <v>1270664.7117999997</v>
      </c>
      <c r="Z37" s="13">
        <v>1321491.3002719996</v>
      </c>
      <c r="AA37" s="13">
        <v>1372317.8887439999</v>
      </c>
      <c r="AB37" s="13">
        <v>1414673.3791373332</v>
      </c>
      <c r="AC37" s="13">
        <v>1465499.9676093331</v>
      </c>
      <c r="AD37" s="13">
        <v>1507855.4580026669</v>
      </c>
      <c r="AE37" s="13">
        <v>1558682.0464746666</v>
      </c>
      <c r="AF37" s="13">
        <v>1609508.6349466664</v>
      </c>
      <c r="AG37" s="13">
        <v>1651864.12534</v>
      </c>
      <c r="AH37" s="13">
        <v>1702690.7138119997</v>
      </c>
      <c r="AI37" s="13">
        <v>1745046.2042053333</v>
      </c>
      <c r="AJ37" s="13">
        <v>1795872.7926773333</v>
      </c>
      <c r="AK37" s="13">
        <v>1846699.3811493332</v>
      </c>
      <c r="AL37" s="13">
        <v>1889054.8715426661</v>
      </c>
      <c r="AM37" s="13">
        <v>1939881.4600146664</v>
      </c>
      <c r="AN37" s="13">
        <v>1982236.950408</v>
      </c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458</v>
      </c>
      <c r="C41" s="146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102220.8</v>
      </c>
      <c r="R41" s="12">
        <v>209087.99999999994</v>
      </c>
      <c r="S41" s="12">
        <v>311308.79999999999</v>
      </c>
      <c r="T41" s="12">
        <v>413529.60000000003</v>
      </c>
      <c r="U41" s="12">
        <v>515750.39999999997</v>
      </c>
      <c r="V41" s="12">
        <v>622617.59999999998</v>
      </c>
      <c r="W41" s="12">
        <v>645849.59999999986</v>
      </c>
      <c r="X41" s="12">
        <v>673728</v>
      </c>
      <c r="Y41" s="12">
        <v>696960</v>
      </c>
      <c r="Z41" s="12">
        <v>724838.39999999991</v>
      </c>
      <c r="AA41" s="12">
        <v>752716.79999999993</v>
      </c>
      <c r="AB41" s="12">
        <v>775948.79999999981</v>
      </c>
      <c r="AC41" s="12">
        <v>803827.20000000007</v>
      </c>
      <c r="AD41" s="12">
        <v>827059.20000000007</v>
      </c>
      <c r="AE41" s="12">
        <v>854937.59999999986</v>
      </c>
      <c r="AF41" s="12">
        <v>882815.99999999988</v>
      </c>
      <c r="AG41" s="12">
        <v>906047.99999999988</v>
      </c>
      <c r="AH41" s="12">
        <v>933926.39999999991</v>
      </c>
      <c r="AI41" s="12">
        <v>957158.39999999991</v>
      </c>
      <c r="AJ41" s="12">
        <v>985036.79999999993</v>
      </c>
      <c r="AK41" s="12">
        <v>1012915.1999999998</v>
      </c>
      <c r="AL41" s="12">
        <v>1036147.1999999997</v>
      </c>
      <c r="AM41" s="12">
        <v>1064025.5999999999</v>
      </c>
      <c r="AN41" s="12">
        <v>1087257.5999999999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37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42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C49" s="146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332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112854.13333333333</v>
      </c>
      <c r="R50" s="13">
        <v>219721.33333333328</v>
      </c>
      <c r="S50" s="13">
        <v>321942.1333333333</v>
      </c>
      <c r="T50" s="13">
        <v>424162.93333333335</v>
      </c>
      <c r="U50" s="13">
        <v>526383.73333333328</v>
      </c>
      <c r="V50" s="13">
        <v>633250.93333333335</v>
      </c>
      <c r="W50" s="13">
        <v>656482.93333333323</v>
      </c>
      <c r="X50" s="13">
        <v>684361.33333333337</v>
      </c>
      <c r="Y50" s="13">
        <v>707593.33333333337</v>
      </c>
      <c r="Z50" s="13">
        <v>735471.73333333328</v>
      </c>
      <c r="AA50" s="13">
        <v>763350.1333333333</v>
      </c>
      <c r="AB50" s="13">
        <v>786582.13333333319</v>
      </c>
      <c r="AC50" s="13">
        <v>815523.8666666667</v>
      </c>
      <c r="AD50" s="13">
        <v>838755.8666666667</v>
      </c>
      <c r="AE50" s="13">
        <v>866634.26666666649</v>
      </c>
      <c r="AF50" s="13">
        <v>894512.66666666651</v>
      </c>
      <c r="AG50" s="13">
        <v>917744.66666666651</v>
      </c>
      <c r="AH50" s="13">
        <v>945623.06666666653</v>
      </c>
      <c r="AI50" s="13">
        <v>968855.06666666653</v>
      </c>
      <c r="AJ50" s="13">
        <v>996733.46666666656</v>
      </c>
      <c r="AK50" s="13">
        <v>1024611.8666666665</v>
      </c>
      <c r="AL50" s="13">
        <v>1047843.8666666663</v>
      </c>
      <c r="AM50" s="13">
        <v>1075722.2666666666</v>
      </c>
      <c r="AN50" s="13">
        <v>1098954.2666666666</v>
      </c>
    </row>
    <row r="51" spans="2:40" x14ac:dyDescent="0.25">
      <c r="C51" s="63"/>
    </row>
    <row r="52" spans="2:40" x14ac:dyDescent="0.25">
      <c r="B52" s="1" t="s">
        <v>50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73510.024397333298</v>
      </c>
      <c r="R52" s="74">
        <f t="shared" si="4"/>
        <v>161478.08020666664</v>
      </c>
      <c r="S52" s="74">
        <f t="shared" si="4"/>
        <v>245621.43793733348</v>
      </c>
      <c r="T52" s="74">
        <f t="shared" si="4"/>
        <v>329764.79566800012</v>
      </c>
      <c r="U52" s="74">
        <f t="shared" si="4"/>
        <v>413908.15339866676</v>
      </c>
      <c r="V52" s="74">
        <f t="shared" si="4"/>
        <v>501876.20920800022</v>
      </c>
      <c r="W52" s="74">
        <f t="shared" si="4"/>
        <v>520999.69960133347</v>
      </c>
      <c r="X52" s="74">
        <f t="shared" si="4"/>
        <v>543947.88807333296</v>
      </c>
      <c r="Y52" s="74">
        <f t="shared" si="4"/>
        <v>563071.37846666633</v>
      </c>
      <c r="Z52" s="74">
        <f t="shared" si="4"/>
        <v>586019.56693866628</v>
      </c>
      <c r="AA52" s="74">
        <f t="shared" si="4"/>
        <v>608967.75541066658</v>
      </c>
      <c r="AB52" s="74">
        <f t="shared" si="4"/>
        <v>628091.24580400006</v>
      </c>
      <c r="AC52" s="74">
        <f t="shared" si="4"/>
        <v>649976.10094266641</v>
      </c>
      <c r="AD52" s="74">
        <f t="shared" si="4"/>
        <v>669099.59133600025</v>
      </c>
      <c r="AE52" s="74">
        <f t="shared" si="4"/>
        <v>692047.77980800008</v>
      </c>
      <c r="AF52" s="74">
        <f t="shared" si="4"/>
        <v>714995.96827999991</v>
      </c>
      <c r="AG52" s="74">
        <f t="shared" si="4"/>
        <v>734119.45867333352</v>
      </c>
      <c r="AH52" s="74">
        <f t="shared" si="4"/>
        <v>757067.64714533312</v>
      </c>
      <c r="AI52" s="74">
        <f t="shared" si="4"/>
        <v>776191.13753866672</v>
      </c>
      <c r="AJ52" s="74">
        <f t="shared" si="4"/>
        <v>799139.32601066679</v>
      </c>
      <c r="AK52" s="74">
        <f t="shared" si="4"/>
        <v>822087.51448266674</v>
      </c>
      <c r="AL52" s="74">
        <f t="shared" si="4"/>
        <v>841211.00487599976</v>
      </c>
      <c r="AM52" s="74">
        <f t="shared" si="4"/>
        <v>864159.19334799983</v>
      </c>
      <c r="AN52" s="74">
        <f t="shared" si="4"/>
        <v>883282.68374133343</v>
      </c>
    </row>
    <row r="53" spans="2:40" x14ac:dyDescent="0.25">
      <c r="C53" s="63"/>
      <c r="E53" s="107" t="str">
        <f>IFERROR(E52/E37,"")</f>
        <v/>
      </c>
      <c r="F53" s="107" t="str">
        <f t="shared" ref="F53:AN53" si="5">IFERROR(F52/F37,"")</f>
        <v/>
      </c>
      <c r="G53" s="107" t="str">
        <f t="shared" si="5"/>
        <v/>
      </c>
      <c r="H53" s="107" t="str">
        <f t="shared" si="5"/>
        <v/>
      </c>
      <c r="I53" s="107" t="str">
        <f t="shared" si="5"/>
        <v/>
      </c>
      <c r="J53" s="107" t="str">
        <f t="shared" si="5"/>
        <v/>
      </c>
      <c r="K53" s="107" t="str">
        <f t="shared" si="5"/>
        <v/>
      </c>
      <c r="L53" s="107" t="str">
        <f t="shared" si="5"/>
        <v/>
      </c>
      <c r="M53" s="107" t="str">
        <f t="shared" si="5"/>
        <v/>
      </c>
      <c r="N53" s="107" t="str">
        <f t="shared" si="5"/>
        <v/>
      </c>
      <c r="O53" s="107" t="str">
        <f t="shared" si="5"/>
        <v/>
      </c>
      <c r="P53" s="107" t="str">
        <f t="shared" si="5"/>
        <v/>
      </c>
      <c r="Q53" s="107">
        <f t="shared" si="5"/>
        <v>0.39444292986621354</v>
      </c>
      <c r="R53" s="107">
        <f t="shared" si="5"/>
        <v>0.42360526923980291</v>
      </c>
      <c r="S53" s="107">
        <f t="shared" si="5"/>
        <v>0.43276462826434375</v>
      </c>
      <c r="T53" s="107">
        <f t="shared" si="5"/>
        <v>0.4373957648497856</v>
      </c>
      <c r="U53" s="107">
        <f t="shared" si="5"/>
        <v>0.44019113558153883</v>
      </c>
      <c r="V53" s="107">
        <f t="shared" si="5"/>
        <v>0.4421321545394421</v>
      </c>
      <c r="W53" s="107">
        <f t="shared" si="5"/>
        <v>0.44246911591624422</v>
      </c>
      <c r="X53" s="107">
        <f t="shared" si="5"/>
        <v>0.44284279446375963</v>
      </c>
      <c r="Y53" s="107">
        <f t="shared" si="5"/>
        <v>0.443131357342119</v>
      </c>
      <c r="Z53" s="107">
        <f t="shared" si="5"/>
        <v>0.44345321593721215</v>
      </c>
      <c r="AA53" s="107">
        <f t="shared" si="5"/>
        <v>0.44375123315489107</v>
      </c>
      <c r="AB53" s="107">
        <f t="shared" si="5"/>
        <v>0.44398322260577888</v>
      </c>
      <c r="AC53" s="107">
        <f t="shared" si="5"/>
        <v>0.44351833183795358</v>
      </c>
      <c r="AD53" s="107">
        <f t="shared" si="5"/>
        <v>0.4437425270339253</v>
      </c>
      <c r="AE53" s="107">
        <f t="shared" si="5"/>
        <v>0.44399547770068448</v>
      </c>
      <c r="AF53" s="107">
        <f t="shared" si="5"/>
        <v>0.4442324525358588</v>
      </c>
      <c r="AG53" s="107">
        <f t="shared" si="5"/>
        <v>0.44441879172249177</v>
      </c>
      <c r="AH53" s="107">
        <f t="shared" si="5"/>
        <v>0.44463016154613488</v>
      </c>
      <c r="AI53" s="107">
        <f t="shared" si="5"/>
        <v>0.44479689745070794</v>
      </c>
      <c r="AJ53" s="107">
        <f t="shared" si="5"/>
        <v>0.44498659886666547</v>
      </c>
      <c r="AK53" s="107">
        <f t="shared" si="5"/>
        <v>0.44516585800284553</v>
      </c>
      <c r="AL53" s="107">
        <f t="shared" si="5"/>
        <v>0.4453078719672332</v>
      </c>
      <c r="AM53" s="107">
        <f t="shared" si="5"/>
        <v>0.44547010276672594</v>
      </c>
      <c r="AN53" s="107">
        <f t="shared" si="5"/>
        <v>0.44559893990449984</v>
      </c>
    </row>
    <row r="54" spans="2:40" x14ac:dyDescent="0.25">
      <c r="C54" s="63"/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100000</v>
      </c>
      <c r="Q55" s="12">
        <v>100000</v>
      </c>
      <c r="R55" s="12">
        <v>100000</v>
      </c>
      <c r="S55" s="12">
        <v>100000</v>
      </c>
      <c r="T55" s="12">
        <v>100000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-136045.83514338665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-278275.57188419992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-414321.40702758677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-550367.24217097345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-686413.07731436007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-828642.81405517354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-859562.32204230665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-896665.73162686639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-927585.23961399973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-964688.64919855969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-1001792.0587831199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-1032711.5667702532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-1069814.9763548132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-1100734.4843419469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-1137837.8939265066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-1174941.3035110664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-1205860.8114982001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-1242964.2210827598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-1273883.7290698932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-1310987.1386544532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-1348090.5482390132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-1379010.0562261462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-1416113.4658107064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-1447032.9737978401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-100000</v>
      </c>
      <c r="Q58" s="13">
        <f t="shared" si="6"/>
        <v>-162535.81074605335</v>
      </c>
      <c r="R58" s="13">
        <f t="shared" si="6"/>
        <v>-216797.49167753328</v>
      </c>
      <c r="S58" s="13">
        <f t="shared" si="6"/>
        <v>-268699.96909025329</v>
      </c>
      <c r="T58" s="13">
        <f t="shared" si="6"/>
        <v>-320602.44650297333</v>
      </c>
      <c r="U58" s="13">
        <f t="shared" si="6"/>
        <v>-272504.9239156933</v>
      </c>
      <c r="V58" s="13">
        <f t="shared" si="6"/>
        <v>-326766.60484717332</v>
      </c>
      <c r="W58" s="13">
        <f t="shared" si="6"/>
        <v>-338562.62244097318</v>
      </c>
      <c r="X58" s="13">
        <f t="shared" si="6"/>
        <v>-352717.84355353343</v>
      </c>
      <c r="Y58" s="13">
        <f t="shared" si="6"/>
        <v>-364513.8611473334</v>
      </c>
      <c r="Z58" s="13">
        <f t="shared" si="6"/>
        <v>-378669.08225989342</v>
      </c>
      <c r="AA58" s="13">
        <f t="shared" si="6"/>
        <v>-392824.30337245332</v>
      </c>
      <c r="AB58" s="13">
        <f t="shared" si="6"/>
        <v>-404620.32096625317</v>
      </c>
      <c r="AC58" s="13">
        <f t="shared" si="6"/>
        <v>-419838.87541214679</v>
      </c>
      <c r="AD58" s="13">
        <f t="shared" si="6"/>
        <v>-431634.89300594665</v>
      </c>
      <c r="AE58" s="13">
        <f t="shared" si="6"/>
        <v>-445790.11411850655</v>
      </c>
      <c r="AF58" s="13">
        <f t="shared" si="6"/>
        <v>-459945.33523106645</v>
      </c>
      <c r="AG58" s="13">
        <f t="shared" si="6"/>
        <v>-471741.35282486654</v>
      </c>
      <c r="AH58" s="13">
        <f t="shared" si="6"/>
        <v>-485896.57393742667</v>
      </c>
      <c r="AI58" s="13">
        <f t="shared" si="6"/>
        <v>-497692.59153122653</v>
      </c>
      <c r="AJ58" s="13">
        <f t="shared" si="6"/>
        <v>-511847.81264378643</v>
      </c>
      <c r="AK58" s="13">
        <f t="shared" si="6"/>
        <v>-526003.03375634644</v>
      </c>
      <c r="AL58" s="13">
        <f t="shared" si="6"/>
        <v>-537799.05135014642</v>
      </c>
      <c r="AM58" s="13">
        <f t="shared" si="6"/>
        <v>-551954.27246270655</v>
      </c>
      <c r="AN58" s="13">
        <f t="shared" si="6"/>
        <v>-563750.29005650664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-100000</v>
      </c>
      <c r="Q59" s="12">
        <v>-262535.81074605335</v>
      </c>
      <c r="R59" s="12">
        <v>-479333.3024235866</v>
      </c>
      <c r="S59" s="12">
        <v>-748033.27151383995</v>
      </c>
      <c r="T59" s="12">
        <v>-1068635.7180168133</v>
      </c>
      <c r="U59" s="12">
        <v>-1341140.6419325066</v>
      </c>
      <c r="V59" s="12">
        <v>-1667907.2467796798</v>
      </c>
      <c r="W59" s="12">
        <v>-2006469.8692206531</v>
      </c>
      <c r="X59" s="12">
        <v>-2359187.7127741864</v>
      </c>
      <c r="Y59" s="12">
        <v>-2723701.5739215198</v>
      </c>
      <c r="Z59" s="12">
        <v>-3102370.6561814132</v>
      </c>
      <c r="AA59" s="12">
        <v>-3495194.9595538666</v>
      </c>
      <c r="AB59" s="12">
        <v>-3899815.2805201197</v>
      </c>
      <c r="AC59" s="12">
        <v>-4319654.1559322663</v>
      </c>
      <c r="AD59" s="12">
        <v>-4751289.0489382129</v>
      </c>
      <c r="AE59" s="12">
        <v>-5197079.1630567191</v>
      </c>
      <c r="AF59" s="12">
        <v>-5657024.4982877858</v>
      </c>
      <c r="AG59" s="12">
        <v>-6128765.8511126526</v>
      </c>
      <c r="AH59" s="12">
        <v>-6614662.4250500789</v>
      </c>
      <c r="AI59" s="12">
        <v>-7112355.0165813053</v>
      </c>
      <c r="AJ59" s="12">
        <v>-7624202.8292250913</v>
      </c>
      <c r="AK59" s="12">
        <v>-8150205.8629814377</v>
      </c>
      <c r="AL59" s="12">
        <v>-8688004.9143315833</v>
      </c>
      <c r="AM59" s="12">
        <v>-9239959.1867942903</v>
      </c>
      <c r="AN59" s="12">
        <v>-9803709.4768507965</v>
      </c>
    </row>
    <row r="63" spans="2:40" x14ac:dyDescent="0.25">
      <c r="E63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C3FE-245E-4460-8E35-27EF1D855584}">
  <dimension ref="B1:AX66"/>
  <sheetViews>
    <sheetView workbookViewId="0">
      <pane xSplit="4" ySplit="25" topLeftCell="E53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482</v>
      </c>
      <c r="C1" s="16" t="s">
        <v>45</v>
      </c>
      <c r="D1" s="55" t="s">
        <v>460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22</v>
      </c>
      <c r="AD1" s="5">
        <v>45</v>
      </c>
      <c r="AE1" s="5">
        <v>67</v>
      </c>
      <c r="AF1" s="5">
        <v>89</v>
      </c>
      <c r="AG1" s="5">
        <v>111</v>
      </c>
      <c r="AH1" s="5">
        <v>134</v>
      </c>
      <c r="AI1" s="5">
        <v>139</v>
      </c>
      <c r="AJ1" s="5">
        <v>145</v>
      </c>
      <c r="AK1" s="5">
        <v>150</v>
      </c>
      <c r="AL1" s="5">
        <v>156</v>
      </c>
      <c r="AM1" s="5">
        <v>162</v>
      </c>
      <c r="AN1" s="5">
        <v>167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7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7" t="e">
        <v>#VALUE!</v>
      </c>
      <c r="G5" s="157" t="e">
        <v>#VALUE!</v>
      </c>
      <c r="H5" s="157" t="e">
        <v>#VALUE!</v>
      </c>
      <c r="I5" s="157" t="e">
        <v>#VALUE!</v>
      </c>
      <c r="J5" s="157" t="e">
        <v>#VALUE!</v>
      </c>
      <c r="K5" s="157" t="e">
        <v>#VALUE!</v>
      </c>
      <c r="L5" s="157" t="e">
        <v>#VALUE!</v>
      </c>
      <c r="M5" s="157" t="e">
        <v>#VALUE!</v>
      </c>
      <c r="N5" s="157" t="e">
        <v>#VALUE!</v>
      </c>
      <c r="O5" s="157" t="e">
        <v>#VALUE!</v>
      </c>
      <c r="P5" s="157" t="e">
        <v>#VALUE!</v>
      </c>
      <c r="Q5" s="157" t="e">
        <v>#VALUE!</v>
      </c>
      <c r="R5" s="157" t="e">
        <v>#VALUE!</v>
      </c>
      <c r="S5" s="157" t="e">
        <v>#VALUE!</v>
      </c>
      <c r="T5" s="157" t="e">
        <v>#VALUE!</v>
      </c>
      <c r="U5" s="157" t="e">
        <v>#VALUE!</v>
      </c>
      <c r="V5" s="157" t="e">
        <v>#VALUE!</v>
      </c>
      <c r="W5" s="157" t="e">
        <v>#VALUE!</v>
      </c>
      <c r="X5" s="157" t="e">
        <v>#VALUE!</v>
      </c>
      <c r="Y5" s="157" t="e">
        <v>#VALUE!</v>
      </c>
      <c r="Z5" s="157" t="e">
        <v>#VALUE!</v>
      </c>
      <c r="AA5" s="157" t="e">
        <v>#VALUE!</v>
      </c>
      <c r="AB5" s="157" t="e">
        <v>#VALUE!</v>
      </c>
      <c r="AC5" s="157" t="e">
        <v>#VALUE!</v>
      </c>
      <c r="AD5" s="157" t="e">
        <v>#VALUE!</v>
      </c>
      <c r="AE5" s="157" t="e">
        <v>#VALUE!</v>
      </c>
      <c r="AF5" s="157" t="e">
        <v>#VALUE!</v>
      </c>
      <c r="AG5" s="157" t="e">
        <v>#VALUE!</v>
      </c>
      <c r="AH5" s="157" t="e">
        <v>#VALUE!</v>
      </c>
      <c r="AI5" s="157" t="e">
        <v>#VALUE!</v>
      </c>
      <c r="AJ5" s="157" t="e">
        <v>#VALUE!</v>
      </c>
      <c r="AK5" s="157" t="e">
        <v>#VALUE!</v>
      </c>
      <c r="AL5" s="157" t="e">
        <v>#VALUE!</v>
      </c>
      <c r="AM5" s="157" t="e">
        <v>#VALUE!</v>
      </c>
      <c r="AN5" s="157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121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461</v>
      </c>
      <c r="C10" s="3"/>
      <c r="D10" s="3"/>
      <c r="E10" s="158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0</v>
      </c>
      <c r="R10" s="69">
        <f t="shared" si="1"/>
        <v>0</v>
      </c>
      <c r="S10" s="69">
        <f t="shared" si="1"/>
        <v>0</v>
      </c>
      <c r="T10" s="69">
        <f t="shared" si="1"/>
        <v>0</v>
      </c>
      <c r="U10" s="69">
        <f t="shared" si="1"/>
        <v>0</v>
      </c>
      <c r="V10" s="69">
        <f t="shared" si="1"/>
        <v>0</v>
      </c>
      <c r="W10" s="69">
        <f t="shared" si="1"/>
        <v>0</v>
      </c>
      <c r="X10" s="69">
        <f t="shared" si="1"/>
        <v>0</v>
      </c>
      <c r="Y10" s="69">
        <f t="shared" si="1"/>
        <v>0</v>
      </c>
      <c r="Z10" s="69">
        <f t="shared" si="1"/>
        <v>0</v>
      </c>
      <c r="AA10" s="69">
        <f t="shared" si="1"/>
        <v>0</v>
      </c>
      <c r="AB10" s="69">
        <f t="shared" si="1"/>
        <v>0</v>
      </c>
      <c r="AC10" s="69">
        <f t="shared" si="1"/>
        <v>22</v>
      </c>
      <c r="AD10" s="69">
        <f t="shared" si="1"/>
        <v>25.2</v>
      </c>
      <c r="AE10" s="69">
        <f t="shared" si="1"/>
        <v>26.5</v>
      </c>
      <c r="AF10" s="69">
        <f t="shared" si="1"/>
        <v>28.7</v>
      </c>
      <c r="AG10" s="69">
        <f t="shared" si="1"/>
        <v>30.9</v>
      </c>
      <c r="AH10" s="69">
        <f t="shared" si="1"/>
        <v>34.1</v>
      </c>
      <c r="AI10" s="69">
        <f t="shared" si="1"/>
        <v>18.399999999999999</v>
      </c>
      <c r="AJ10" s="69">
        <f t="shared" si="1"/>
        <v>19.899999999999999</v>
      </c>
      <c r="AK10" s="69">
        <f t="shared" si="1"/>
        <v>19.5</v>
      </c>
      <c r="AL10" s="69">
        <f t="shared" si="1"/>
        <v>21</v>
      </c>
      <c r="AM10" s="69">
        <f t="shared" si="1"/>
        <v>21.6</v>
      </c>
      <c r="AN10" s="69">
        <f t="shared" si="1"/>
        <v>21.2</v>
      </c>
    </row>
    <row r="11" spans="2:40" x14ac:dyDescent="0.25">
      <c r="B11" s="55" t="s">
        <v>462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0</v>
      </c>
      <c r="R11" s="69">
        <f t="shared" si="2"/>
        <v>0</v>
      </c>
      <c r="S11" s="69">
        <f t="shared" si="2"/>
        <v>0</v>
      </c>
      <c r="T11" s="69">
        <f t="shared" si="2"/>
        <v>0</v>
      </c>
      <c r="U11" s="69">
        <f t="shared" si="2"/>
        <v>0</v>
      </c>
      <c r="V11" s="69">
        <f t="shared" si="2"/>
        <v>0</v>
      </c>
      <c r="W11" s="69">
        <f t="shared" si="2"/>
        <v>0</v>
      </c>
      <c r="X11" s="69">
        <f t="shared" si="2"/>
        <v>0</v>
      </c>
      <c r="Y11" s="69">
        <f t="shared" si="2"/>
        <v>0</v>
      </c>
      <c r="Z11" s="69">
        <f t="shared" si="2"/>
        <v>0</v>
      </c>
      <c r="AA11" s="69">
        <f t="shared" si="2"/>
        <v>0</v>
      </c>
      <c r="AB11" s="69">
        <f t="shared" si="2"/>
        <v>0</v>
      </c>
      <c r="AC11" s="69">
        <f t="shared" si="2"/>
        <v>2.2000000000000002</v>
      </c>
      <c r="AD11" s="69">
        <f t="shared" si="2"/>
        <v>4.5</v>
      </c>
      <c r="AE11" s="69">
        <f t="shared" si="2"/>
        <v>6.7</v>
      </c>
      <c r="AF11" s="69">
        <f t="shared" si="2"/>
        <v>8.9</v>
      </c>
      <c r="AG11" s="69">
        <f t="shared" si="2"/>
        <v>11.100000000000001</v>
      </c>
      <c r="AH11" s="69">
        <f t="shared" si="2"/>
        <v>13.4</v>
      </c>
      <c r="AI11" s="69">
        <f t="shared" si="2"/>
        <v>13.9</v>
      </c>
      <c r="AJ11" s="69">
        <f t="shared" si="2"/>
        <v>14.5</v>
      </c>
      <c r="AK11" s="69">
        <f t="shared" si="2"/>
        <v>15</v>
      </c>
      <c r="AL11" s="69">
        <f t="shared" si="2"/>
        <v>15.600000000000001</v>
      </c>
      <c r="AM11" s="69">
        <f t="shared" si="2"/>
        <v>16.2</v>
      </c>
      <c r="AN11" s="69">
        <f t="shared" si="2"/>
        <v>16.7</v>
      </c>
    </row>
    <row r="12" spans="2:40" x14ac:dyDescent="0.25">
      <c r="B12" s="55" t="s">
        <v>463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0</v>
      </c>
      <c r="R12" s="69">
        <f t="shared" si="3"/>
        <v>0</v>
      </c>
      <c r="S12" s="69">
        <f t="shared" si="3"/>
        <v>0</v>
      </c>
      <c r="T12" s="69">
        <f t="shared" si="3"/>
        <v>0</v>
      </c>
      <c r="U12" s="69">
        <f t="shared" si="3"/>
        <v>0</v>
      </c>
      <c r="V12" s="69">
        <f t="shared" si="3"/>
        <v>0</v>
      </c>
      <c r="W12" s="69">
        <f t="shared" si="3"/>
        <v>0</v>
      </c>
      <c r="X12" s="69">
        <f t="shared" si="3"/>
        <v>0</v>
      </c>
      <c r="Y12" s="69">
        <f t="shared" si="3"/>
        <v>0</v>
      </c>
      <c r="Z12" s="69">
        <f t="shared" si="3"/>
        <v>0</v>
      </c>
      <c r="AA12" s="69">
        <f t="shared" si="3"/>
        <v>0</v>
      </c>
      <c r="AB12" s="69">
        <f t="shared" si="3"/>
        <v>0</v>
      </c>
      <c r="AC12" s="69">
        <f t="shared" si="3"/>
        <v>24.2</v>
      </c>
      <c r="AD12" s="69">
        <f t="shared" si="3"/>
        <v>49.5</v>
      </c>
      <c r="AE12" s="69">
        <f t="shared" si="3"/>
        <v>73.7</v>
      </c>
      <c r="AF12" s="69">
        <f t="shared" si="3"/>
        <v>97.9</v>
      </c>
      <c r="AG12" s="69">
        <f t="shared" si="3"/>
        <v>122.1</v>
      </c>
      <c r="AH12" s="69">
        <f t="shared" si="3"/>
        <v>147.4</v>
      </c>
      <c r="AI12" s="69">
        <f t="shared" si="3"/>
        <v>152.9</v>
      </c>
      <c r="AJ12" s="69">
        <f t="shared" si="3"/>
        <v>159.5</v>
      </c>
      <c r="AK12" s="69">
        <f t="shared" si="3"/>
        <v>165</v>
      </c>
      <c r="AL12" s="69">
        <f t="shared" si="3"/>
        <v>171.6</v>
      </c>
      <c r="AM12" s="69">
        <f t="shared" si="3"/>
        <v>178.2</v>
      </c>
      <c r="AN12" s="69">
        <f t="shared" si="3"/>
        <v>183.7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464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174.55720170454541</v>
      </c>
      <c r="AD22" s="78">
        <v>174.55720170454546</v>
      </c>
      <c r="AE22" s="78">
        <v>174.55720170454549</v>
      </c>
      <c r="AF22" s="78">
        <v>174.55720170454546</v>
      </c>
      <c r="AG22" s="78">
        <v>174.55720170454549</v>
      </c>
      <c r="AH22" s="78">
        <v>174.55720170454549</v>
      </c>
      <c r="AI22" s="78">
        <v>174.55720170454549</v>
      </c>
      <c r="AJ22" s="78">
        <v>174.55720170454541</v>
      </c>
      <c r="AK22" s="78">
        <v>174.55720170454541</v>
      </c>
      <c r="AL22" s="78">
        <v>174.55720170454541</v>
      </c>
      <c r="AM22" s="78">
        <v>174.55720170454546</v>
      </c>
      <c r="AN22" s="78">
        <v>174.55720170454549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1135.7866666666666</v>
      </c>
      <c r="AD23" s="52">
        <v>2323.1999999999994</v>
      </c>
      <c r="AE23" s="52">
        <v>3458.9866666666667</v>
      </c>
      <c r="AF23" s="52">
        <v>4594.7733333333335</v>
      </c>
      <c r="AG23" s="52">
        <v>5730.5599999999995</v>
      </c>
      <c r="AH23" s="52">
        <v>6917.9733333333334</v>
      </c>
      <c r="AI23" s="52">
        <v>7176.1066666666657</v>
      </c>
      <c r="AJ23" s="52">
        <v>7485.8666666666668</v>
      </c>
      <c r="AK23" s="52">
        <v>7744</v>
      </c>
      <c r="AL23" s="52">
        <v>8053.7599999999993</v>
      </c>
      <c r="AM23" s="52">
        <v>8363.5199999999986</v>
      </c>
      <c r="AN23" s="52">
        <v>8621.6533333333318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179388.4187333333</v>
      </c>
      <c r="AD26" s="12">
        <v>366930.85649999994</v>
      </c>
      <c r="AE26" s="12">
        <v>546319.27523333335</v>
      </c>
      <c r="AF26" s="12">
        <v>725707.6939666667</v>
      </c>
      <c r="AG26" s="12">
        <v>905096.11269999994</v>
      </c>
      <c r="AH26" s="12">
        <v>1092638.5504666667</v>
      </c>
      <c r="AI26" s="12">
        <v>1133408.6456333334</v>
      </c>
      <c r="AJ26" s="12">
        <v>1182332.7598333331</v>
      </c>
      <c r="AK26" s="12">
        <v>1223102.855</v>
      </c>
      <c r="AL26" s="12">
        <v>1272026.9691999997</v>
      </c>
      <c r="AM26" s="12">
        <v>1320951.0833999999</v>
      </c>
      <c r="AN26" s="12">
        <v>1361721.1785666668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23910.764019999991</v>
      </c>
      <c r="AD28" s="12">
        <v>48908.380949999984</v>
      </c>
      <c r="AE28" s="12">
        <v>72819.144969999979</v>
      </c>
      <c r="AF28" s="12">
        <v>96729.908989999982</v>
      </c>
      <c r="AG28" s="12">
        <v>120640.67300999997</v>
      </c>
      <c r="AH28" s="12">
        <v>145638.28993999996</v>
      </c>
      <c r="AI28" s="12">
        <v>151072.55448999998</v>
      </c>
      <c r="AJ28" s="12">
        <v>157593.67194999996</v>
      </c>
      <c r="AK28" s="12">
        <v>163027.93649999992</v>
      </c>
      <c r="AL28" s="12">
        <v>169549.05395999999</v>
      </c>
      <c r="AM28" s="12">
        <v>176070.17141999997</v>
      </c>
      <c r="AN28" s="12">
        <v>181504.43596999993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3678.5790799999995</v>
      </c>
      <c r="AD29" s="12">
        <v>7524.3662999999997</v>
      </c>
      <c r="AE29" s="12">
        <v>11202.945379999999</v>
      </c>
      <c r="AF29" s="12">
        <v>14881.524459999999</v>
      </c>
      <c r="AG29" s="12">
        <v>18560.10354</v>
      </c>
      <c r="AH29" s="12">
        <v>22405.890759999998</v>
      </c>
      <c r="AI29" s="12">
        <v>23241.931459999996</v>
      </c>
      <c r="AJ29" s="12">
        <v>24245.1803</v>
      </c>
      <c r="AK29" s="12">
        <v>25081.221000000001</v>
      </c>
      <c r="AL29" s="12">
        <v>26084.469840000005</v>
      </c>
      <c r="AM29" s="12">
        <v>27087.718680000002</v>
      </c>
      <c r="AN29" s="12">
        <v>27923.759379999996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4799.6901333333326</v>
      </c>
      <c r="AD30" s="12">
        <v>9817.5479999999989</v>
      </c>
      <c r="AE30" s="12">
        <v>14617.238133333334</v>
      </c>
      <c r="AF30" s="12">
        <v>19416.928266666666</v>
      </c>
      <c r="AG30" s="12">
        <v>24216.618399999996</v>
      </c>
      <c r="AH30" s="12">
        <v>29234.476266666668</v>
      </c>
      <c r="AI30" s="12">
        <v>30325.314933333331</v>
      </c>
      <c r="AJ30" s="12">
        <v>31634.32133333333</v>
      </c>
      <c r="AK30" s="12">
        <v>32725.159999999996</v>
      </c>
      <c r="AL30" s="12">
        <v>34034.166400000002</v>
      </c>
      <c r="AM30" s="12">
        <v>35343.1728</v>
      </c>
      <c r="AN30" s="12">
        <v>36434.011466666663</v>
      </c>
    </row>
    <row r="31" spans="2:50" outlineLevel="1" x14ac:dyDescent="0.25">
      <c r="B31" s="39" t="str">
        <f>Base!B36</f>
        <v>Tertiary Direct Staff - Service A</v>
      </c>
      <c r="C31" s="4"/>
      <c r="E31" s="187" cm="1">
        <f t="array" ref="E31:AN31">_xlfn.BYCOL(_xlfn.ANCHORARRAY($E$25),_xlfn.LAMBDA(_xlpm.a,0))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outlineLevel="1" x14ac:dyDescent="0.25">
      <c r="B32" s="39" t="str">
        <f>Base!B37</f>
        <v>Tertiary Direct Staff - Service B</v>
      </c>
      <c r="C32" s="4"/>
      <c r="E32" s="187" cm="1">
        <f t="array" ref="E32:AN32">_xlfn.BYCOL(_xlfn.ANCHORARRAY($E$25),_xlfn.LAMBDA(_xlpm.a,0))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outlineLevel="1" x14ac:dyDescent="0.25">
      <c r="B33" s="39" t="str">
        <f>Base!B38</f>
        <v>Quaternary Direct Staff - Service A</v>
      </c>
      <c r="C33" s="4"/>
      <c r="E33" s="187" cm="1">
        <f t="array" ref="E33:AN33">_xlfn.BYCOL(_xlfn.ANCHORARRAY($E$25),_xlfn.LAMBDA(_xlpm.a,0))</f>
        <v>0</v>
      </c>
      <c r="F33" s="187">
        <v>0</v>
      </c>
      <c r="G33" s="187">
        <v>0</v>
      </c>
      <c r="H33" s="187">
        <v>0</v>
      </c>
      <c r="I33" s="187">
        <v>0</v>
      </c>
      <c r="J33" s="187">
        <v>0</v>
      </c>
      <c r="K33" s="187">
        <v>0</v>
      </c>
      <c r="L33" s="187">
        <v>0</v>
      </c>
      <c r="M33" s="187">
        <v>0</v>
      </c>
      <c r="N33" s="187">
        <v>0</v>
      </c>
      <c r="O33" s="187">
        <v>0</v>
      </c>
      <c r="P33" s="187">
        <v>0</v>
      </c>
      <c r="Q33" s="187">
        <v>0</v>
      </c>
      <c r="R33" s="187">
        <v>0</v>
      </c>
      <c r="S33" s="187">
        <v>0</v>
      </c>
      <c r="T33" s="187">
        <v>0</v>
      </c>
      <c r="U33" s="187">
        <v>0</v>
      </c>
      <c r="V33" s="187">
        <v>0</v>
      </c>
      <c r="W33" s="187">
        <v>0</v>
      </c>
      <c r="X33" s="187">
        <v>0</v>
      </c>
      <c r="Y33" s="187">
        <v>0</v>
      </c>
      <c r="Z33" s="187">
        <v>0</v>
      </c>
      <c r="AA33" s="187">
        <v>0</v>
      </c>
      <c r="AB33" s="187">
        <v>0</v>
      </c>
      <c r="AC33" s="187">
        <v>0</v>
      </c>
      <c r="AD33" s="187">
        <v>0</v>
      </c>
      <c r="AE33" s="187">
        <v>0</v>
      </c>
      <c r="AF33" s="187">
        <v>0</v>
      </c>
      <c r="AG33" s="187">
        <v>0</v>
      </c>
      <c r="AH33" s="187">
        <v>0</v>
      </c>
      <c r="AI33" s="187">
        <v>0</v>
      </c>
      <c r="AJ33" s="187">
        <v>0</v>
      </c>
      <c r="AK33" s="187">
        <v>0</v>
      </c>
      <c r="AL33" s="187">
        <v>0</v>
      </c>
      <c r="AM33" s="187">
        <v>0</v>
      </c>
      <c r="AN33" s="187">
        <v>0</v>
      </c>
    </row>
    <row r="34" spans="2:40" outlineLevel="1" x14ac:dyDescent="0.25">
      <c r="B34" s="39" t="str">
        <f>Base!B39</f>
        <v>Quinary Direct Staff - Service A</v>
      </c>
      <c r="C34" s="4"/>
      <c r="E34" s="187" cm="1">
        <f t="array" ref="E34:AN34">_xlfn.BYCOL(_xlfn.ANCHORARRAY($E$25),_xlfn.LAMBDA(_xlpm.a,0))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-25413.294235999994</v>
      </c>
      <c r="AD35" s="12">
        <v>-51981.738209999989</v>
      </c>
      <c r="AE35" s="12">
        <v>-77395.032446000012</v>
      </c>
      <c r="AF35" s="12">
        <v>-102808.32668200001</v>
      </c>
      <c r="AG35" s="12">
        <v>-128221.620918</v>
      </c>
      <c r="AH35" s="12">
        <v>-154790.06489200002</v>
      </c>
      <c r="AI35" s="12">
        <v>-160565.813582</v>
      </c>
      <c r="AJ35" s="12">
        <v>-167496.71200999993</v>
      </c>
      <c r="AK35" s="12">
        <v>-173272.46069999994</v>
      </c>
      <c r="AL35" s="12">
        <v>-180203.35912799992</v>
      </c>
      <c r="AM35" s="12">
        <v>-187134.25755599997</v>
      </c>
      <c r="AN35" s="12">
        <v>-192910.006246</v>
      </c>
    </row>
    <row r="36" spans="2:40" x14ac:dyDescent="0.25">
      <c r="B36" s="39" t="s">
        <v>320</v>
      </c>
      <c r="C36" s="4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87">
        <v>0</v>
      </c>
      <c r="AD36" s="187">
        <v>0</v>
      </c>
      <c r="AE36" s="187">
        <v>0</v>
      </c>
      <c r="AF36" s="187">
        <v>0</v>
      </c>
      <c r="AG36" s="187">
        <v>0</v>
      </c>
      <c r="AH36" s="187">
        <v>0</v>
      </c>
      <c r="AI36" s="187">
        <v>0</v>
      </c>
      <c r="AJ36" s="187">
        <v>0</v>
      </c>
      <c r="AK36" s="187">
        <v>0</v>
      </c>
      <c r="AL36" s="187">
        <v>0</v>
      </c>
      <c r="AM36" s="187">
        <v>0</v>
      </c>
      <c r="AN36" s="187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186364.15773066663</v>
      </c>
      <c r="AD37" s="13">
        <v>381199.41353999992</v>
      </c>
      <c r="AE37" s="13">
        <v>567563.57127066678</v>
      </c>
      <c r="AF37" s="13">
        <v>753927.72900133347</v>
      </c>
      <c r="AG37" s="13">
        <v>940291.88673200004</v>
      </c>
      <c r="AH37" s="13">
        <v>1135127.1425413336</v>
      </c>
      <c r="AI37" s="13">
        <v>1177482.6329346667</v>
      </c>
      <c r="AJ37" s="13">
        <v>1228309.2214066663</v>
      </c>
      <c r="AK37" s="13">
        <v>1270664.7117999997</v>
      </c>
      <c r="AL37" s="13">
        <v>1321491.3002719996</v>
      </c>
      <c r="AM37" s="13">
        <v>1372317.8887439999</v>
      </c>
      <c r="AN37" s="13">
        <v>1414673.3791373332</v>
      </c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458</v>
      </c>
      <c r="C41" s="146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102220.8</v>
      </c>
      <c r="AD41" s="12">
        <v>209087.99999999994</v>
      </c>
      <c r="AE41" s="12">
        <v>311308.79999999999</v>
      </c>
      <c r="AF41" s="12">
        <v>413529.60000000003</v>
      </c>
      <c r="AG41" s="12">
        <v>515750.39999999997</v>
      </c>
      <c r="AH41" s="12">
        <v>622617.59999999998</v>
      </c>
      <c r="AI41" s="12">
        <v>645849.59999999986</v>
      </c>
      <c r="AJ41" s="12">
        <v>673728</v>
      </c>
      <c r="AK41" s="12">
        <v>696960</v>
      </c>
      <c r="AL41" s="12">
        <v>724838.39999999991</v>
      </c>
      <c r="AM41" s="12">
        <v>752716.79999999993</v>
      </c>
      <c r="AN41" s="12">
        <v>775948.79999999981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37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42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C49" s="146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332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113917.46666666667</v>
      </c>
      <c r="AD50" s="13">
        <v>220784.6666666666</v>
      </c>
      <c r="AE50" s="13">
        <v>323005.46666666667</v>
      </c>
      <c r="AF50" s="13">
        <v>425226.26666666672</v>
      </c>
      <c r="AG50" s="13">
        <v>527447.06666666665</v>
      </c>
      <c r="AH50" s="13">
        <v>634314.2666666666</v>
      </c>
      <c r="AI50" s="13">
        <v>657546.26666666649</v>
      </c>
      <c r="AJ50" s="13">
        <v>685424.66666666663</v>
      </c>
      <c r="AK50" s="13">
        <v>708656.66666666663</v>
      </c>
      <c r="AL50" s="13">
        <v>736535.06666666653</v>
      </c>
      <c r="AM50" s="13">
        <v>764413.46666666656</v>
      </c>
      <c r="AN50" s="13">
        <v>787645.46666666644</v>
      </c>
    </row>
    <row r="51" spans="2:40" x14ac:dyDescent="0.25">
      <c r="C51" s="63"/>
    </row>
    <row r="52" spans="2:40" x14ac:dyDescent="0.25">
      <c r="B52" s="1" t="s">
        <v>50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0</v>
      </c>
      <c r="R52" s="74">
        <f t="shared" si="4"/>
        <v>0</v>
      </c>
      <c r="S52" s="74">
        <f t="shared" si="4"/>
        <v>0</v>
      </c>
      <c r="T52" s="74">
        <f t="shared" si="4"/>
        <v>0</v>
      </c>
      <c r="U52" s="74">
        <f t="shared" si="4"/>
        <v>0</v>
      </c>
      <c r="V52" s="74">
        <f t="shared" si="4"/>
        <v>0</v>
      </c>
      <c r="W52" s="74">
        <f t="shared" si="4"/>
        <v>0</v>
      </c>
      <c r="X52" s="74">
        <f t="shared" si="4"/>
        <v>0</v>
      </c>
      <c r="Y52" s="74">
        <f t="shared" si="4"/>
        <v>0</v>
      </c>
      <c r="Z52" s="74">
        <f t="shared" si="4"/>
        <v>0</v>
      </c>
      <c r="AA52" s="74">
        <f t="shared" si="4"/>
        <v>0</v>
      </c>
      <c r="AB52" s="74">
        <f t="shared" si="4"/>
        <v>0</v>
      </c>
      <c r="AC52" s="74">
        <f t="shared" si="4"/>
        <v>72446.691063999955</v>
      </c>
      <c r="AD52" s="74">
        <f t="shared" si="4"/>
        <v>160414.74687333332</v>
      </c>
      <c r="AE52" s="74">
        <f t="shared" si="4"/>
        <v>244558.10460400011</v>
      </c>
      <c r="AF52" s="74">
        <f t="shared" si="4"/>
        <v>328701.46233466675</v>
      </c>
      <c r="AG52" s="74">
        <f t="shared" si="4"/>
        <v>412844.82006533339</v>
      </c>
      <c r="AH52" s="74">
        <f t="shared" si="4"/>
        <v>500812.87587466696</v>
      </c>
      <c r="AI52" s="74">
        <f t="shared" si="4"/>
        <v>519936.36626800022</v>
      </c>
      <c r="AJ52" s="74">
        <f t="shared" si="4"/>
        <v>542884.5547399997</v>
      </c>
      <c r="AK52" s="74">
        <f t="shared" si="4"/>
        <v>562008.04513333307</v>
      </c>
      <c r="AL52" s="74">
        <f t="shared" si="4"/>
        <v>584956.23360533302</v>
      </c>
      <c r="AM52" s="74">
        <f t="shared" si="4"/>
        <v>607904.42207733332</v>
      </c>
      <c r="AN52" s="74">
        <f t="shared" si="4"/>
        <v>627027.91247066681</v>
      </c>
    </row>
    <row r="53" spans="2:40" x14ac:dyDescent="0.25">
      <c r="C53" s="63"/>
      <c r="E53" s="107" t="str">
        <f>IFERROR(E52/E37,"")</f>
        <v/>
      </c>
      <c r="F53" s="107" t="str">
        <f t="shared" ref="F53:AN53" si="5">IFERROR(F52/F37,"")</f>
        <v/>
      </c>
      <c r="G53" s="107" t="str">
        <f t="shared" si="5"/>
        <v/>
      </c>
      <c r="H53" s="107" t="str">
        <f t="shared" si="5"/>
        <v/>
      </c>
      <c r="I53" s="107" t="str">
        <f t="shared" si="5"/>
        <v/>
      </c>
      <c r="J53" s="107" t="str">
        <f t="shared" si="5"/>
        <v/>
      </c>
      <c r="K53" s="107" t="str">
        <f t="shared" si="5"/>
        <v/>
      </c>
      <c r="L53" s="107" t="str">
        <f t="shared" si="5"/>
        <v/>
      </c>
      <c r="M53" s="107" t="str">
        <f t="shared" si="5"/>
        <v/>
      </c>
      <c r="N53" s="107" t="str">
        <f t="shared" si="5"/>
        <v/>
      </c>
      <c r="O53" s="107" t="str">
        <f t="shared" si="5"/>
        <v/>
      </c>
      <c r="P53" s="107" t="str">
        <f t="shared" si="5"/>
        <v/>
      </c>
      <c r="Q53" s="107" t="str">
        <f t="shared" si="5"/>
        <v/>
      </c>
      <c r="R53" s="107" t="str">
        <f t="shared" si="5"/>
        <v/>
      </c>
      <c r="S53" s="107" t="str">
        <f t="shared" si="5"/>
        <v/>
      </c>
      <c r="T53" s="107" t="str">
        <f t="shared" si="5"/>
        <v/>
      </c>
      <c r="U53" s="107" t="str">
        <f t="shared" si="5"/>
        <v/>
      </c>
      <c r="V53" s="107" t="str">
        <f t="shared" si="5"/>
        <v/>
      </c>
      <c r="W53" s="107" t="str">
        <f t="shared" si="5"/>
        <v/>
      </c>
      <c r="X53" s="107" t="str">
        <f t="shared" si="5"/>
        <v/>
      </c>
      <c r="Y53" s="107" t="str">
        <f t="shared" si="5"/>
        <v/>
      </c>
      <c r="Z53" s="107" t="str">
        <f t="shared" si="5"/>
        <v/>
      </c>
      <c r="AA53" s="107" t="str">
        <f t="shared" si="5"/>
        <v/>
      </c>
      <c r="AB53" s="107" t="str">
        <f t="shared" si="5"/>
        <v/>
      </c>
      <c r="AC53" s="107">
        <f t="shared" si="5"/>
        <v>0.38873725477138082</v>
      </c>
      <c r="AD53" s="107">
        <f t="shared" si="5"/>
        <v>0.4208158280823292</v>
      </c>
      <c r="AE53" s="107">
        <f t="shared" si="5"/>
        <v>0.43089112300932397</v>
      </c>
      <c r="AF53" s="107">
        <f t="shared" si="5"/>
        <v>0.43598537325331005</v>
      </c>
      <c r="AG53" s="107">
        <f t="shared" si="5"/>
        <v>0.43906028105823858</v>
      </c>
      <c r="AH53" s="107">
        <f t="shared" si="5"/>
        <v>0.44119540191193235</v>
      </c>
      <c r="AI53" s="107">
        <f t="shared" si="5"/>
        <v>0.44156605942641464</v>
      </c>
      <c r="AJ53" s="107">
        <f t="shared" si="5"/>
        <v>0.4419771058286816</v>
      </c>
      <c r="AK53" s="107">
        <f t="shared" si="5"/>
        <v>0.44229452499487693</v>
      </c>
      <c r="AL53" s="107">
        <f t="shared" si="5"/>
        <v>0.44264856944947939</v>
      </c>
      <c r="AM53" s="107">
        <f t="shared" si="5"/>
        <v>0.44297638838892622</v>
      </c>
      <c r="AN53" s="107">
        <f t="shared" si="5"/>
        <v>0.44323157678490277</v>
      </c>
    </row>
    <row r="54" spans="2:40" x14ac:dyDescent="0.25">
      <c r="C54" s="63"/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100000</v>
      </c>
      <c r="AC55" s="12">
        <v>100000</v>
      </c>
      <c r="AD55" s="12">
        <v>100000</v>
      </c>
      <c r="AE55" s="12">
        <v>100000</v>
      </c>
      <c r="AF55" s="12">
        <v>100000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-136045.83514338665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-278275.57188419992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-414321.40702758677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-550367.24217097345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-686413.07731436007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-828642.81405517354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-859562.32204230665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-896665.73162686639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-927585.23961399973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-964688.64919855969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-1001792.0587831199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-1032711.5667702532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0</v>
      </c>
      <c r="Q58" s="13">
        <f t="shared" si="6"/>
        <v>0</v>
      </c>
      <c r="R58" s="13">
        <f t="shared" si="6"/>
        <v>0</v>
      </c>
      <c r="S58" s="13">
        <f t="shared" si="6"/>
        <v>0</v>
      </c>
      <c r="T58" s="13">
        <f t="shared" si="6"/>
        <v>0</v>
      </c>
      <c r="U58" s="13">
        <f t="shared" si="6"/>
        <v>0</v>
      </c>
      <c r="V58" s="13">
        <f t="shared" si="6"/>
        <v>0</v>
      </c>
      <c r="W58" s="13">
        <f t="shared" si="6"/>
        <v>0</v>
      </c>
      <c r="X58" s="13">
        <f t="shared" si="6"/>
        <v>0</v>
      </c>
      <c r="Y58" s="13">
        <f t="shared" si="6"/>
        <v>0</v>
      </c>
      <c r="Z58" s="13">
        <f t="shared" si="6"/>
        <v>0</v>
      </c>
      <c r="AA58" s="13">
        <f t="shared" si="6"/>
        <v>0</v>
      </c>
      <c r="AB58" s="13">
        <f t="shared" si="6"/>
        <v>-100000</v>
      </c>
      <c r="AC58" s="13">
        <f t="shared" si="6"/>
        <v>-163599.14407938669</v>
      </c>
      <c r="AD58" s="13">
        <f t="shared" si="6"/>
        <v>-217860.8250108666</v>
      </c>
      <c r="AE58" s="13">
        <f t="shared" si="6"/>
        <v>-269763.30242358666</v>
      </c>
      <c r="AF58" s="13">
        <f t="shared" si="6"/>
        <v>-321665.7798363067</v>
      </c>
      <c r="AG58" s="13">
        <f t="shared" si="6"/>
        <v>-273568.25724902668</v>
      </c>
      <c r="AH58" s="13">
        <f t="shared" si="6"/>
        <v>-327829.93818050658</v>
      </c>
      <c r="AI58" s="13">
        <f t="shared" si="6"/>
        <v>-339625.95577430644</v>
      </c>
      <c r="AJ58" s="13">
        <f t="shared" si="6"/>
        <v>-353781.17688686668</v>
      </c>
      <c r="AK58" s="13">
        <f t="shared" si="6"/>
        <v>-365577.19448066666</v>
      </c>
      <c r="AL58" s="13">
        <f t="shared" si="6"/>
        <v>-379732.41559322667</v>
      </c>
      <c r="AM58" s="13">
        <f t="shared" si="6"/>
        <v>-393887.63670578657</v>
      </c>
      <c r="AN58" s="13">
        <f t="shared" si="6"/>
        <v>-405683.65429958643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-100000</v>
      </c>
      <c r="AC59" s="12">
        <v>-263599.14407938672</v>
      </c>
      <c r="AD59" s="12">
        <v>-481459.96909025335</v>
      </c>
      <c r="AE59" s="12">
        <v>-751223.27151383995</v>
      </c>
      <c r="AF59" s="12">
        <v>-1072889.0513501465</v>
      </c>
      <c r="AG59" s="12">
        <v>-1346457.3085991731</v>
      </c>
      <c r="AH59" s="12">
        <v>-1674287.2467796798</v>
      </c>
      <c r="AI59" s="12">
        <v>-2013913.2025539861</v>
      </c>
      <c r="AJ59" s="12">
        <v>-2367694.3794408529</v>
      </c>
      <c r="AK59" s="12">
        <v>-2733271.5739215193</v>
      </c>
      <c r="AL59" s="12">
        <v>-3113003.9895147458</v>
      </c>
      <c r="AM59" s="12">
        <v>-3506891.6262205322</v>
      </c>
      <c r="AN59" s="12">
        <v>-3912575.2805201188</v>
      </c>
    </row>
    <row r="62" spans="2:40" x14ac:dyDescent="0.25">
      <c r="E62" s="14"/>
    </row>
    <row r="63" spans="2:40" x14ac:dyDescent="0.25">
      <c r="E63" s="91"/>
    </row>
    <row r="64" spans="2:40" x14ac:dyDescent="0.25">
      <c r="E64" s="14"/>
    </row>
    <row r="65" spans="5:5" x14ac:dyDescent="0.25">
      <c r="E65" s="14"/>
    </row>
    <row r="66" spans="5:5" x14ac:dyDescent="0.25">
      <c r="E66" s="1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1412-ECAF-46CF-BC87-8408D13E185C}">
  <dimension ref="A1:AX75"/>
  <sheetViews>
    <sheetView workbookViewId="0">
      <pane xSplit="4" ySplit="25" topLeftCell="E62" activePane="bottomRight" state="frozen"/>
      <selection pane="topRight" activeCell="E1" sqref="E1"/>
      <selection pane="bottomLeft" activeCell="A26" sqref="A26"/>
      <selection pane="bottomRight" activeCell="J78" sqref="J78"/>
    </sheetView>
  </sheetViews>
  <sheetFormatPr defaultRowHeight="15" outlineLevelRow="1" x14ac:dyDescent="0.25"/>
  <cols>
    <col min="2" max="2" width="24.5703125" bestFit="1" customWidth="1"/>
    <col min="3" max="4" width="10" bestFit="1" customWidth="1"/>
    <col min="5" max="5" width="12.5703125" bestFit="1" customWidth="1"/>
    <col min="6" max="18" width="12.285156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2020</v>
      </c>
      <c r="B1" s="10" t="s">
        <v>488</v>
      </c>
      <c r="C1" s="16" t="s">
        <v>65</v>
      </c>
      <c r="D1" s="55" t="s">
        <v>460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52</v>
      </c>
      <c r="F1" s="5">
        <v>52</v>
      </c>
      <c r="G1" s="5">
        <v>52</v>
      </c>
      <c r="H1" s="5">
        <v>52</v>
      </c>
      <c r="I1" s="5">
        <v>52</v>
      </c>
      <c r="J1" s="5">
        <v>52</v>
      </c>
      <c r="K1" s="5">
        <v>52</v>
      </c>
      <c r="L1" s="5">
        <v>52</v>
      </c>
      <c r="M1" s="5">
        <v>52</v>
      </c>
      <c r="N1" s="5">
        <v>52</v>
      </c>
      <c r="O1" s="5">
        <v>52</v>
      </c>
      <c r="P1" s="5">
        <v>52</v>
      </c>
      <c r="Q1" s="5">
        <v>52</v>
      </c>
      <c r="R1" s="5">
        <v>52</v>
      </c>
      <c r="S1" s="5">
        <v>52</v>
      </c>
      <c r="T1" s="5">
        <v>52</v>
      </c>
      <c r="U1" s="5">
        <v>52</v>
      </c>
      <c r="V1" s="5">
        <v>52</v>
      </c>
      <c r="W1" s="5">
        <v>52</v>
      </c>
      <c r="X1" s="5">
        <v>52</v>
      </c>
      <c r="Y1" s="5">
        <v>52</v>
      </c>
      <c r="Z1" s="5">
        <v>52</v>
      </c>
      <c r="AA1" s="5">
        <v>52</v>
      </c>
      <c r="AB1" s="5">
        <v>52</v>
      </c>
      <c r="AC1" s="5">
        <v>52</v>
      </c>
      <c r="AD1" s="5">
        <v>52</v>
      </c>
      <c r="AE1" s="5">
        <v>52</v>
      </c>
      <c r="AF1" s="5">
        <v>52</v>
      </c>
      <c r="AG1" s="5">
        <v>52</v>
      </c>
      <c r="AH1" s="5">
        <v>52</v>
      </c>
      <c r="AI1" s="5">
        <v>52</v>
      </c>
      <c r="AJ1" s="5">
        <v>52</v>
      </c>
      <c r="AK1" s="5">
        <v>52</v>
      </c>
      <c r="AL1" s="5">
        <v>52</v>
      </c>
      <c r="AM1" s="5">
        <v>52</v>
      </c>
      <c r="AN1" s="5">
        <v>52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461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</v>
      </c>
      <c r="F2" s="69">
        <v>4</v>
      </c>
      <c r="G2" s="69">
        <v>4</v>
      </c>
      <c r="H2" s="69">
        <v>4</v>
      </c>
      <c r="I2" s="69">
        <v>4</v>
      </c>
      <c r="J2" s="69">
        <v>4</v>
      </c>
      <c r="K2" s="69">
        <v>4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462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463</v>
      </c>
      <c r="E4" s="69" cm="1">
        <f t="array" ref="E4:AN4">_xlfn.BYCOL(_xlfn.VSTACK(_xlfn.ANCHORARRAY($E$1),_xlfn.ANCHORARRAY($E$2)),_xlfn.LAMBDA(_xlpm.a,SUM(_xlpm.a)))</f>
        <v>56</v>
      </c>
      <c r="F4" s="69">
        <v>56</v>
      </c>
      <c r="G4" s="69">
        <v>56</v>
      </c>
      <c r="H4" s="69">
        <v>56</v>
      </c>
      <c r="I4" s="69">
        <v>56</v>
      </c>
      <c r="J4" s="69">
        <v>56</v>
      </c>
      <c r="K4" s="69">
        <v>56</v>
      </c>
      <c r="L4" s="69">
        <v>56</v>
      </c>
      <c r="M4" s="69">
        <v>56</v>
      </c>
      <c r="N4" s="69">
        <v>56</v>
      </c>
      <c r="O4" s="69">
        <v>56</v>
      </c>
      <c r="P4" s="69">
        <v>56</v>
      </c>
      <c r="Q4" s="69">
        <v>56</v>
      </c>
      <c r="R4" s="69">
        <v>56</v>
      </c>
      <c r="S4" s="69">
        <v>56</v>
      </c>
      <c r="T4" s="69">
        <v>56</v>
      </c>
      <c r="U4" s="69">
        <v>56</v>
      </c>
      <c r="V4" s="69">
        <v>56</v>
      </c>
      <c r="W4" s="69">
        <v>56</v>
      </c>
      <c r="X4" s="69">
        <v>56</v>
      </c>
      <c r="Y4" s="69">
        <v>56</v>
      </c>
      <c r="Z4" s="69">
        <v>56</v>
      </c>
      <c r="AA4" s="69">
        <v>56</v>
      </c>
      <c r="AB4" s="69">
        <v>56</v>
      </c>
      <c r="AC4" s="69">
        <v>56</v>
      </c>
      <c r="AD4" s="69">
        <v>56</v>
      </c>
      <c r="AE4" s="69">
        <v>56</v>
      </c>
      <c r="AF4" s="69">
        <v>56</v>
      </c>
      <c r="AG4" s="69">
        <v>56</v>
      </c>
      <c r="AH4" s="69">
        <v>56</v>
      </c>
      <c r="AI4" s="69">
        <v>56</v>
      </c>
      <c r="AJ4" s="69">
        <v>56</v>
      </c>
      <c r="AK4" s="69">
        <v>56</v>
      </c>
      <c r="AL4" s="69">
        <v>56</v>
      </c>
      <c r="AM4" s="69">
        <v>56</v>
      </c>
      <c r="AN4" s="69">
        <v>56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62</v>
      </c>
      <c r="F6" s="66">
        <v>62</v>
      </c>
      <c r="G6" s="66">
        <v>62</v>
      </c>
      <c r="H6" s="66">
        <v>62</v>
      </c>
      <c r="I6" s="66">
        <v>62</v>
      </c>
      <c r="J6" s="66">
        <v>62</v>
      </c>
      <c r="K6" s="66">
        <v>62</v>
      </c>
      <c r="L6" s="66">
        <v>62</v>
      </c>
      <c r="M6" s="66">
        <v>62</v>
      </c>
      <c r="N6" s="66">
        <v>62</v>
      </c>
      <c r="O6" s="66">
        <v>62</v>
      </c>
      <c r="P6" s="66">
        <v>62</v>
      </c>
      <c r="Q6" s="66">
        <v>62</v>
      </c>
      <c r="R6" s="66">
        <v>62</v>
      </c>
      <c r="S6" s="66">
        <v>62</v>
      </c>
      <c r="T6" s="66">
        <v>62</v>
      </c>
      <c r="U6" s="66">
        <v>62</v>
      </c>
      <c r="V6" s="66">
        <v>62</v>
      </c>
      <c r="W6" s="66">
        <v>62</v>
      </c>
      <c r="X6" s="66">
        <v>62</v>
      </c>
      <c r="Y6" s="66">
        <v>62</v>
      </c>
      <c r="Z6" s="66">
        <v>62</v>
      </c>
      <c r="AA6" s="66">
        <v>62</v>
      </c>
      <c r="AB6" s="66">
        <v>62</v>
      </c>
      <c r="AC6" s="66">
        <v>62</v>
      </c>
      <c r="AD6" s="66">
        <v>62</v>
      </c>
      <c r="AE6" s="66">
        <v>62</v>
      </c>
      <c r="AF6" s="66">
        <v>62</v>
      </c>
      <c r="AG6" s="66">
        <v>62</v>
      </c>
      <c r="AH6" s="66">
        <v>62</v>
      </c>
      <c r="AI6" s="66">
        <v>62</v>
      </c>
      <c r="AJ6" s="66">
        <v>62</v>
      </c>
      <c r="AK6" s="66">
        <v>62</v>
      </c>
      <c r="AL6" s="66">
        <v>62</v>
      </c>
      <c r="AM6" s="66">
        <v>62</v>
      </c>
      <c r="AN6" s="66">
        <v>62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44.58</v>
      </c>
      <c r="F7" s="108">
        <v>44.58</v>
      </c>
      <c r="G7" s="108">
        <v>44.58</v>
      </c>
      <c r="H7" s="108">
        <v>44.58</v>
      </c>
      <c r="I7" s="108">
        <v>44.58</v>
      </c>
      <c r="J7" s="108">
        <v>44.58</v>
      </c>
      <c r="K7" s="108">
        <v>44.58</v>
      </c>
      <c r="L7" s="108">
        <v>44.58</v>
      </c>
      <c r="M7" s="108">
        <v>44.58</v>
      </c>
      <c r="N7" s="108">
        <v>44.58</v>
      </c>
      <c r="O7" s="108">
        <v>44.58</v>
      </c>
      <c r="P7" s="108">
        <v>44.58</v>
      </c>
      <c r="Q7" s="108">
        <v>44.58</v>
      </c>
      <c r="R7" s="108">
        <v>44.58</v>
      </c>
      <c r="S7" s="108">
        <v>44.58</v>
      </c>
      <c r="T7" s="108">
        <v>44.58</v>
      </c>
      <c r="U7" s="108">
        <v>44.58</v>
      </c>
      <c r="V7" s="108">
        <v>44.58</v>
      </c>
      <c r="W7" s="108">
        <v>44.58</v>
      </c>
      <c r="X7" s="108">
        <v>44.58</v>
      </c>
      <c r="Y7" s="108">
        <v>44.58</v>
      </c>
      <c r="Z7" s="108">
        <v>44.58</v>
      </c>
      <c r="AA7" s="108">
        <v>44.58</v>
      </c>
      <c r="AB7" s="108">
        <v>44.58</v>
      </c>
      <c r="AC7" s="108">
        <v>44.58</v>
      </c>
      <c r="AD7" s="108">
        <v>44.58</v>
      </c>
      <c r="AE7" s="108">
        <v>44.58</v>
      </c>
      <c r="AF7" s="108">
        <v>44.58</v>
      </c>
      <c r="AG7" s="108">
        <v>44.58</v>
      </c>
      <c r="AH7" s="108">
        <v>44.58</v>
      </c>
      <c r="AI7" s="108">
        <v>44.58</v>
      </c>
      <c r="AJ7" s="108">
        <v>44.58</v>
      </c>
      <c r="AK7" s="108">
        <v>44.58</v>
      </c>
      <c r="AL7" s="108">
        <v>44.58</v>
      </c>
      <c r="AM7" s="108">
        <v>44.58</v>
      </c>
      <c r="AN7" s="108">
        <v>44.58</v>
      </c>
    </row>
    <row r="8" spans="1:40" hidden="1" outlineLevel="1" x14ac:dyDescent="0.25">
      <c r="B8" s="39" t="str">
        <v>Secondary Direct Staff</v>
      </c>
      <c r="C8" s="3"/>
      <c r="D8" s="3"/>
      <c r="E8" s="108">
        <v>7.43</v>
      </c>
      <c r="F8" s="108">
        <v>7.43</v>
      </c>
      <c r="G8" s="108">
        <v>7.43</v>
      </c>
      <c r="H8" s="108">
        <v>7.43</v>
      </c>
      <c r="I8" s="108">
        <v>7.43</v>
      </c>
      <c r="J8" s="108">
        <v>7.43</v>
      </c>
      <c r="K8" s="108">
        <v>7.43</v>
      </c>
      <c r="L8" s="108">
        <v>7.43</v>
      </c>
      <c r="M8" s="108">
        <v>7.43</v>
      </c>
      <c r="N8" s="108">
        <v>7.43</v>
      </c>
      <c r="O8" s="108">
        <v>7.43</v>
      </c>
      <c r="P8" s="108">
        <v>7.43</v>
      </c>
      <c r="Q8" s="108">
        <v>7.43</v>
      </c>
      <c r="R8" s="108">
        <v>7.43</v>
      </c>
      <c r="S8" s="108">
        <v>7.43</v>
      </c>
      <c r="T8" s="108">
        <v>7.43</v>
      </c>
      <c r="U8" s="108">
        <v>7.43</v>
      </c>
      <c r="V8" s="108">
        <v>7.43</v>
      </c>
      <c r="W8" s="108">
        <v>7.43</v>
      </c>
      <c r="X8" s="108">
        <v>7.43</v>
      </c>
      <c r="Y8" s="108">
        <v>7.43</v>
      </c>
      <c r="Z8" s="108">
        <v>7.43</v>
      </c>
      <c r="AA8" s="108">
        <v>7.43</v>
      </c>
      <c r="AB8" s="108">
        <v>7.43</v>
      </c>
      <c r="AC8" s="108">
        <v>7.43</v>
      </c>
      <c r="AD8" s="108">
        <v>7.43</v>
      </c>
      <c r="AE8" s="108">
        <v>7.43</v>
      </c>
      <c r="AF8" s="108">
        <v>7.43</v>
      </c>
      <c r="AG8" s="108">
        <v>7.43</v>
      </c>
      <c r="AH8" s="108">
        <v>7.43</v>
      </c>
      <c r="AI8" s="108">
        <v>7.43</v>
      </c>
      <c r="AJ8" s="108">
        <v>7.43</v>
      </c>
      <c r="AK8" s="108">
        <v>7.43</v>
      </c>
      <c r="AL8" s="108">
        <v>7.43</v>
      </c>
      <c r="AM8" s="108">
        <v>7.43</v>
      </c>
      <c r="AN8" s="108">
        <v>7.43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0.2</v>
      </c>
      <c r="F11" s="108">
        <v>0.2</v>
      </c>
      <c r="G11" s="108">
        <v>0.2</v>
      </c>
      <c r="H11" s="108">
        <v>0.2</v>
      </c>
      <c r="I11" s="108">
        <v>0.2</v>
      </c>
      <c r="J11" s="108">
        <v>0.2</v>
      </c>
      <c r="K11" s="108">
        <v>0.2</v>
      </c>
      <c r="L11" s="108">
        <v>0.2</v>
      </c>
      <c r="M11" s="108">
        <v>0.2</v>
      </c>
      <c r="N11" s="108">
        <v>0.2</v>
      </c>
      <c r="O11" s="108">
        <v>0.2</v>
      </c>
      <c r="P11" s="108">
        <v>0.2</v>
      </c>
      <c r="Q11" s="108">
        <v>0.2</v>
      </c>
      <c r="R11" s="108">
        <v>0.2</v>
      </c>
      <c r="S11" s="108">
        <v>0.2</v>
      </c>
      <c r="T11" s="108">
        <v>0.2</v>
      </c>
      <c r="U11" s="108">
        <v>0.2</v>
      </c>
      <c r="V11" s="108">
        <v>0.2</v>
      </c>
      <c r="W11" s="108">
        <v>0.2</v>
      </c>
      <c r="X11" s="108">
        <v>0.2</v>
      </c>
      <c r="Y11" s="108">
        <v>0.2</v>
      </c>
      <c r="Z11" s="108">
        <v>0.2</v>
      </c>
      <c r="AA11" s="108">
        <v>0.2</v>
      </c>
      <c r="AB11" s="108">
        <v>0.2</v>
      </c>
      <c r="AC11" s="108">
        <v>0.2</v>
      </c>
      <c r="AD11" s="108">
        <v>0.2</v>
      </c>
      <c r="AE11" s="108">
        <v>0.2</v>
      </c>
      <c r="AF11" s="108">
        <v>0.2</v>
      </c>
      <c r="AG11" s="108">
        <v>0.2</v>
      </c>
      <c r="AH11" s="108">
        <v>0.2</v>
      </c>
      <c r="AI11" s="108">
        <v>0.2</v>
      </c>
      <c r="AJ11" s="108">
        <v>0.2</v>
      </c>
      <c r="AK11" s="108">
        <v>0.2</v>
      </c>
      <c r="AL11" s="108">
        <v>0.2</v>
      </c>
      <c r="AM11" s="108">
        <v>0.2</v>
      </c>
      <c r="AN11" s="108">
        <v>0.2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0.31</v>
      </c>
      <c r="F12" s="108">
        <v>0.31</v>
      </c>
      <c r="G12" s="108">
        <v>0.31</v>
      </c>
      <c r="H12" s="108">
        <v>0.31</v>
      </c>
      <c r="I12" s="108">
        <v>0.31</v>
      </c>
      <c r="J12" s="108">
        <v>0.31</v>
      </c>
      <c r="K12" s="108">
        <v>0.31</v>
      </c>
      <c r="L12" s="108">
        <v>0.31</v>
      </c>
      <c r="M12" s="108">
        <v>0.31</v>
      </c>
      <c r="N12" s="108">
        <v>0.31</v>
      </c>
      <c r="O12" s="108">
        <v>0.31</v>
      </c>
      <c r="P12" s="108">
        <v>0.31</v>
      </c>
      <c r="Q12" s="108">
        <v>0.31</v>
      </c>
      <c r="R12" s="108">
        <v>0.31</v>
      </c>
      <c r="S12" s="108">
        <v>0.31</v>
      </c>
      <c r="T12" s="108">
        <v>0.31</v>
      </c>
      <c r="U12" s="108">
        <v>0.31</v>
      </c>
      <c r="V12" s="108">
        <v>0.31</v>
      </c>
      <c r="W12" s="108">
        <v>0.31</v>
      </c>
      <c r="X12" s="108">
        <v>0.31</v>
      </c>
      <c r="Y12" s="108">
        <v>0.31</v>
      </c>
      <c r="Z12" s="108">
        <v>0.31</v>
      </c>
      <c r="AA12" s="108">
        <v>0.31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0.69000000000000006</v>
      </c>
      <c r="F13" s="108">
        <v>0.69000000000000006</v>
      </c>
      <c r="G13" s="108">
        <v>0.69000000000000006</v>
      </c>
      <c r="H13" s="108">
        <v>0.69000000000000006</v>
      </c>
      <c r="I13" s="108">
        <v>0.69000000000000006</v>
      </c>
      <c r="J13" s="108">
        <v>0.69000000000000006</v>
      </c>
      <c r="K13" s="108">
        <v>0.69000000000000006</v>
      </c>
      <c r="L13" s="108">
        <v>0.69000000000000006</v>
      </c>
      <c r="M13" s="108">
        <v>0.69000000000000006</v>
      </c>
      <c r="N13" s="108">
        <v>0.69000000000000006</v>
      </c>
      <c r="O13" s="108">
        <v>0.69000000000000006</v>
      </c>
      <c r="P13" s="108">
        <v>0.69000000000000006</v>
      </c>
      <c r="Q13" s="108">
        <v>0.69000000000000006</v>
      </c>
      <c r="R13" s="108">
        <v>0.69000000000000006</v>
      </c>
      <c r="S13" s="108">
        <v>0.69000000000000006</v>
      </c>
      <c r="T13" s="108">
        <v>0.69000000000000006</v>
      </c>
      <c r="U13" s="108">
        <v>0.69000000000000006</v>
      </c>
      <c r="V13" s="108">
        <v>0.69000000000000006</v>
      </c>
      <c r="W13" s="108">
        <v>0.69000000000000006</v>
      </c>
      <c r="X13" s="108">
        <v>0.69000000000000006</v>
      </c>
      <c r="Y13" s="108">
        <v>0.69000000000000006</v>
      </c>
      <c r="Z13" s="108">
        <v>0.69000000000000006</v>
      </c>
      <c r="AA13" s="108">
        <v>0.69000000000000006</v>
      </c>
      <c r="AB13" s="108">
        <v>0.69000000000000006</v>
      </c>
      <c r="AC13" s="108">
        <v>0.69000000000000006</v>
      </c>
      <c r="AD13" s="108">
        <v>0.69000000000000006</v>
      </c>
      <c r="AE13" s="108">
        <v>0.69000000000000006</v>
      </c>
      <c r="AF13" s="108">
        <v>0.69000000000000006</v>
      </c>
      <c r="AG13" s="108">
        <v>0.69000000000000006</v>
      </c>
      <c r="AH13" s="108">
        <v>0.69000000000000006</v>
      </c>
      <c r="AI13" s="108">
        <v>0.69000000000000006</v>
      </c>
      <c r="AJ13" s="108">
        <v>0.69000000000000006</v>
      </c>
      <c r="AK13" s="108">
        <v>0.69000000000000006</v>
      </c>
      <c r="AL13" s="108">
        <v>0.69000000000000006</v>
      </c>
      <c r="AM13" s="108">
        <v>0.69000000000000006</v>
      </c>
      <c r="AN13" s="108">
        <v>0.69000000000000006</v>
      </c>
    </row>
    <row r="14" spans="1:40" hidden="1" outlineLevel="1" x14ac:dyDescent="0.25">
      <c r="B14" s="39" t="str">
        <v>Recruiter</v>
      </c>
      <c r="C14" s="3"/>
      <c r="D14" s="3"/>
      <c r="E14" s="108">
        <v>0.49</v>
      </c>
      <c r="F14" s="108">
        <v>0.49</v>
      </c>
      <c r="G14" s="108">
        <v>0.49</v>
      </c>
      <c r="H14" s="108">
        <v>0.49</v>
      </c>
      <c r="I14" s="108">
        <v>0.49</v>
      </c>
      <c r="J14" s="108">
        <v>0.49</v>
      </c>
      <c r="K14" s="108">
        <v>0.49</v>
      </c>
      <c r="L14" s="108">
        <v>0.49</v>
      </c>
      <c r="M14" s="108">
        <v>0.49</v>
      </c>
      <c r="N14" s="108">
        <v>0.49</v>
      </c>
      <c r="O14" s="108">
        <v>0.49</v>
      </c>
      <c r="P14" s="108">
        <v>0.49</v>
      </c>
      <c r="Q14" s="108">
        <v>0.49</v>
      </c>
      <c r="R14" s="108">
        <v>0.49</v>
      </c>
      <c r="S14" s="108">
        <v>0.49</v>
      </c>
      <c r="T14" s="108">
        <v>0.49</v>
      </c>
      <c r="U14" s="108">
        <v>0.49</v>
      </c>
      <c r="V14" s="108">
        <v>0.49</v>
      </c>
      <c r="W14" s="108">
        <v>0.49</v>
      </c>
      <c r="X14" s="108">
        <v>0.49</v>
      </c>
      <c r="Y14" s="108">
        <v>0.49</v>
      </c>
      <c r="Z14" s="108">
        <v>0.49</v>
      </c>
      <c r="AA14" s="108">
        <v>0.49</v>
      </c>
      <c r="AB14" s="108">
        <v>0.49</v>
      </c>
      <c r="AC14" s="108">
        <v>0.49</v>
      </c>
      <c r="AD14" s="108">
        <v>0.49</v>
      </c>
      <c r="AE14" s="108">
        <v>0.49</v>
      </c>
      <c r="AF14" s="108">
        <v>0.49</v>
      </c>
      <c r="AG14" s="108">
        <v>0.49</v>
      </c>
      <c r="AH14" s="108">
        <v>0.49</v>
      </c>
      <c r="AI14" s="108">
        <v>0.49</v>
      </c>
      <c r="AJ14" s="108">
        <v>0.49</v>
      </c>
      <c r="AK14" s="108">
        <v>0.49</v>
      </c>
      <c r="AL14" s="108">
        <v>0.49</v>
      </c>
      <c r="AM14" s="108">
        <v>0.49</v>
      </c>
      <c r="AN14" s="108">
        <v>0.49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0.21000000000000002</v>
      </c>
      <c r="F15" s="108">
        <v>0.21000000000000002</v>
      </c>
      <c r="G15" s="108">
        <v>0.21000000000000002</v>
      </c>
      <c r="H15" s="108">
        <v>0.21000000000000002</v>
      </c>
      <c r="I15" s="108">
        <v>0.21000000000000002</v>
      </c>
      <c r="J15" s="108">
        <v>0.21000000000000002</v>
      </c>
      <c r="K15" s="108">
        <v>0.21000000000000002</v>
      </c>
      <c r="L15" s="108">
        <v>0.21000000000000002</v>
      </c>
      <c r="M15" s="108">
        <v>0.21000000000000002</v>
      </c>
      <c r="N15" s="108">
        <v>0.21000000000000002</v>
      </c>
      <c r="O15" s="108">
        <v>0.21000000000000002</v>
      </c>
      <c r="P15" s="108">
        <v>0.21000000000000002</v>
      </c>
      <c r="Q15" s="108">
        <v>0.21000000000000002</v>
      </c>
      <c r="R15" s="108">
        <v>0.21000000000000002</v>
      </c>
      <c r="S15" s="108">
        <v>0.21000000000000002</v>
      </c>
      <c r="T15" s="108">
        <v>0.21000000000000002</v>
      </c>
      <c r="U15" s="108">
        <v>0.21000000000000002</v>
      </c>
      <c r="V15" s="108">
        <v>0.21000000000000002</v>
      </c>
      <c r="W15" s="108">
        <v>0.21000000000000002</v>
      </c>
      <c r="X15" s="108">
        <v>0.21000000000000002</v>
      </c>
      <c r="Y15" s="108">
        <v>0.21000000000000002</v>
      </c>
      <c r="Z15" s="108">
        <v>0.21000000000000002</v>
      </c>
      <c r="AA15" s="108">
        <v>0.21000000000000002</v>
      </c>
      <c r="AB15" s="108">
        <v>0.21000000000000002</v>
      </c>
      <c r="AC15" s="108">
        <v>0.21000000000000002</v>
      </c>
      <c r="AD15" s="108">
        <v>0.21000000000000002</v>
      </c>
      <c r="AE15" s="108">
        <v>0.21000000000000002</v>
      </c>
      <c r="AF15" s="108">
        <v>0.21000000000000002</v>
      </c>
      <c r="AG15" s="108">
        <v>0.21000000000000002</v>
      </c>
      <c r="AH15" s="108">
        <v>0.21000000000000002</v>
      </c>
      <c r="AI15" s="108">
        <v>0.21000000000000002</v>
      </c>
      <c r="AJ15" s="108">
        <v>0.21000000000000002</v>
      </c>
      <c r="AK15" s="108">
        <v>0.21000000000000002</v>
      </c>
      <c r="AL15" s="108">
        <v>0.21000000000000002</v>
      </c>
      <c r="AM15" s="108">
        <v>0.21000000000000002</v>
      </c>
      <c r="AN15" s="108">
        <v>0.21000000000000002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0.21000000000000002</v>
      </c>
      <c r="F16" s="108">
        <v>0.21000000000000002</v>
      </c>
      <c r="G16" s="108">
        <v>0.21000000000000002</v>
      </c>
      <c r="H16" s="108">
        <v>0.21000000000000002</v>
      </c>
      <c r="I16" s="108">
        <v>0.21000000000000002</v>
      </c>
      <c r="J16" s="108">
        <v>0.21000000000000002</v>
      </c>
      <c r="K16" s="108">
        <v>0.21000000000000002</v>
      </c>
      <c r="L16" s="108">
        <v>0.21000000000000002</v>
      </c>
      <c r="M16" s="108">
        <v>0.21000000000000002</v>
      </c>
      <c r="N16" s="108">
        <v>0.21000000000000002</v>
      </c>
      <c r="O16" s="108">
        <v>0.21000000000000002</v>
      </c>
      <c r="P16" s="108">
        <v>0.21000000000000002</v>
      </c>
      <c r="Q16" s="108">
        <v>0.21000000000000002</v>
      </c>
      <c r="R16" s="108">
        <v>0.21000000000000002</v>
      </c>
      <c r="S16" s="108">
        <v>0.21000000000000002</v>
      </c>
      <c r="T16" s="108">
        <v>0.21000000000000002</v>
      </c>
      <c r="U16" s="108">
        <v>0.21000000000000002</v>
      </c>
      <c r="V16" s="108">
        <v>0.21000000000000002</v>
      </c>
      <c r="W16" s="108">
        <v>0.21000000000000002</v>
      </c>
      <c r="X16" s="108">
        <v>0.21000000000000002</v>
      </c>
      <c r="Y16" s="108">
        <v>0.21000000000000002</v>
      </c>
      <c r="Z16" s="108">
        <v>0.21000000000000002</v>
      </c>
      <c r="AA16" s="108">
        <v>0.21000000000000002</v>
      </c>
      <c r="AB16" s="108">
        <v>0.21000000000000002</v>
      </c>
      <c r="AC16" s="108">
        <v>0.21000000000000002</v>
      </c>
      <c r="AD16" s="108">
        <v>0.21000000000000002</v>
      </c>
      <c r="AE16" s="108">
        <v>0.21000000000000002</v>
      </c>
      <c r="AF16" s="108">
        <v>0.21000000000000002</v>
      </c>
      <c r="AG16" s="108">
        <v>0.21000000000000002</v>
      </c>
      <c r="AH16" s="108">
        <v>0.21000000000000002</v>
      </c>
      <c r="AI16" s="108">
        <v>0.21000000000000002</v>
      </c>
      <c r="AJ16" s="108">
        <v>0.21000000000000002</v>
      </c>
      <c r="AK16" s="108">
        <v>0.21000000000000002</v>
      </c>
      <c r="AL16" s="108">
        <v>0.21000000000000002</v>
      </c>
      <c r="AM16" s="108">
        <v>0.21000000000000002</v>
      </c>
      <c r="AN16" s="108">
        <v>0.21000000000000002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5.2</v>
      </c>
      <c r="F17" s="108">
        <v>5.2</v>
      </c>
      <c r="G17" s="108">
        <v>5.2</v>
      </c>
      <c r="H17" s="108">
        <v>5.2</v>
      </c>
      <c r="I17" s="108">
        <v>5.2</v>
      </c>
      <c r="J17" s="108">
        <v>5.2</v>
      </c>
      <c r="K17" s="108">
        <v>5.2</v>
      </c>
      <c r="L17" s="108">
        <v>5.2</v>
      </c>
      <c r="M17" s="108">
        <v>5.2</v>
      </c>
      <c r="N17" s="108">
        <v>5.2</v>
      </c>
      <c r="O17" s="108">
        <v>5.2</v>
      </c>
      <c r="P17" s="108">
        <v>5.2</v>
      </c>
      <c r="Q17" s="108">
        <v>5.2</v>
      </c>
      <c r="R17" s="108">
        <v>5.2</v>
      </c>
      <c r="S17" s="108">
        <v>5.2</v>
      </c>
      <c r="T17" s="108">
        <v>5.2</v>
      </c>
      <c r="U17" s="108">
        <v>5.2</v>
      </c>
      <c r="V17" s="108">
        <v>5.2</v>
      </c>
      <c r="W17" s="108">
        <v>5.2</v>
      </c>
      <c r="X17" s="108">
        <v>5.2</v>
      </c>
      <c r="Y17" s="108">
        <v>5.2</v>
      </c>
      <c r="Z17" s="108">
        <v>5.2</v>
      </c>
      <c r="AA17" s="108">
        <v>5.2</v>
      </c>
      <c r="AB17" s="108">
        <v>5.2</v>
      </c>
      <c r="AC17" s="108">
        <v>5.2</v>
      </c>
      <c r="AD17" s="108">
        <v>5.2</v>
      </c>
      <c r="AE17" s="108">
        <v>5.2</v>
      </c>
      <c r="AF17" s="108">
        <v>5.2</v>
      </c>
      <c r="AG17" s="108">
        <v>5.2</v>
      </c>
      <c r="AH17" s="108">
        <v>5.2</v>
      </c>
      <c r="AI17" s="108">
        <v>5.2</v>
      </c>
      <c r="AJ17" s="108">
        <v>5.2</v>
      </c>
      <c r="AK17" s="108">
        <v>5.2</v>
      </c>
      <c r="AL17" s="108">
        <v>5.2</v>
      </c>
      <c r="AM17" s="108">
        <v>5.2</v>
      </c>
      <c r="AN17" s="108">
        <v>5.2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52</v>
      </c>
      <c r="F21" s="120">
        <v>52</v>
      </c>
      <c r="G21" s="120">
        <v>52</v>
      </c>
      <c r="H21" s="120">
        <v>52</v>
      </c>
      <c r="I21" s="120">
        <v>52</v>
      </c>
      <c r="J21" s="120">
        <v>52</v>
      </c>
      <c r="K21" s="120">
        <v>52</v>
      </c>
      <c r="L21" s="120">
        <v>52</v>
      </c>
      <c r="M21" s="120">
        <v>52</v>
      </c>
      <c r="N21" s="120">
        <v>52</v>
      </c>
      <c r="O21" s="120">
        <v>52</v>
      </c>
      <c r="P21" s="120">
        <v>52</v>
      </c>
      <c r="Q21" s="120">
        <v>52</v>
      </c>
      <c r="R21" s="120">
        <v>52</v>
      </c>
      <c r="S21" s="120">
        <v>52</v>
      </c>
      <c r="T21" s="120">
        <v>52</v>
      </c>
      <c r="U21" s="120">
        <v>52</v>
      </c>
      <c r="V21" s="120">
        <v>52</v>
      </c>
      <c r="W21" s="120">
        <v>52</v>
      </c>
      <c r="X21" s="120">
        <v>52</v>
      </c>
      <c r="Y21" s="120">
        <v>52</v>
      </c>
      <c r="Z21" s="120">
        <v>52</v>
      </c>
      <c r="AA21" s="120">
        <v>52</v>
      </c>
      <c r="AB21" s="120">
        <v>52</v>
      </c>
      <c r="AC21" s="120">
        <v>52</v>
      </c>
      <c r="AD21" s="120">
        <v>52</v>
      </c>
      <c r="AE21" s="120">
        <v>52</v>
      </c>
      <c r="AF21" s="120">
        <v>52</v>
      </c>
      <c r="AG21" s="120">
        <v>52</v>
      </c>
      <c r="AH21" s="120">
        <v>52</v>
      </c>
      <c r="AI21" s="120">
        <v>52</v>
      </c>
      <c r="AJ21" s="120">
        <v>52</v>
      </c>
      <c r="AK21" s="120">
        <v>52</v>
      </c>
      <c r="AL21" s="120">
        <v>52</v>
      </c>
      <c r="AM21" s="120">
        <v>52</v>
      </c>
      <c r="AN21" s="120">
        <v>52</v>
      </c>
    </row>
    <row r="22" spans="2:50" x14ac:dyDescent="0.25">
      <c r="B22" s="2" t="s">
        <v>464</v>
      </c>
      <c r="C22" s="3"/>
      <c r="D22" s="77">
        <f>MAX(_xlfn.ANCHORARRAY(E22))</f>
        <v>95.980542519553069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93.184992737430179</v>
      </c>
      <c r="F22" s="78">
        <v>93.184992737430179</v>
      </c>
      <c r="G22" s="78">
        <v>93.184992737430179</v>
      </c>
      <c r="H22" s="78">
        <v>93.184992737430179</v>
      </c>
      <c r="I22" s="78">
        <v>93.184992737430179</v>
      </c>
      <c r="J22" s="78">
        <v>93.184992737430179</v>
      </c>
      <c r="K22" s="78">
        <v>93.184992737430179</v>
      </c>
      <c r="L22" s="78">
        <v>93.184992737430179</v>
      </c>
      <c r="M22" s="78">
        <v>93.184992737430179</v>
      </c>
      <c r="N22" s="78">
        <v>93.184992737430179</v>
      </c>
      <c r="O22" s="78">
        <v>93.184992737430179</v>
      </c>
      <c r="P22" s="78">
        <v>93.184992737430179</v>
      </c>
      <c r="Q22" s="78">
        <v>95.980542519553069</v>
      </c>
      <c r="R22" s="78">
        <v>95.980542519553069</v>
      </c>
      <c r="S22" s="78">
        <v>95.980542519553069</v>
      </c>
      <c r="T22" s="78">
        <v>95.980542519553069</v>
      </c>
      <c r="U22" s="78">
        <v>95.980542519553069</v>
      </c>
      <c r="V22" s="78">
        <v>95.980542519553069</v>
      </c>
      <c r="W22" s="78">
        <v>95.980542519553069</v>
      </c>
      <c r="X22" s="78">
        <v>95.980542519553069</v>
      </c>
      <c r="Y22" s="78">
        <v>95.980542519553069</v>
      </c>
      <c r="Z22" s="78">
        <v>95.980542519553069</v>
      </c>
      <c r="AA22" s="78">
        <v>95.980542519553069</v>
      </c>
      <c r="AB22" s="78">
        <v>95.980542519553069</v>
      </c>
      <c r="AC22" s="78">
        <v>95.980542519553069</v>
      </c>
      <c r="AD22" s="78">
        <v>95.980542519553069</v>
      </c>
      <c r="AE22" s="78">
        <v>95.980542519553069</v>
      </c>
      <c r="AF22" s="78">
        <v>95.980542519553069</v>
      </c>
      <c r="AG22" s="78">
        <v>95.980542519553069</v>
      </c>
      <c r="AH22" s="78">
        <v>95.980542519553069</v>
      </c>
      <c r="AI22" s="78">
        <v>95.980542519553069</v>
      </c>
      <c r="AJ22" s="78">
        <v>95.980542519553069</v>
      </c>
      <c r="AK22" s="78">
        <v>95.980542519553069</v>
      </c>
      <c r="AL22" s="78">
        <v>95.980542519553069</v>
      </c>
      <c r="AM22" s="78">
        <v>95.980542519553069</v>
      </c>
      <c r="AN22" s="78">
        <v>95.980542519553069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5460.6933333333336</v>
      </c>
      <c r="F23" s="52">
        <v>5460.6933333333336</v>
      </c>
      <c r="G23" s="52">
        <v>5460.6933333333336</v>
      </c>
      <c r="H23" s="52">
        <v>5460.6933333333336</v>
      </c>
      <c r="I23" s="52">
        <v>5460.6933333333336</v>
      </c>
      <c r="J23" s="52">
        <v>5460.6933333333336</v>
      </c>
      <c r="K23" s="52">
        <v>5460.6933333333336</v>
      </c>
      <c r="L23" s="52">
        <v>5460.6933333333336</v>
      </c>
      <c r="M23" s="52">
        <v>5460.6933333333336</v>
      </c>
      <c r="N23" s="52">
        <v>5460.6933333333336</v>
      </c>
      <c r="O23" s="52">
        <v>5460.6933333333336</v>
      </c>
      <c r="P23" s="52">
        <v>5460.6933333333336</v>
      </c>
      <c r="Q23" s="52">
        <v>5460.6933333333336</v>
      </c>
      <c r="R23" s="52">
        <v>5460.6933333333336</v>
      </c>
      <c r="S23" s="52">
        <v>5460.6933333333336</v>
      </c>
      <c r="T23" s="52">
        <v>5460.6933333333336</v>
      </c>
      <c r="U23" s="52">
        <v>5460.6933333333336</v>
      </c>
      <c r="V23" s="52">
        <v>5460.6933333333336</v>
      </c>
      <c r="W23" s="52">
        <v>5460.6933333333336</v>
      </c>
      <c r="X23" s="52">
        <v>5460.6933333333336</v>
      </c>
      <c r="Y23" s="52">
        <v>5460.6933333333336</v>
      </c>
      <c r="Z23" s="52">
        <v>5460.6933333333336</v>
      </c>
      <c r="AA23" s="52">
        <v>5460.6933333333336</v>
      </c>
      <c r="AB23" s="52">
        <v>5460.6933333333336</v>
      </c>
      <c r="AC23" s="52">
        <v>5460.6933333333336</v>
      </c>
      <c r="AD23" s="52">
        <v>5460.6933333333336</v>
      </c>
      <c r="AE23" s="52">
        <v>5460.6933333333336</v>
      </c>
      <c r="AF23" s="52">
        <v>5460.6933333333336</v>
      </c>
      <c r="AG23" s="52">
        <v>5460.6933333333336</v>
      </c>
      <c r="AH23" s="52">
        <v>5460.6933333333336</v>
      </c>
      <c r="AI23" s="52">
        <v>5460.6933333333336</v>
      </c>
      <c r="AJ23" s="52">
        <v>5460.6933333333336</v>
      </c>
      <c r="AK23" s="52">
        <v>5460.6933333333336</v>
      </c>
      <c r="AL23" s="52">
        <v>5460.6933333333336</v>
      </c>
      <c r="AM23" s="52">
        <v>5460.6933333333336</v>
      </c>
      <c r="AN23" s="52">
        <v>5460.6933333333336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394839.28598399996</v>
      </c>
      <c r="F26" s="12">
        <v>394839.28598399996</v>
      </c>
      <c r="G26" s="12">
        <v>394839.28598399996</v>
      </c>
      <c r="H26" s="12">
        <v>394839.28598399996</v>
      </c>
      <c r="I26" s="12">
        <v>394839.28598399996</v>
      </c>
      <c r="J26" s="12">
        <v>394839.28598399996</v>
      </c>
      <c r="K26" s="12">
        <v>394839.28598399996</v>
      </c>
      <c r="L26" s="12">
        <v>394839.28598399996</v>
      </c>
      <c r="M26" s="12">
        <v>394839.28598399996</v>
      </c>
      <c r="N26" s="12">
        <v>394839.28598399996</v>
      </c>
      <c r="O26" s="12">
        <v>394839.28598399996</v>
      </c>
      <c r="P26" s="12">
        <v>394839.28598399996</v>
      </c>
      <c r="Q26" s="12">
        <v>406684.46456351998</v>
      </c>
      <c r="R26" s="12">
        <v>406684.46456351998</v>
      </c>
      <c r="S26" s="12">
        <v>406684.46456351998</v>
      </c>
      <c r="T26" s="12">
        <v>406684.46456351998</v>
      </c>
      <c r="U26" s="12">
        <v>406684.46456351998</v>
      </c>
      <c r="V26" s="12">
        <v>406684.46456351998</v>
      </c>
      <c r="W26" s="12">
        <v>406684.46456351998</v>
      </c>
      <c r="X26" s="12">
        <v>406684.46456351998</v>
      </c>
      <c r="Y26" s="12">
        <v>406684.46456351998</v>
      </c>
      <c r="Z26" s="12">
        <v>406684.46456351998</v>
      </c>
      <c r="AA26" s="12">
        <v>406684.46456351998</v>
      </c>
      <c r="AB26" s="12">
        <v>406684.46456351998</v>
      </c>
      <c r="AC26" s="12">
        <v>406684.46456351998</v>
      </c>
      <c r="AD26" s="12">
        <v>406684.46456351998</v>
      </c>
      <c r="AE26" s="12">
        <v>406684.46456351998</v>
      </c>
      <c r="AF26" s="12">
        <v>406684.46456351998</v>
      </c>
      <c r="AG26" s="12">
        <v>406684.46456351998</v>
      </c>
      <c r="AH26" s="12">
        <v>406684.46456351998</v>
      </c>
      <c r="AI26" s="12">
        <v>406684.46456351998</v>
      </c>
      <c r="AJ26" s="12">
        <v>406684.46456351998</v>
      </c>
      <c r="AK26" s="12">
        <v>406684.46456351998</v>
      </c>
      <c r="AL26" s="12">
        <v>406684.46456351998</v>
      </c>
      <c r="AM26" s="12">
        <v>406684.46456351998</v>
      </c>
      <c r="AN26" s="12">
        <v>406684.46456351998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26064.223743999995</v>
      </c>
      <c r="F27" s="12">
        <v>26064.223743999995</v>
      </c>
      <c r="G27" s="12">
        <v>26064.223743999995</v>
      </c>
      <c r="H27" s="12">
        <v>26064.223743999995</v>
      </c>
      <c r="I27" s="12">
        <v>26064.223743999995</v>
      </c>
      <c r="J27" s="12">
        <v>26064.223743999995</v>
      </c>
      <c r="K27" s="12">
        <v>26064.223743999995</v>
      </c>
      <c r="L27" s="12">
        <v>26064.223743999995</v>
      </c>
      <c r="M27" s="12">
        <v>26064.223743999995</v>
      </c>
      <c r="N27" s="12">
        <v>26064.223743999995</v>
      </c>
      <c r="O27" s="12">
        <v>26064.223743999995</v>
      </c>
      <c r="P27" s="12">
        <v>26064.223743999995</v>
      </c>
      <c r="Q27" s="12">
        <v>26846.150456319996</v>
      </c>
      <c r="R27" s="12">
        <v>26846.150456319996</v>
      </c>
      <c r="S27" s="12">
        <v>26846.150456319996</v>
      </c>
      <c r="T27" s="12">
        <v>26846.150456319996</v>
      </c>
      <c r="U27" s="12">
        <v>26846.150456319996</v>
      </c>
      <c r="V27" s="12">
        <v>26846.150456319996</v>
      </c>
      <c r="W27" s="12">
        <v>26846.150456319996</v>
      </c>
      <c r="X27" s="12">
        <v>26846.150456319996</v>
      </c>
      <c r="Y27" s="12">
        <v>26846.150456319996</v>
      </c>
      <c r="Z27" s="12">
        <v>26846.150456319996</v>
      </c>
      <c r="AA27" s="12">
        <v>26846.150456319996</v>
      </c>
      <c r="AB27" s="12">
        <v>26846.150456319996</v>
      </c>
      <c r="AC27" s="12">
        <v>26846.150456319996</v>
      </c>
      <c r="AD27" s="12">
        <v>26846.150456319996</v>
      </c>
      <c r="AE27" s="12">
        <v>26846.150456319996</v>
      </c>
      <c r="AF27" s="12">
        <v>26846.150456319996</v>
      </c>
      <c r="AG27" s="12">
        <v>26846.150456319996</v>
      </c>
      <c r="AH27" s="12">
        <v>26846.150456319996</v>
      </c>
      <c r="AI27" s="12">
        <v>26846.150456319996</v>
      </c>
      <c r="AJ27" s="12">
        <v>26846.150456319996</v>
      </c>
      <c r="AK27" s="12">
        <v>26846.150456319996</v>
      </c>
      <c r="AL27" s="12">
        <v>26846.150456319996</v>
      </c>
      <c r="AM27" s="12">
        <v>26846.150456319996</v>
      </c>
      <c r="AN27" s="12">
        <v>26846.150456319996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107683.44163199999</v>
      </c>
      <c r="F28" s="12">
        <v>107683.44163199999</v>
      </c>
      <c r="G28" s="12">
        <v>107683.44163199999</v>
      </c>
      <c r="H28" s="12">
        <v>107683.44163199999</v>
      </c>
      <c r="I28" s="12">
        <v>107683.44163199999</v>
      </c>
      <c r="J28" s="12">
        <v>107683.44163199999</v>
      </c>
      <c r="K28" s="12">
        <v>107683.44163199999</v>
      </c>
      <c r="L28" s="12">
        <v>107683.44163199999</v>
      </c>
      <c r="M28" s="12">
        <v>107683.44163199999</v>
      </c>
      <c r="N28" s="12">
        <v>107683.44163199999</v>
      </c>
      <c r="O28" s="12">
        <v>107683.44163199999</v>
      </c>
      <c r="P28" s="12">
        <v>107683.44163199999</v>
      </c>
      <c r="Q28" s="12">
        <v>110913.94488096</v>
      </c>
      <c r="R28" s="12">
        <v>110913.94488096</v>
      </c>
      <c r="S28" s="12">
        <v>110913.94488096</v>
      </c>
      <c r="T28" s="12">
        <v>110913.94488096</v>
      </c>
      <c r="U28" s="12">
        <v>110913.94488096</v>
      </c>
      <c r="V28" s="12">
        <v>110913.94488096</v>
      </c>
      <c r="W28" s="12">
        <v>110913.94488096</v>
      </c>
      <c r="X28" s="12">
        <v>110913.94488096</v>
      </c>
      <c r="Y28" s="12">
        <v>110913.94488096</v>
      </c>
      <c r="Z28" s="12">
        <v>110913.94488096</v>
      </c>
      <c r="AA28" s="12">
        <v>110913.94488096</v>
      </c>
      <c r="AB28" s="12">
        <v>110913.94488096</v>
      </c>
      <c r="AC28" s="12">
        <v>110913.94488096</v>
      </c>
      <c r="AD28" s="12">
        <v>110913.94488096</v>
      </c>
      <c r="AE28" s="12">
        <v>110913.94488096</v>
      </c>
      <c r="AF28" s="12">
        <v>110913.94488096</v>
      </c>
      <c r="AG28" s="12">
        <v>110913.94488096</v>
      </c>
      <c r="AH28" s="12">
        <v>110913.94488096</v>
      </c>
      <c r="AI28" s="12">
        <v>110913.94488096</v>
      </c>
      <c r="AJ28" s="12">
        <v>110913.94488096</v>
      </c>
      <c r="AK28" s="12">
        <v>110913.94488096</v>
      </c>
      <c r="AL28" s="12">
        <v>110913.94488096</v>
      </c>
      <c r="AM28" s="12">
        <v>110913.94488096</v>
      </c>
      <c r="AN28" s="12">
        <v>110913.94488096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4517.5971359999994</v>
      </c>
      <c r="F29" s="12">
        <v>4517.5971359999994</v>
      </c>
      <c r="G29" s="12">
        <v>4517.5971359999994</v>
      </c>
      <c r="H29" s="12">
        <v>4517.5971359999994</v>
      </c>
      <c r="I29" s="12">
        <v>4517.5971359999994</v>
      </c>
      <c r="J29" s="12">
        <v>4517.5971359999994</v>
      </c>
      <c r="K29" s="12">
        <v>4517.5971359999994</v>
      </c>
      <c r="L29" s="12">
        <v>4517.5971359999994</v>
      </c>
      <c r="M29" s="12">
        <v>4517.5971359999994</v>
      </c>
      <c r="N29" s="12">
        <v>4517.5971359999994</v>
      </c>
      <c r="O29" s="12">
        <v>4517.5971359999994</v>
      </c>
      <c r="P29" s="12">
        <v>4517.5971359999994</v>
      </c>
      <c r="Q29" s="12">
        <v>4653.1250500800006</v>
      </c>
      <c r="R29" s="12">
        <v>4653.1250500800006</v>
      </c>
      <c r="S29" s="12">
        <v>4653.1250500800006</v>
      </c>
      <c r="T29" s="12">
        <v>4653.1250500800006</v>
      </c>
      <c r="U29" s="12">
        <v>4653.1250500800006</v>
      </c>
      <c r="V29" s="12">
        <v>4653.1250500800006</v>
      </c>
      <c r="W29" s="12">
        <v>4653.1250500800006</v>
      </c>
      <c r="X29" s="12">
        <v>4653.1250500800006</v>
      </c>
      <c r="Y29" s="12">
        <v>4653.1250500800006</v>
      </c>
      <c r="Z29" s="12">
        <v>4653.1250500800006</v>
      </c>
      <c r="AA29" s="12">
        <v>4653.1250500800006</v>
      </c>
      <c r="AB29" s="12">
        <v>4653.1250500800006</v>
      </c>
      <c r="AC29" s="12">
        <v>4653.1250500800006</v>
      </c>
      <c r="AD29" s="12">
        <v>4653.1250500800006</v>
      </c>
      <c r="AE29" s="12">
        <v>4653.1250500800006</v>
      </c>
      <c r="AF29" s="12">
        <v>4653.1250500800006</v>
      </c>
      <c r="AG29" s="12">
        <v>4653.1250500800006</v>
      </c>
      <c r="AH29" s="12">
        <v>4653.1250500800006</v>
      </c>
      <c r="AI29" s="12">
        <v>4653.1250500800006</v>
      </c>
      <c r="AJ29" s="12">
        <v>4653.1250500800006</v>
      </c>
      <c r="AK29" s="12">
        <v>4653.1250500800006</v>
      </c>
      <c r="AL29" s="12">
        <v>4653.1250500800006</v>
      </c>
      <c r="AM29" s="12">
        <v>4653.1250500800006</v>
      </c>
      <c r="AN29" s="12">
        <v>4653.1250500800006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10444.756607999998</v>
      </c>
      <c r="F30" s="12">
        <v>10444.756607999998</v>
      </c>
      <c r="G30" s="12">
        <v>10444.756607999998</v>
      </c>
      <c r="H30" s="12">
        <v>10444.756607999998</v>
      </c>
      <c r="I30" s="12">
        <v>10444.756607999998</v>
      </c>
      <c r="J30" s="12">
        <v>10444.756607999998</v>
      </c>
      <c r="K30" s="12">
        <v>10444.756607999998</v>
      </c>
      <c r="L30" s="12">
        <v>10444.756607999998</v>
      </c>
      <c r="M30" s="12">
        <v>10444.756607999998</v>
      </c>
      <c r="N30" s="12">
        <v>10444.756607999998</v>
      </c>
      <c r="O30" s="12">
        <v>10444.756607999998</v>
      </c>
      <c r="P30" s="12">
        <v>10444.756607999998</v>
      </c>
      <c r="Q30" s="12">
        <v>10758.099306239999</v>
      </c>
      <c r="R30" s="12">
        <v>10758.099306239999</v>
      </c>
      <c r="S30" s="12">
        <v>10758.099306239999</v>
      </c>
      <c r="T30" s="12">
        <v>10758.099306239999</v>
      </c>
      <c r="U30" s="12">
        <v>10758.099306239999</v>
      </c>
      <c r="V30" s="12">
        <v>10758.099306239999</v>
      </c>
      <c r="W30" s="12">
        <v>10758.099306239999</v>
      </c>
      <c r="X30" s="12">
        <v>10758.099306239999</v>
      </c>
      <c r="Y30" s="12">
        <v>10758.099306239999</v>
      </c>
      <c r="Z30" s="12">
        <v>10758.099306239999</v>
      </c>
      <c r="AA30" s="12">
        <v>10758.099306239999</v>
      </c>
      <c r="AB30" s="12">
        <v>10758.099306239999</v>
      </c>
      <c r="AC30" s="12">
        <v>10758.099306239999</v>
      </c>
      <c r="AD30" s="12">
        <v>10758.099306239999</v>
      </c>
      <c r="AE30" s="12">
        <v>10758.099306239999</v>
      </c>
      <c r="AF30" s="12">
        <v>10758.099306239999</v>
      </c>
      <c r="AG30" s="12">
        <v>10758.099306239999</v>
      </c>
      <c r="AH30" s="12">
        <v>10758.099306239999</v>
      </c>
      <c r="AI30" s="12">
        <v>10758.099306239999</v>
      </c>
      <c r="AJ30" s="12">
        <v>10758.099306239999</v>
      </c>
      <c r="AK30" s="12">
        <v>10758.099306239999</v>
      </c>
      <c r="AL30" s="12">
        <v>10758.099306239999</v>
      </c>
      <c r="AM30" s="12">
        <v>10758.099306239999</v>
      </c>
      <c r="AN30" s="12">
        <v>10758.099306239999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-68236.137644479997</v>
      </c>
      <c r="F35" s="12">
        <v>-68236.137644479997</v>
      </c>
      <c r="G35" s="12">
        <v>-68236.137644479997</v>
      </c>
      <c r="H35" s="12">
        <v>-68236.137644479997</v>
      </c>
      <c r="I35" s="12">
        <v>-68236.137644479997</v>
      </c>
      <c r="J35" s="12">
        <v>-68236.137644479997</v>
      </c>
      <c r="K35" s="12">
        <v>-68236.137644479997</v>
      </c>
      <c r="L35" s="12">
        <v>-68236.137644479997</v>
      </c>
      <c r="M35" s="12">
        <v>-68236.137644479997</v>
      </c>
      <c r="N35" s="12">
        <v>-68236.137644479997</v>
      </c>
      <c r="O35" s="12">
        <v>-68236.137644479997</v>
      </c>
      <c r="P35" s="12">
        <v>-68236.137644479997</v>
      </c>
      <c r="Q35" s="12">
        <v>-70283.221773814395</v>
      </c>
      <c r="R35" s="12">
        <v>-70283.221773814395</v>
      </c>
      <c r="S35" s="12">
        <v>-70283.221773814395</v>
      </c>
      <c r="T35" s="12">
        <v>-70283.221773814395</v>
      </c>
      <c r="U35" s="12">
        <v>-70283.221773814395</v>
      </c>
      <c r="V35" s="12">
        <v>-70283.221773814395</v>
      </c>
      <c r="W35" s="12">
        <v>-70283.221773814395</v>
      </c>
      <c r="X35" s="12">
        <v>-70283.221773814395</v>
      </c>
      <c r="Y35" s="12">
        <v>-70283.221773814395</v>
      </c>
      <c r="Z35" s="12">
        <v>-70283.221773814395</v>
      </c>
      <c r="AA35" s="12">
        <v>-70283.221773814395</v>
      </c>
      <c r="AB35" s="12">
        <v>-70283.221773814395</v>
      </c>
      <c r="AC35" s="12">
        <v>-70283.221773814395</v>
      </c>
      <c r="AD35" s="12">
        <v>-70283.221773814395</v>
      </c>
      <c r="AE35" s="12">
        <v>-70283.221773814395</v>
      </c>
      <c r="AF35" s="12">
        <v>-70283.221773814395</v>
      </c>
      <c r="AG35" s="12">
        <v>-70283.221773814395</v>
      </c>
      <c r="AH35" s="12">
        <v>-70283.221773814395</v>
      </c>
      <c r="AI35" s="12">
        <v>-70283.221773814395</v>
      </c>
      <c r="AJ35" s="12">
        <v>-70283.221773814395</v>
      </c>
      <c r="AK35" s="12">
        <v>-70283.221773814395</v>
      </c>
      <c r="AL35" s="12">
        <v>-70283.221773814395</v>
      </c>
      <c r="AM35" s="12">
        <v>-70283.221773814395</v>
      </c>
      <c r="AN35" s="12">
        <v>-70283.221773814395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474334.11898218666</v>
      </c>
      <c r="F37" s="13">
        <v>474334.11898218666</v>
      </c>
      <c r="G37" s="13">
        <v>474334.11898218666</v>
      </c>
      <c r="H37" s="13">
        <v>474334.11898218666</v>
      </c>
      <c r="I37" s="13">
        <v>474334.11898218666</v>
      </c>
      <c r="J37" s="13">
        <v>474334.11898218666</v>
      </c>
      <c r="K37" s="13">
        <v>474334.11898218666</v>
      </c>
      <c r="L37" s="13">
        <v>474334.11898218666</v>
      </c>
      <c r="M37" s="13">
        <v>474334.11898218666</v>
      </c>
      <c r="N37" s="13">
        <v>474334.11898218666</v>
      </c>
      <c r="O37" s="13">
        <v>474334.11898218666</v>
      </c>
      <c r="P37" s="13">
        <v>474334.11898218666</v>
      </c>
      <c r="Q37" s="13">
        <v>488564.14255165216</v>
      </c>
      <c r="R37" s="13">
        <v>488564.14255165216</v>
      </c>
      <c r="S37" s="13">
        <v>488564.14255165216</v>
      </c>
      <c r="T37" s="13">
        <v>488564.14255165216</v>
      </c>
      <c r="U37" s="13">
        <v>488564.14255165216</v>
      </c>
      <c r="V37" s="13">
        <v>488564.14255165216</v>
      </c>
      <c r="W37" s="13">
        <v>488564.14255165216</v>
      </c>
      <c r="X37" s="13">
        <v>488564.14255165216</v>
      </c>
      <c r="Y37" s="13">
        <v>488564.14255165216</v>
      </c>
      <c r="Z37" s="13">
        <v>488564.14255165216</v>
      </c>
      <c r="AA37" s="13">
        <v>488564.14255165216</v>
      </c>
      <c r="AB37" s="13">
        <v>488564.14255165216</v>
      </c>
      <c r="AC37" s="13">
        <v>488564.14255165216</v>
      </c>
      <c r="AD37" s="13">
        <v>488564.14255165216</v>
      </c>
      <c r="AE37" s="13">
        <v>488564.14255165216</v>
      </c>
      <c r="AF37" s="13">
        <v>488564.14255165216</v>
      </c>
      <c r="AG37" s="13">
        <v>488564.14255165216</v>
      </c>
      <c r="AH37" s="13">
        <v>488564.14255165216</v>
      </c>
      <c r="AI37" s="13">
        <v>488564.14255165216</v>
      </c>
      <c r="AJ37" s="13">
        <v>488564.14255165216</v>
      </c>
      <c r="AK37" s="13">
        <v>488564.14255165216</v>
      </c>
      <c r="AL37" s="13">
        <v>488564.14255165216</v>
      </c>
      <c r="AM37" s="13">
        <v>488564.14255165216</v>
      </c>
      <c r="AN37" s="13">
        <v>488564.14255165216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299707.31263827923</v>
      </c>
      <c r="F40" s="12">
        <v>299707.31263827923</v>
      </c>
      <c r="G40" s="12">
        <v>299707.31263827923</v>
      </c>
      <c r="H40" s="12">
        <v>299707.31263827923</v>
      </c>
      <c r="I40" s="12">
        <v>299707.31263827923</v>
      </c>
      <c r="J40" s="12">
        <v>299707.31263827923</v>
      </c>
      <c r="K40" s="12">
        <v>299707.31263827923</v>
      </c>
      <c r="L40" s="12">
        <v>299707.31263827923</v>
      </c>
      <c r="M40" s="12">
        <v>299707.31263827923</v>
      </c>
      <c r="N40" s="12">
        <v>299707.31263827923</v>
      </c>
      <c r="O40" s="12">
        <v>299707.31263827923</v>
      </c>
      <c r="P40" s="12">
        <v>299707.31263827923</v>
      </c>
      <c r="Q40" s="12">
        <v>329678.04390210717</v>
      </c>
      <c r="R40" s="12">
        <v>329678.04390210717</v>
      </c>
      <c r="S40" s="12">
        <v>329678.04390210717</v>
      </c>
      <c r="T40" s="12">
        <v>329678.04390210717</v>
      </c>
      <c r="U40" s="12">
        <v>329678.04390210717</v>
      </c>
      <c r="V40" s="12">
        <v>329678.04390210717</v>
      </c>
      <c r="W40" s="12">
        <v>329678.04390210717</v>
      </c>
      <c r="X40" s="12">
        <v>329678.04390210717</v>
      </c>
      <c r="Y40" s="12">
        <v>329678.04390210717</v>
      </c>
      <c r="Z40" s="12">
        <v>329678.04390210717</v>
      </c>
      <c r="AA40" s="12">
        <v>329678.04390210717</v>
      </c>
      <c r="AB40" s="12">
        <v>329678.04390210717</v>
      </c>
      <c r="AC40" s="12">
        <v>362645.84829231794</v>
      </c>
      <c r="AD40" s="12">
        <v>362645.84829231794</v>
      </c>
      <c r="AE40" s="12">
        <v>362645.84829231794</v>
      </c>
      <c r="AF40" s="12">
        <v>362645.84829231794</v>
      </c>
      <c r="AG40" s="12">
        <v>362645.84829231794</v>
      </c>
      <c r="AH40" s="12">
        <v>362645.84829231794</v>
      </c>
      <c r="AI40" s="12">
        <v>362645.84829231794</v>
      </c>
      <c r="AJ40" s="12">
        <v>362645.84829231794</v>
      </c>
      <c r="AK40" s="12">
        <v>362645.84829231794</v>
      </c>
      <c r="AL40" s="12">
        <v>362645.84829231794</v>
      </c>
      <c r="AM40" s="12">
        <v>362645.84829231794</v>
      </c>
      <c r="AN40" s="12">
        <v>362645.84829231794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14292.37</v>
      </c>
      <c r="F42" s="12">
        <v>14292.37</v>
      </c>
      <c r="G42" s="12">
        <v>14292.37</v>
      </c>
      <c r="H42" s="12">
        <v>14292.37</v>
      </c>
      <c r="I42" s="12">
        <v>14292.37</v>
      </c>
      <c r="J42" s="12">
        <v>14292.37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4200</v>
      </c>
      <c r="F43" s="12">
        <v>4200</v>
      </c>
      <c r="G43" s="12">
        <v>4200</v>
      </c>
      <c r="H43" s="12">
        <v>4200</v>
      </c>
      <c r="I43" s="12">
        <v>4200</v>
      </c>
      <c r="J43" s="12">
        <v>4200</v>
      </c>
      <c r="K43" s="12">
        <v>4200</v>
      </c>
      <c r="L43" s="12">
        <v>4200</v>
      </c>
      <c r="M43" s="12">
        <v>4200</v>
      </c>
      <c r="N43" s="12">
        <v>4200</v>
      </c>
      <c r="O43" s="12">
        <v>4200</v>
      </c>
      <c r="P43" s="12">
        <v>4200</v>
      </c>
      <c r="Q43" s="12">
        <v>4368</v>
      </c>
      <c r="R43" s="12">
        <v>4368</v>
      </c>
      <c r="S43" s="12">
        <v>4368</v>
      </c>
      <c r="T43" s="12">
        <v>4368</v>
      </c>
      <c r="U43" s="12">
        <v>4368</v>
      </c>
      <c r="V43" s="12">
        <v>4368</v>
      </c>
      <c r="W43" s="12">
        <v>4368</v>
      </c>
      <c r="X43" s="12">
        <v>4368</v>
      </c>
      <c r="Y43" s="12">
        <v>4368</v>
      </c>
      <c r="Z43" s="12">
        <v>4368</v>
      </c>
      <c r="AA43" s="12">
        <v>4368</v>
      </c>
      <c r="AB43" s="12">
        <v>4368</v>
      </c>
      <c r="AC43" s="12">
        <v>4542.72</v>
      </c>
      <c r="AD43" s="12">
        <v>4542.72</v>
      </c>
      <c r="AE43" s="12">
        <v>4542.72</v>
      </c>
      <c r="AF43" s="12">
        <v>4542.72</v>
      </c>
      <c r="AG43" s="12">
        <v>4542.72</v>
      </c>
      <c r="AH43" s="12">
        <v>4542.72</v>
      </c>
      <c r="AI43" s="12">
        <v>4542.72</v>
      </c>
      <c r="AJ43" s="12">
        <v>4542.72</v>
      </c>
      <c r="AK43" s="12">
        <v>4542.72</v>
      </c>
      <c r="AL43" s="12">
        <v>4542.72</v>
      </c>
      <c r="AM43" s="12">
        <v>4542.72</v>
      </c>
      <c r="AN43" s="12">
        <v>4542.72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1384.8234</v>
      </c>
      <c r="F44" s="12">
        <v>1384.8234</v>
      </c>
      <c r="G44" s="12">
        <v>1384.8234</v>
      </c>
      <c r="H44" s="12">
        <v>1384.8234</v>
      </c>
      <c r="I44" s="12">
        <v>1384.8234</v>
      </c>
      <c r="J44" s="12">
        <v>1384.8234</v>
      </c>
      <c r="K44" s="12">
        <v>1384.8234</v>
      </c>
      <c r="L44" s="12">
        <v>1384.8234</v>
      </c>
      <c r="M44" s="12">
        <v>1384.8234</v>
      </c>
      <c r="N44" s="12">
        <v>1384.8234</v>
      </c>
      <c r="O44" s="12">
        <v>1384.8234</v>
      </c>
      <c r="P44" s="12">
        <v>1384.8234</v>
      </c>
      <c r="Q44" s="12">
        <v>1440.2163360000002</v>
      </c>
      <c r="R44" s="12">
        <v>1440.2163360000002</v>
      </c>
      <c r="S44" s="12">
        <v>1440.2163360000002</v>
      </c>
      <c r="T44" s="12">
        <v>1440.2163360000002</v>
      </c>
      <c r="U44" s="12">
        <v>1440.2163360000002</v>
      </c>
      <c r="V44" s="12">
        <v>1440.2163360000002</v>
      </c>
      <c r="W44" s="12">
        <v>1440.2163360000002</v>
      </c>
      <c r="X44" s="12">
        <v>1440.2163360000002</v>
      </c>
      <c r="Y44" s="12">
        <v>1440.2163360000002</v>
      </c>
      <c r="Z44" s="12">
        <v>1440.2163360000002</v>
      </c>
      <c r="AA44" s="12">
        <v>1440.2163360000002</v>
      </c>
      <c r="AB44" s="12">
        <v>1440.2163360000002</v>
      </c>
      <c r="AC44" s="12">
        <v>1497.8249894400003</v>
      </c>
      <c r="AD44" s="12">
        <v>1497.8249894400003</v>
      </c>
      <c r="AE44" s="12">
        <v>1497.8249894400003</v>
      </c>
      <c r="AF44" s="12">
        <v>1497.8249894400003</v>
      </c>
      <c r="AG44" s="12">
        <v>1497.8249894400003</v>
      </c>
      <c r="AH44" s="12">
        <v>1497.8249894400003</v>
      </c>
      <c r="AI44" s="12">
        <v>1497.8249894400003</v>
      </c>
      <c r="AJ44" s="12">
        <v>1497.8249894400003</v>
      </c>
      <c r="AK44" s="12">
        <v>1497.8249894400003</v>
      </c>
      <c r="AL44" s="12">
        <v>1497.8249894400003</v>
      </c>
      <c r="AM44" s="12">
        <v>1497.8249894400003</v>
      </c>
      <c r="AN44" s="12">
        <v>1497.8249894400003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17140</v>
      </c>
      <c r="F46" s="12">
        <v>17140</v>
      </c>
      <c r="G46" s="12">
        <v>17140</v>
      </c>
      <c r="H46" s="12">
        <v>17140</v>
      </c>
      <c r="I46" s="12">
        <v>17140</v>
      </c>
      <c r="J46" s="12">
        <v>17140</v>
      </c>
      <c r="K46" s="12">
        <v>17140</v>
      </c>
      <c r="L46" s="12">
        <v>17140</v>
      </c>
      <c r="M46" s="12">
        <v>17140</v>
      </c>
      <c r="N46" s="12">
        <v>17140</v>
      </c>
      <c r="O46" s="12">
        <v>17140</v>
      </c>
      <c r="P46" s="12">
        <v>17140</v>
      </c>
      <c r="Q46" s="12">
        <v>17482.800000000003</v>
      </c>
      <c r="R46" s="12">
        <v>17482.800000000003</v>
      </c>
      <c r="S46" s="12">
        <v>17482.800000000003</v>
      </c>
      <c r="T46" s="12">
        <v>17482.800000000003</v>
      </c>
      <c r="U46" s="12">
        <v>17482.800000000003</v>
      </c>
      <c r="V46" s="12">
        <v>17482.800000000003</v>
      </c>
      <c r="W46" s="12">
        <v>17482.800000000003</v>
      </c>
      <c r="X46" s="12">
        <v>17482.800000000003</v>
      </c>
      <c r="Y46" s="12">
        <v>17482.800000000003</v>
      </c>
      <c r="Z46" s="12">
        <v>17482.800000000003</v>
      </c>
      <c r="AA46" s="12">
        <v>17482.800000000003</v>
      </c>
      <c r="AB46" s="12">
        <v>17482.800000000003</v>
      </c>
      <c r="AC46" s="12">
        <v>17832.456000000002</v>
      </c>
      <c r="AD46" s="12">
        <v>17832.456000000002</v>
      </c>
      <c r="AE46" s="12">
        <v>17832.456000000002</v>
      </c>
      <c r="AF46" s="12">
        <v>17832.456000000002</v>
      </c>
      <c r="AG46" s="12">
        <v>17832.456000000002</v>
      </c>
      <c r="AH46" s="12">
        <v>17832.456000000002</v>
      </c>
      <c r="AI46" s="12">
        <v>17832.456000000002</v>
      </c>
      <c r="AJ46" s="12">
        <v>17832.456000000002</v>
      </c>
      <c r="AK46" s="12">
        <v>17832.456000000002</v>
      </c>
      <c r="AL46" s="12">
        <v>17832.456000000002</v>
      </c>
      <c r="AM46" s="12">
        <v>17832.456000000002</v>
      </c>
      <c r="AN46" s="12">
        <v>17832.456000000002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110087.22763109535</v>
      </c>
      <c r="F49" s="12">
        <f>'Corp.'!F$50*(F$37-(F31-F32-F34)*$C$35)/(SUM('MDA1:NCA9'!F$37)-SUM('MDA1:NCA9'!F$31)-SUM('MDA1:NCA9'!F$32)-SUM('MDA1:NCA9'!F$34))</f>
        <v>103497.25830478765</v>
      </c>
      <c r="G49" s="12">
        <f>'Corp.'!G$50*(G$37-(G31-G32-G34)*$C$35)/(SUM('MDA1:NCA9'!G$37)-SUM('MDA1:NCA9'!G$31)-SUM('MDA1:NCA9'!G$32)-SUM('MDA1:NCA9'!G$34))</f>
        <v>94348.071301748263</v>
      </c>
      <c r="H49" s="12">
        <f>'Corp.'!H$50*(H$37-(H31-H32-H34)*$C$35)/(SUM('MDA1:NCA9'!H$37)-SUM('MDA1:NCA9'!H$31)-SUM('MDA1:NCA9'!H$32)-SUM('MDA1:NCA9'!H$34))</f>
        <v>86440.409529036973</v>
      </c>
      <c r="I49" s="12">
        <f>'Corp.'!I$50*(I$37-(I31-I32-I34)*$C$35)/(SUM('MDA1:NCA9'!I$37)-SUM('MDA1:NCA9'!I$31)-SUM('MDA1:NCA9'!I$32)-SUM('MDA1:NCA9'!I$34))</f>
        <v>81477.636599430305</v>
      </c>
      <c r="J49" s="12">
        <f>'Corp.'!J$50*(J$37-(J31-J32-J34)*$C$35)/(SUM('MDA1:NCA9'!J$37)-SUM('MDA1:NCA9'!J$31)-SUM('MDA1:NCA9'!J$32)-SUM('MDA1:NCA9'!J$34))</f>
        <v>76310.414152470941</v>
      </c>
      <c r="K49" s="12">
        <f>'Corp.'!K$50*(K$37-(K31-K32-K34)*$C$35)/(SUM('MDA1:NCA9'!K$37)-SUM('MDA1:NCA9'!K$31)-SUM('MDA1:NCA9'!K$32)-SUM('MDA1:NCA9'!K$34))</f>
        <v>70271.002154950125</v>
      </c>
      <c r="L49" s="12">
        <f>'Corp.'!L$50*(L$37-(L31-L32-L34)*$C$35)/(SUM('MDA1:NCA9'!L$37)-SUM('MDA1:NCA9'!L$31)-SUM('MDA1:NCA9'!L$32)-SUM('MDA1:NCA9'!L$34))</f>
        <v>66515.399776425766</v>
      </c>
      <c r="M49" s="12">
        <f>'Corp.'!M$50*(M$37-(M31-M32-M34)*$C$35)/(SUM('MDA1:NCA9'!M$37)-SUM('MDA1:NCA9'!M$31)-SUM('MDA1:NCA9'!M$32)-SUM('MDA1:NCA9'!M$34))</f>
        <v>62474.826116004573</v>
      </c>
      <c r="N49" s="12">
        <f>'Corp.'!N$50*(N$37-(N31-N32-N34)*$C$35)/(SUM('MDA1:NCA9'!N$37)-SUM('MDA1:NCA9'!N$31)-SUM('MDA1:NCA9'!N$32)-SUM('MDA1:NCA9'!N$34))</f>
        <v>59007.191287672962</v>
      </c>
      <c r="O49" s="12">
        <f>'Corp.'!O$50*(O$37-(O31-O32-O34)*$C$35)/(SUM('MDA1:NCA9'!O$37)-SUM('MDA1:NCA9'!O$31)-SUM('MDA1:NCA9'!O$32)-SUM('MDA1:NCA9'!O$34))</f>
        <v>55369.180882155713</v>
      </c>
      <c r="P49" s="12">
        <f>'Corp.'!P$50*(P$37-(P31-P32-P34)*$C$35)/(SUM('MDA1:NCA9'!P$37)-SUM('MDA1:NCA9'!P$31)-SUM('MDA1:NCA9'!P$32)-SUM('MDA1:NCA9'!P$34))</f>
        <v>52389.058784784436</v>
      </c>
      <c r="Q49" s="12">
        <f>'Corp.'!Q$50*(Q$37-(Q31-Q32-Q34)*$C$35)/(SUM('MDA1:NCA9'!Q$37)-SUM('MDA1:NCA9'!Q$31)-SUM('MDA1:NCA9'!Q$32)-SUM('MDA1:NCA9'!Q$34))</f>
        <v>54760.284678816432</v>
      </c>
      <c r="R49" s="12">
        <f>'Corp.'!R$50*(R$37-(R31-R32-R34)*$C$35)/(SUM('MDA1:NCA9'!R$37)-SUM('MDA1:NCA9'!R$31)-SUM('MDA1:NCA9'!R$32)-SUM('MDA1:NCA9'!R$34))</f>
        <v>52790.901083827324</v>
      </c>
      <c r="S49" s="12">
        <f>'Corp.'!S$50*(S$37-(S31-S32-S34)*$C$35)/(SUM('MDA1:NCA9'!S$37)-SUM('MDA1:NCA9'!S$31)-SUM('MDA1:NCA9'!S$32)-SUM('MDA1:NCA9'!S$34))</f>
        <v>50610.863351083193</v>
      </c>
      <c r="T49" s="12">
        <f>'Corp.'!T$50*(T$37-(T31-T32-T34)*$C$35)/(SUM('MDA1:NCA9'!T$37)-SUM('MDA1:NCA9'!T$31)-SUM('MDA1:NCA9'!T$32)-SUM('MDA1:NCA9'!T$34))</f>
        <v>48772.629454475951</v>
      </c>
      <c r="U49" s="12">
        <f>'Corp.'!U$50*(U$37-(U31-U32-U34)*$C$35)/(SUM('MDA1:NCA9'!U$37)-SUM('MDA1:NCA9'!U$31)-SUM('MDA1:NCA9'!U$32)-SUM('MDA1:NCA9'!U$34))</f>
        <v>47518.260673858204</v>
      </c>
      <c r="V49" s="12">
        <f>'Corp.'!V$50*(V$37-(V31-V32-V34)*$C$35)/(SUM('MDA1:NCA9'!V$37)-SUM('MDA1:NCA9'!V$31)-SUM('MDA1:NCA9'!V$32)-SUM('MDA1:NCA9'!V$34))</f>
        <v>46500.301875850273</v>
      </c>
      <c r="W49" s="12">
        <f>'Corp.'!W$50*(W$37-(W31-W32-W34)*$C$35)/(SUM('MDA1:NCA9'!W$37)-SUM('MDA1:NCA9'!W$31)-SUM('MDA1:NCA9'!W$32)-SUM('MDA1:NCA9'!W$34))</f>
        <v>45161.945377734875</v>
      </c>
      <c r="X49" s="12">
        <f>'Corp.'!X$50*(X$37-(X31-X32-X34)*$C$35)/(SUM('MDA1:NCA9'!X$37)-SUM('MDA1:NCA9'!X$31)-SUM('MDA1:NCA9'!X$32)-SUM('MDA1:NCA9'!X$34))</f>
        <v>43819.675612549006</v>
      </c>
      <c r="Y49" s="12">
        <f>'Corp.'!Y$50*(Y$37-(Y31-Y32-Y34)*$C$35)/(SUM('MDA1:NCA9'!Y$37)-SUM('MDA1:NCA9'!Y$31)-SUM('MDA1:NCA9'!Y$32)-SUM('MDA1:NCA9'!Y$34))</f>
        <v>42949.966824981828</v>
      </c>
      <c r="Z49" s="12">
        <f>'Corp.'!Z$50*(Z$37-(Z31-Z32-Z34)*$C$35)/(SUM('MDA1:NCA9'!Z$37)-SUM('MDA1:NCA9'!Z$31)-SUM('MDA1:NCA9'!Z$32)-SUM('MDA1:NCA9'!Z$34))</f>
        <v>42079.77660355148</v>
      </c>
      <c r="AA49" s="12">
        <f>'Corp.'!AA$50*(AA$37-(AA31-AA32-AA34)*$C$35)/(SUM('MDA1:NCA9'!AA$37)-SUM('MDA1:NCA9'!AA$31)-SUM('MDA1:NCA9'!AA$32)-SUM('MDA1:NCA9'!AA$34))</f>
        <v>41177.280443003991</v>
      </c>
      <c r="AB49" s="12">
        <f>'Corp.'!AB$50*(AB$37-(AB31-AB32-AB34)*$C$35)/(SUM('MDA1:NCA9'!AB$37)-SUM('MDA1:NCA9'!AB$31)-SUM('MDA1:NCA9'!AB$32)-SUM('MDA1:NCA9'!AB$34))</f>
        <v>40295.141613258224</v>
      </c>
      <c r="AC49" s="12">
        <f>'Corp.'!AC$50*(AC$37-(AC31-AC32-AC34)*$C$35)/(SUM('MDA1:NCA9'!AC$37)-SUM('MDA1:NCA9'!AC$31)-SUM('MDA1:NCA9'!AC$32)-SUM('MDA1:NCA9'!AC$34))</f>
        <v>43604.897316900518</v>
      </c>
      <c r="AD49" s="12">
        <f>'Corp.'!AD$50*(AD$37-(AD31-AD32-AD34)*$C$35)/(SUM('MDA1:NCA9'!AD$37)-SUM('MDA1:NCA9'!AD$31)-SUM('MDA1:NCA9'!AD$32)-SUM('MDA1:NCA9'!AD$34))</f>
        <v>42935.384059750162</v>
      </c>
      <c r="AE49" s="12">
        <f>'Corp.'!AE$50*(AE$37-(AE31-AE32-AE34)*$C$35)/(SUM('MDA1:NCA9'!AE$37)-SUM('MDA1:NCA9'!AE$31)-SUM('MDA1:NCA9'!AE$32)-SUM('MDA1:NCA9'!AE$34))</f>
        <v>42301.546571902014</v>
      </c>
      <c r="AF49" s="12">
        <f>'Corp.'!AF$50*(AF$37-(AF31-AF32-AF34)*$C$35)/(SUM('MDA1:NCA9'!AF$37)-SUM('MDA1:NCA9'!AF$31)-SUM('MDA1:NCA9'!AF$32)-SUM('MDA1:NCA9'!AF$34))</f>
        <v>41705.511228888725</v>
      </c>
      <c r="AG49" s="12">
        <f>'Corp.'!AG$50*(AG$37-(AG31-AG32-AG34)*$C$35)/(SUM('MDA1:NCA9'!AG$37)-SUM('MDA1:NCA9'!AG$31)-SUM('MDA1:NCA9'!AG$32)-SUM('MDA1:NCA9'!AG$34))</f>
        <v>41230.854278270526</v>
      </c>
      <c r="AH49" s="12">
        <f>'Corp.'!AH$50*(AH$37-(AH31-AH32-AH34)*$C$35)/(SUM('MDA1:NCA9'!AH$37)-SUM('MDA1:NCA9'!AH$31)-SUM('MDA1:NCA9'!AH$32)-SUM('MDA1:NCA9'!AH$34))</f>
        <v>40601.578390408293</v>
      </c>
      <c r="AI49" s="12">
        <f>'Corp.'!AI$50*(AI$37-(AI31-AI32-AI34)*$C$35)/(SUM('MDA1:NCA9'!AI$37)-SUM('MDA1:NCA9'!AI$31)-SUM('MDA1:NCA9'!AI$32)-SUM('MDA1:NCA9'!AI$34))</f>
        <v>39949.16753700361</v>
      </c>
      <c r="AJ49" s="12">
        <f>'Corp.'!AJ$50*(AJ$37-(AJ31-AJ32-AJ34)*$C$35)/(SUM('MDA1:NCA9'!AJ$37)-SUM('MDA1:NCA9'!AJ$31)-SUM('MDA1:NCA9'!AJ$32)-SUM('MDA1:NCA9'!AJ$34))</f>
        <v>39275.665331427961</v>
      </c>
      <c r="AK49" s="12">
        <f>'Corp.'!AK$50*(AK$37-(AK31-AK32-AK34)*$C$35)/(SUM('MDA1:NCA9'!AK$37)-SUM('MDA1:NCA9'!AK$31)-SUM('MDA1:NCA9'!AK$32)-SUM('MDA1:NCA9'!AK$34))</f>
        <v>38653.553043599808</v>
      </c>
      <c r="AL49" s="12">
        <f>'Corp.'!AL$50*(AL$37-(AL31-AL32-AL34)*$C$35)/(SUM('MDA1:NCA9'!AL$37)-SUM('MDA1:NCA9'!AL$31)-SUM('MDA1:NCA9'!AL$32)-SUM('MDA1:NCA9'!AL$34))</f>
        <v>38081.707155269534</v>
      </c>
      <c r="AM49" s="12">
        <f>'Corp.'!AM$50*(AM$37-(AM31-AM32-AM34)*$C$35)/(SUM('MDA1:NCA9'!AM$37)-SUM('MDA1:NCA9'!AM$31)-SUM('MDA1:NCA9'!AM$32)-SUM('MDA1:NCA9'!AM$34))</f>
        <v>37465.137936520645</v>
      </c>
      <c r="AN49" s="12">
        <f>'Corp.'!AN$50*(AN$37-(AN31-AN32-AN34)*$C$35)/(SUM('MDA1:NCA9'!AN$37)-SUM('MDA1:NCA9'!AN$31)-SUM('MDA1:NCA9'!AN$32)-SUM('MDA1:NCA9'!AN$34))</f>
        <v>36940.37694874662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_xlfn.BYCOL(_xlfn.VSTACK(_xlfn.ANCHORARRAY(E40),_xlfn.ANCHORARRAY(E42),_xlfn.ANCHORARRAY(E43),_xlfn.ANCHORARRAY(E44),_xlfn.ANCHORARRAY(E45),_xlfn.ANCHORARRAY(E46),_xlfn.ANCHORARRAY(E47),_xlfn.ANCHORARRAY(E48),_xlfn.HSTACK(E49:AN49)),_xlfn.LAMBDA(_xlpm.a,SUM(_xlpm.a)))</f>
        <v>455511.73366937455</v>
      </c>
      <c r="F50" s="13">
        <v>448921.76434306684</v>
      </c>
      <c r="G50" s="13">
        <v>439772.57734002749</v>
      </c>
      <c r="H50" s="13">
        <v>431864.91556731617</v>
      </c>
      <c r="I50" s="13">
        <v>426902.1426377095</v>
      </c>
      <c r="J50" s="13">
        <v>421734.92019075016</v>
      </c>
      <c r="K50" s="13">
        <v>415695.50819322933</v>
      </c>
      <c r="L50" s="13">
        <v>411939.90581470495</v>
      </c>
      <c r="M50" s="13">
        <v>407899.33215428377</v>
      </c>
      <c r="N50" s="13">
        <v>404431.69732595218</v>
      </c>
      <c r="O50" s="13">
        <v>400793.68692043494</v>
      </c>
      <c r="P50" s="13">
        <v>397813.56482306367</v>
      </c>
      <c r="Q50" s="13">
        <v>431457.98601692362</v>
      </c>
      <c r="R50" s="13">
        <v>429488.60242193448</v>
      </c>
      <c r="S50" s="13">
        <v>427308.56468919036</v>
      </c>
      <c r="T50" s="13">
        <v>425470.33079258312</v>
      </c>
      <c r="U50" s="13">
        <v>424215.9620119654</v>
      </c>
      <c r="V50" s="13">
        <v>423198.00321395742</v>
      </c>
      <c r="W50" s="13">
        <v>421859.64671584207</v>
      </c>
      <c r="X50" s="13">
        <v>420517.37695065618</v>
      </c>
      <c r="Y50" s="13">
        <v>419647.66816308902</v>
      </c>
      <c r="Z50" s="13">
        <v>418777.47794165864</v>
      </c>
      <c r="AA50" s="13">
        <v>417874.98178111116</v>
      </c>
      <c r="AB50" s="13">
        <v>416992.8429513654</v>
      </c>
      <c r="AC50" s="13">
        <v>454614.34693165845</v>
      </c>
      <c r="AD50" s="13">
        <v>453944.83367450809</v>
      </c>
      <c r="AE50" s="13">
        <v>453310.9961866599</v>
      </c>
      <c r="AF50" s="13">
        <v>452714.96084364661</v>
      </c>
      <c r="AG50" s="13">
        <v>452240.30389302841</v>
      </c>
      <c r="AH50" s="13">
        <v>451611.02800516621</v>
      </c>
      <c r="AI50" s="13">
        <v>450958.61715176154</v>
      </c>
      <c r="AJ50" s="13">
        <v>450285.11494618584</v>
      </c>
      <c r="AK50" s="13">
        <v>449663.00265835773</v>
      </c>
      <c r="AL50" s="13">
        <v>449091.15677002742</v>
      </c>
      <c r="AM50" s="13">
        <v>448474.58755127853</v>
      </c>
      <c r="AN50" s="13">
        <v>447949.82656350452</v>
      </c>
    </row>
    <row r="51" spans="2:40" x14ac:dyDescent="0.25">
      <c r="C51" s="63"/>
    </row>
    <row r="52" spans="2:40" x14ac:dyDescent="0.25">
      <c r="B52" s="1" t="s">
        <v>50</v>
      </c>
      <c r="E52" s="74">
        <f>E37-E50</f>
        <v>18822.385312812112</v>
      </c>
      <c r="F52" s="74">
        <f t="shared" ref="F52:AN52" si="0">F37-F50</f>
        <v>25412.354639119818</v>
      </c>
      <c r="G52" s="74">
        <f t="shared" si="0"/>
        <v>34561.541642159165</v>
      </c>
      <c r="H52" s="74">
        <f t="shared" si="0"/>
        <v>42469.203414870484</v>
      </c>
      <c r="I52" s="74">
        <f t="shared" si="0"/>
        <v>47431.976344477152</v>
      </c>
      <c r="J52" s="74">
        <f t="shared" si="0"/>
        <v>52599.198791436502</v>
      </c>
      <c r="K52" s="74">
        <f t="shared" si="0"/>
        <v>58638.610788957332</v>
      </c>
      <c r="L52" s="74">
        <f t="shared" si="0"/>
        <v>62394.213167481706</v>
      </c>
      <c r="M52" s="74">
        <f t="shared" si="0"/>
        <v>66434.786827902892</v>
      </c>
      <c r="N52" s="74">
        <f t="shared" si="0"/>
        <v>69902.421656234481</v>
      </c>
      <c r="O52" s="74">
        <f t="shared" si="0"/>
        <v>73540.432061751722</v>
      </c>
      <c r="P52" s="74">
        <f t="shared" si="0"/>
        <v>76520.554159122985</v>
      </c>
      <c r="Q52" s="74">
        <f t="shared" si="0"/>
        <v>57106.156534728536</v>
      </c>
      <c r="R52" s="74">
        <f t="shared" si="0"/>
        <v>59075.540129717672</v>
      </c>
      <c r="S52" s="74">
        <f t="shared" si="0"/>
        <v>61255.577862461796</v>
      </c>
      <c r="T52" s="74">
        <f t="shared" si="0"/>
        <v>63093.811759069038</v>
      </c>
      <c r="U52" s="74">
        <f t="shared" si="0"/>
        <v>64348.180539686757</v>
      </c>
      <c r="V52" s="74">
        <f t="shared" si="0"/>
        <v>65366.139337694738</v>
      </c>
      <c r="W52" s="74">
        <f t="shared" si="0"/>
        <v>66704.495835810085</v>
      </c>
      <c r="X52" s="74">
        <f t="shared" si="0"/>
        <v>68046.765600995976</v>
      </c>
      <c r="Y52" s="74">
        <f t="shared" si="0"/>
        <v>68916.474388563132</v>
      </c>
      <c r="Z52" s="74">
        <f t="shared" si="0"/>
        <v>69786.664609993517</v>
      </c>
      <c r="AA52" s="74">
        <f t="shared" si="0"/>
        <v>70689.160770540999</v>
      </c>
      <c r="AB52" s="74">
        <f t="shared" si="0"/>
        <v>71571.299600286759</v>
      </c>
      <c r="AC52" s="74">
        <f t="shared" si="0"/>
        <v>33949.795619993703</v>
      </c>
      <c r="AD52" s="74">
        <f t="shared" si="0"/>
        <v>34619.308877144067</v>
      </c>
      <c r="AE52" s="74">
        <f t="shared" si="0"/>
        <v>35253.146364992252</v>
      </c>
      <c r="AF52" s="74">
        <f t="shared" si="0"/>
        <v>35849.181708005548</v>
      </c>
      <c r="AG52" s="74">
        <f t="shared" si="0"/>
        <v>36323.838658623747</v>
      </c>
      <c r="AH52" s="74">
        <f t="shared" si="0"/>
        <v>36953.114546485944</v>
      </c>
      <c r="AI52" s="74">
        <f t="shared" si="0"/>
        <v>37605.525399890612</v>
      </c>
      <c r="AJ52" s="74">
        <f t="shared" si="0"/>
        <v>38279.027605466312</v>
      </c>
      <c r="AK52" s="74">
        <f t="shared" si="0"/>
        <v>38901.139893294428</v>
      </c>
      <c r="AL52" s="74">
        <f t="shared" si="0"/>
        <v>39472.985781624739</v>
      </c>
      <c r="AM52" s="74">
        <f t="shared" si="0"/>
        <v>40089.555000373628</v>
      </c>
      <c r="AN52" s="74">
        <f t="shared" si="0"/>
        <v>40614.315988147631</v>
      </c>
    </row>
    <row r="53" spans="2:40" x14ac:dyDescent="0.25">
      <c r="C53" s="63"/>
      <c r="E53" s="107">
        <f>IFERROR(E52/E37,"")</f>
        <v>3.9681702326623013E-2</v>
      </c>
      <c r="F53" s="107">
        <f t="shared" ref="F53:AN53" si="1">IFERROR(F52/F37,"")</f>
        <v>5.3574798063544239E-2</v>
      </c>
      <c r="G53" s="107">
        <f t="shared" si="1"/>
        <v>7.2863284041890949E-2</v>
      </c>
      <c r="H53" s="107">
        <f t="shared" si="1"/>
        <v>8.9534363469361541E-2</v>
      </c>
      <c r="I53" s="107">
        <f t="shared" si="1"/>
        <v>9.9996973538937925E-2</v>
      </c>
      <c r="J53" s="107">
        <f t="shared" si="1"/>
        <v>0.11089060787847697</v>
      </c>
      <c r="K53" s="107">
        <f t="shared" si="1"/>
        <v>0.12362300842870523</v>
      </c>
      <c r="L53" s="107">
        <f t="shared" si="1"/>
        <v>0.13154063912030095</v>
      </c>
      <c r="M53" s="107">
        <f t="shared" si="1"/>
        <v>0.14005905156149606</v>
      </c>
      <c r="N53" s="107">
        <f t="shared" si="1"/>
        <v>0.1473695837150176</v>
      </c>
      <c r="O53" s="107">
        <f t="shared" si="1"/>
        <v>0.1550393048249466</v>
      </c>
      <c r="P53" s="107">
        <f t="shared" si="1"/>
        <v>0.16132205358391408</v>
      </c>
      <c r="Q53" s="107">
        <f t="shared" si="1"/>
        <v>0.11688568922900669</v>
      </c>
      <c r="R53" s="107">
        <f t="shared" si="1"/>
        <v>0.1209166514373741</v>
      </c>
      <c r="S53" s="107">
        <f t="shared" si="1"/>
        <v>0.12537878351558662</v>
      </c>
      <c r="T53" s="107">
        <f t="shared" si="1"/>
        <v>0.12914130666557996</v>
      </c>
      <c r="U53" s="107">
        <f t="shared" si="1"/>
        <v>0.13170876643466259</v>
      </c>
      <c r="V53" s="107">
        <f t="shared" si="1"/>
        <v>0.1337923389062145</v>
      </c>
      <c r="W53" s="107">
        <f t="shared" si="1"/>
        <v>0.13653170592387043</v>
      </c>
      <c r="X53" s="107">
        <f t="shared" si="1"/>
        <v>0.13927908267193781</v>
      </c>
      <c r="Y53" s="107">
        <f t="shared" si="1"/>
        <v>0.14105921492442955</v>
      </c>
      <c r="Z53" s="107">
        <f t="shared" si="1"/>
        <v>0.14284033258256465</v>
      </c>
      <c r="AA53" s="107">
        <f t="shared" si="1"/>
        <v>0.14468757449400327</v>
      </c>
      <c r="AB53" s="107">
        <f t="shared" si="1"/>
        <v>0.14649314873270725</v>
      </c>
      <c r="AC53" s="107">
        <f t="shared" si="1"/>
        <v>6.9488922053677835E-2</v>
      </c>
      <c r="AD53" s="107">
        <f t="shared" si="1"/>
        <v>7.0859291261810176E-2</v>
      </c>
      <c r="AE53" s="107">
        <f t="shared" si="1"/>
        <v>7.2156638800534176E-2</v>
      </c>
      <c r="AF53" s="107">
        <f t="shared" si="1"/>
        <v>7.3376612374321942E-2</v>
      </c>
      <c r="AG53" s="107">
        <f t="shared" si="1"/>
        <v>7.4348146937090256E-2</v>
      </c>
      <c r="AH53" s="107">
        <f t="shared" si="1"/>
        <v>7.5636157728417766E-2</v>
      </c>
      <c r="AI53" s="107">
        <f t="shared" si="1"/>
        <v>7.6971521494569914E-2</v>
      </c>
      <c r="AJ53" s="107">
        <f t="shared" si="1"/>
        <v>7.835005533878156E-2</v>
      </c>
      <c r="AK53" s="107">
        <f t="shared" si="1"/>
        <v>7.9623403572196674E-2</v>
      </c>
      <c r="AL53" s="107">
        <f t="shared" si="1"/>
        <v>8.0793865827866324E-2</v>
      </c>
      <c r="AM53" s="107">
        <f t="shared" si="1"/>
        <v>8.2055868429057433E-2</v>
      </c>
      <c r="AN53" s="107">
        <f t="shared" si="1"/>
        <v>8.3129956644032235E-2</v>
      </c>
    </row>
    <row r="54" spans="2:40" x14ac:dyDescent="0.25">
      <c r="B54" s="39"/>
      <c r="C54" s="63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-71150.117847328002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-71150.117847328002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-71150.117847328002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-71150.117847328002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-71150.117847328002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</row>
    <row r="57" spans="2:40" x14ac:dyDescent="0.25">
      <c r="E57" s="12"/>
      <c r="F57" s="12"/>
      <c r="G57" s="12"/>
      <c r="H57" s="12"/>
      <c r="I57" s="12"/>
      <c r="J57" s="12"/>
      <c r="K57" s="148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 t="shared" ref="E58:AN58" si="2">E37-E50-E55+E56</f>
        <v>-52327.73253451589</v>
      </c>
      <c r="F58" s="13">
        <f t="shared" si="2"/>
        <v>-45737.763208208184</v>
      </c>
      <c r="G58" s="13">
        <f t="shared" si="2"/>
        <v>-36588.576205168836</v>
      </c>
      <c r="H58" s="13">
        <f t="shared" si="2"/>
        <v>-28680.914432457517</v>
      </c>
      <c r="I58" s="13">
        <f t="shared" si="2"/>
        <v>-23718.141502850849</v>
      </c>
      <c r="J58" s="13">
        <f t="shared" si="2"/>
        <v>-18550.9190558915</v>
      </c>
      <c r="K58" s="13">
        <f t="shared" si="2"/>
        <v>-12511.507058370669</v>
      </c>
      <c r="L58" s="13">
        <f t="shared" si="2"/>
        <v>-8755.904679846295</v>
      </c>
      <c r="M58" s="13">
        <f t="shared" si="2"/>
        <v>-4715.3310194251098</v>
      </c>
      <c r="N58" s="13">
        <f t="shared" si="2"/>
        <v>-1247.6961910935206</v>
      </c>
      <c r="O58" s="13">
        <f t="shared" si="2"/>
        <v>2390.3142144237208</v>
      </c>
      <c r="P58" s="13">
        <f t="shared" si="2"/>
        <v>5370.4363117949833</v>
      </c>
      <c r="Q58" s="13">
        <f t="shared" si="2"/>
        <v>-14043.961312599466</v>
      </c>
      <c r="R58" s="13">
        <f t="shared" si="2"/>
        <v>-12074.577717610329</v>
      </c>
      <c r="S58" s="13">
        <f t="shared" si="2"/>
        <v>-9894.5399848662055</v>
      </c>
      <c r="T58" s="13">
        <f t="shared" si="2"/>
        <v>-8056.3060882589634</v>
      </c>
      <c r="U58" s="13">
        <f t="shared" si="2"/>
        <v>-6801.9373076412448</v>
      </c>
      <c r="V58" s="13">
        <f t="shared" si="2"/>
        <v>-7918.4820450530824</v>
      </c>
      <c r="W58" s="13">
        <f t="shared" si="2"/>
        <v>-6580.1255469377356</v>
      </c>
      <c r="X58" s="13">
        <f t="shared" si="2"/>
        <v>-5237.8557817518449</v>
      </c>
      <c r="Y58" s="13">
        <f t="shared" si="2"/>
        <v>-4368.1469941846881</v>
      </c>
      <c r="Z58" s="13">
        <f t="shared" si="2"/>
        <v>-3497.9567727543035</v>
      </c>
      <c r="AA58" s="13">
        <f t="shared" si="2"/>
        <v>-2595.4606122068217</v>
      </c>
      <c r="AB58" s="13">
        <f t="shared" si="2"/>
        <v>-1713.321782461062</v>
      </c>
      <c r="AC58" s="13">
        <f t="shared" si="2"/>
        <v>-39334.825762754117</v>
      </c>
      <c r="AD58" s="13">
        <f t="shared" si="2"/>
        <v>-38665.312505603753</v>
      </c>
      <c r="AE58" s="13">
        <f t="shared" si="2"/>
        <v>-38031.475017755569</v>
      </c>
      <c r="AF58" s="13">
        <f t="shared" si="2"/>
        <v>-37435.439674742272</v>
      </c>
      <c r="AG58" s="13">
        <f t="shared" si="2"/>
        <v>-36960.782724124074</v>
      </c>
      <c r="AH58" s="13">
        <f t="shared" si="2"/>
        <v>-36331.506836261877</v>
      </c>
      <c r="AI58" s="13">
        <f t="shared" si="2"/>
        <v>-35679.095982857209</v>
      </c>
      <c r="AJ58" s="13">
        <f t="shared" si="2"/>
        <v>-35005.593777281509</v>
      </c>
      <c r="AK58" s="13">
        <f t="shared" si="2"/>
        <v>-34383.481489453392</v>
      </c>
      <c r="AL58" s="13">
        <f t="shared" si="2"/>
        <v>-33811.635601123082</v>
      </c>
      <c r="AM58" s="13">
        <f t="shared" si="2"/>
        <v>-33195.066382374192</v>
      </c>
      <c r="AN58" s="13">
        <f t="shared" si="2"/>
        <v>-32670.305394600189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-52327.73253451589</v>
      </c>
      <c r="F59" s="12">
        <v>-98065.495742724073</v>
      </c>
      <c r="G59" s="12">
        <v>-134654.07194789289</v>
      </c>
      <c r="H59" s="12">
        <v>-163334.98638035043</v>
      </c>
      <c r="I59" s="12">
        <v>-187053.12788320129</v>
      </c>
      <c r="J59" s="12">
        <v>-205604.0469390928</v>
      </c>
      <c r="K59" s="12">
        <v>-218115.55399746349</v>
      </c>
      <c r="L59" s="12">
        <v>-226871.4586773098</v>
      </c>
      <c r="M59" s="12">
        <v>-231586.78969673492</v>
      </c>
      <c r="N59" s="12">
        <v>-232834.48588782846</v>
      </c>
      <c r="O59" s="12">
        <v>-230444.17167340475</v>
      </c>
      <c r="P59" s="12">
        <v>-225073.73536160978</v>
      </c>
      <c r="Q59" s="12">
        <v>-239117.69667420926</v>
      </c>
      <c r="R59" s="12">
        <v>-251192.27439181961</v>
      </c>
      <c r="S59" s="12">
        <v>-261086.81437668583</v>
      </c>
      <c r="T59" s="12">
        <v>-269143.1204649448</v>
      </c>
      <c r="U59" s="12">
        <v>-275945.05777258606</v>
      </c>
      <c r="V59" s="12">
        <v>-283863.53981763916</v>
      </c>
      <c r="W59" s="12">
        <v>-290443.66536457691</v>
      </c>
      <c r="X59" s="12">
        <v>-295681.52114632877</v>
      </c>
      <c r="Y59" s="12">
        <v>-300049.66814051347</v>
      </c>
      <c r="Z59" s="12">
        <v>-303547.62491326779</v>
      </c>
      <c r="AA59" s="12">
        <v>-306143.08552547463</v>
      </c>
      <c r="AB59" s="12">
        <v>-307856.4073079357</v>
      </c>
      <c r="AC59" s="12">
        <v>-347191.23307068984</v>
      </c>
      <c r="AD59" s="12">
        <v>-385856.5455762936</v>
      </c>
      <c r="AE59" s="12">
        <v>-423888.02059404919</v>
      </c>
      <c r="AF59" s="12">
        <v>-461323.46026879147</v>
      </c>
      <c r="AG59" s="12">
        <v>-498284.24299291556</v>
      </c>
      <c r="AH59" s="12">
        <v>-534615.7498291774</v>
      </c>
      <c r="AI59" s="12">
        <v>-570294.84581203456</v>
      </c>
      <c r="AJ59" s="12">
        <v>-605300.43958931603</v>
      </c>
      <c r="AK59" s="12">
        <v>-639683.92107876937</v>
      </c>
      <c r="AL59" s="12">
        <v>-673495.55667989247</v>
      </c>
      <c r="AM59" s="12">
        <v>-706690.62306226662</v>
      </c>
      <c r="AN59" s="12">
        <v>-739360.92845686676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23134.871778303994</v>
      </c>
      <c r="F63" s="12">
        <v>23134.871778303994</v>
      </c>
      <c r="G63" s="12">
        <v>23134.871778303994</v>
      </c>
      <c r="H63" s="12">
        <v>23134.871778303994</v>
      </c>
      <c r="I63" s="12">
        <v>23134.871778303994</v>
      </c>
      <c r="J63" s="12">
        <v>23134.871778303994</v>
      </c>
      <c r="K63" s="12">
        <v>23134.871778303994</v>
      </c>
      <c r="L63" s="12">
        <v>23134.871778303994</v>
      </c>
      <c r="M63" s="12">
        <v>23134.871778303994</v>
      </c>
      <c r="N63" s="12">
        <v>23134.871778303994</v>
      </c>
      <c r="O63" s="12">
        <v>23134.871778303994</v>
      </c>
      <c r="P63" s="12">
        <v>23134.871778303994</v>
      </c>
      <c r="Q63" s="12">
        <v>23828.917931653115</v>
      </c>
      <c r="R63" s="12">
        <v>23828.917931653115</v>
      </c>
      <c r="S63" s="12">
        <v>23828.917931653115</v>
      </c>
      <c r="T63" s="12">
        <v>23828.917931653115</v>
      </c>
      <c r="U63" s="12">
        <v>23828.917931653115</v>
      </c>
      <c r="V63" s="12">
        <v>23828.917931653115</v>
      </c>
      <c r="W63" s="12">
        <v>23828.917931653115</v>
      </c>
      <c r="X63" s="12">
        <v>23828.917931653115</v>
      </c>
      <c r="Y63" s="12">
        <v>23828.917931653115</v>
      </c>
      <c r="Z63" s="12">
        <v>23828.917931653115</v>
      </c>
      <c r="AA63" s="12">
        <v>23828.917931653115</v>
      </c>
      <c r="AB63" s="12">
        <v>23828.917931653115</v>
      </c>
      <c r="AC63" s="12">
        <v>23828.917931653115</v>
      </c>
      <c r="AD63" s="12">
        <v>23828.917931653115</v>
      </c>
      <c r="AE63" s="12">
        <v>23828.917931653115</v>
      </c>
      <c r="AF63" s="12">
        <v>23828.917931653115</v>
      </c>
      <c r="AG63" s="12">
        <v>23828.917931653115</v>
      </c>
      <c r="AH63" s="12">
        <v>23828.917931653115</v>
      </c>
      <c r="AI63" s="12">
        <v>23828.917931653115</v>
      </c>
      <c r="AJ63" s="12">
        <v>23828.917931653115</v>
      </c>
      <c r="AK63" s="12">
        <v>23828.917931653115</v>
      </c>
      <c r="AL63" s="12">
        <v>23828.917931653115</v>
      </c>
      <c r="AM63" s="12">
        <v>23828.917931653115</v>
      </c>
      <c r="AN63" s="12">
        <v>23828.917931653115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6472.2012692480002</v>
      </c>
      <c r="F64" s="12">
        <v>6472.2012692480002</v>
      </c>
      <c r="G64" s="12">
        <v>6472.2012692480002</v>
      </c>
      <c r="H64" s="12">
        <v>6472.2012692480002</v>
      </c>
      <c r="I64" s="12">
        <v>6472.2012692480002</v>
      </c>
      <c r="J64" s="12">
        <v>6472.2012692480002</v>
      </c>
      <c r="K64" s="12">
        <v>6472.2012692480002</v>
      </c>
      <c r="L64" s="12">
        <v>6472.2012692480002</v>
      </c>
      <c r="M64" s="12">
        <v>6472.2012692480002</v>
      </c>
      <c r="N64" s="12">
        <v>6472.2012692480002</v>
      </c>
      <c r="O64" s="12">
        <v>6472.2012692480002</v>
      </c>
      <c r="P64" s="12">
        <v>6472.2012692480002</v>
      </c>
      <c r="Q64" s="12">
        <v>6666.3673073254413</v>
      </c>
      <c r="R64" s="12">
        <v>6666.3673073254413</v>
      </c>
      <c r="S64" s="12">
        <v>6666.3673073254413</v>
      </c>
      <c r="T64" s="12">
        <v>6666.3673073254413</v>
      </c>
      <c r="U64" s="12">
        <v>6666.3673073254413</v>
      </c>
      <c r="V64" s="12">
        <v>6666.3673073254413</v>
      </c>
      <c r="W64" s="12">
        <v>6666.3673073254413</v>
      </c>
      <c r="X64" s="12">
        <v>6666.3673073254413</v>
      </c>
      <c r="Y64" s="12">
        <v>6666.3673073254413</v>
      </c>
      <c r="Z64" s="12">
        <v>6666.3673073254413</v>
      </c>
      <c r="AA64" s="12">
        <v>6666.3673073254413</v>
      </c>
      <c r="AB64" s="12">
        <v>6666.3673073254413</v>
      </c>
      <c r="AC64" s="12">
        <v>6666.3673073254413</v>
      </c>
      <c r="AD64" s="12">
        <v>6666.3673073254413</v>
      </c>
      <c r="AE64" s="12">
        <v>6666.3673073254413</v>
      </c>
      <c r="AF64" s="12">
        <v>6666.3673073254413</v>
      </c>
      <c r="AG64" s="12">
        <v>6666.3673073254413</v>
      </c>
      <c r="AH64" s="12">
        <v>6666.3673073254413</v>
      </c>
      <c r="AI64" s="12">
        <v>6666.3673073254413</v>
      </c>
      <c r="AJ64" s="12">
        <v>6666.3673073254413</v>
      </c>
      <c r="AK64" s="12">
        <v>6666.3673073254413</v>
      </c>
      <c r="AL64" s="12">
        <v>6666.3673073254413</v>
      </c>
      <c r="AM64" s="12">
        <v>6666.3673073254413</v>
      </c>
      <c r="AN64" s="12">
        <v>6666.3673073254413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22106.414680063994</v>
      </c>
      <c r="F65" s="12">
        <v>22106.414680063994</v>
      </c>
      <c r="G65" s="12">
        <v>22106.414680063994</v>
      </c>
      <c r="H65" s="12">
        <v>22106.414680063994</v>
      </c>
      <c r="I65" s="12">
        <v>22106.414680063994</v>
      </c>
      <c r="J65" s="12">
        <v>22106.414680063994</v>
      </c>
      <c r="K65" s="12">
        <v>22106.414680063994</v>
      </c>
      <c r="L65" s="12">
        <v>22106.414680063994</v>
      </c>
      <c r="M65" s="12">
        <v>22106.414680063994</v>
      </c>
      <c r="N65" s="12">
        <v>22106.414680063994</v>
      </c>
      <c r="O65" s="12">
        <v>22106.414680063994</v>
      </c>
      <c r="P65" s="12">
        <v>22106.414680063994</v>
      </c>
      <c r="Q65" s="12">
        <v>22769.607120465917</v>
      </c>
      <c r="R65" s="12">
        <v>22769.607120465917</v>
      </c>
      <c r="S65" s="12">
        <v>22769.607120465917</v>
      </c>
      <c r="T65" s="12">
        <v>22769.607120465917</v>
      </c>
      <c r="U65" s="12">
        <v>22769.607120465917</v>
      </c>
      <c r="V65" s="12">
        <v>22769.607120465917</v>
      </c>
      <c r="W65" s="12">
        <v>22769.607120465917</v>
      </c>
      <c r="X65" s="12">
        <v>22769.607120465917</v>
      </c>
      <c r="Y65" s="12">
        <v>22769.607120465917</v>
      </c>
      <c r="Z65" s="12">
        <v>22769.607120465917</v>
      </c>
      <c r="AA65" s="12">
        <v>22769.607120465917</v>
      </c>
      <c r="AB65" s="12">
        <v>22769.607120465917</v>
      </c>
      <c r="AC65" s="12">
        <v>22769.607120465917</v>
      </c>
      <c r="AD65" s="12">
        <v>22769.607120465917</v>
      </c>
      <c r="AE65" s="12">
        <v>22769.607120465917</v>
      </c>
      <c r="AF65" s="12">
        <v>22769.607120465917</v>
      </c>
      <c r="AG65" s="12">
        <v>22769.607120465917</v>
      </c>
      <c r="AH65" s="12">
        <v>22769.607120465917</v>
      </c>
      <c r="AI65" s="12">
        <v>22769.607120465917</v>
      </c>
      <c r="AJ65" s="12">
        <v>22769.607120465917</v>
      </c>
      <c r="AK65" s="12">
        <v>22769.607120465917</v>
      </c>
      <c r="AL65" s="12">
        <v>22769.607120465917</v>
      </c>
      <c r="AM65" s="12">
        <v>22769.607120465917</v>
      </c>
      <c r="AN65" s="12">
        <v>22769.607120465917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51713.48772761599</v>
      </c>
      <c r="F67" s="13">
        <v>51713.48772761599</v>
      </c>
      <c r="G67" s="13">
        <v>51713.48772761599</v>
      </c>
      <c r="H67" s="13">
        <v>51713.48772761599</v>
      </c>
      <c r="I67" s="13">
        <v>51713.48772761599</v>
      </c>
      <c r="J67" s="13">
        <v>51713.48772761599</v>
      </c>
      <c r="K67" s="13">
        <v>51713.48772761599</v>
      </c>
      <c r="L67" s="13">
        <v>51713.48772761599</v>
      </c>
      <c r="M67" s="13">
        <v>51713.48772761599</v>
      </c>
      <c r="N67" s="13">
        <v>51713.48772761599</v>
      </c>
      <c r="O67" s="13">
        <v>51713.48772761599</v>
      </c>
      <c r="P67" s="13">
        <v>51713.48772761599</v>
      </c>
      <c r="Q67" s="13">
        <v>53264.892359444471</v>
      </c>
      <c r="R67" s="13">
        <v>53264.892359444471</v>
      </c>
      <c r="S67" s="13">
        <v>53264.892359444471</v>
      </c>
      <c r="T67" s="13">
        <v>53264.892359444471</v>
      </c>
      <c r="U67" s="13">
        <v>53264.892359444471</v>
      </c>
      <c r="V67" s="13">
        <v>53264.892359444471</v>
      </c>
      <c r="W67" s="13">
        <v>53264.892359444471</v>
      </c>
      <c r="X67" s="13">
        <v>53264.892359444471</v>
      </c>
      <c r="Y67" s="13">
        <v>53264.892359444471</v>
      </c>
      <c r="Z67" s="13">
        <v>53264.892359444471</v>
      </c>
      <c r="AA67" s="13">
        <v>53264.892359444471</v>
      </c>
      <c r="AB67" s="13">
        <v>53264.892359444471</v>
      </c>
      <c r="AC67" s="13">
        <v>53264.892359444471</v>
      </c>
      <c r="AD67" s="13">
        <v>53264.892359444471</v>
      </c>
      <c r="AE67" s="13">
        <v>53264.892359444471</v>
      </c>
      <c r="AF67" s="13">
        <v>53264.892359444471</v>
      </c>
      <c r="AG67" s="13">
        <v>53264.892359444471</v>
      </c>
      <c r="AH67" s="13">
        <v>53264.892359444471</v>
      </c>
      <c r="AI67" s="13">
        <v>53264.892359444471</v>
      </c>
      <c r="AJ67" s="13">
        <v>53264.892359444471</v>
      </c>
      <c r="AK67" s="13">
        <v>53264.892359444471</v>
      </c>
      <c r="AL67" s="13">
        <v>53264.892359444471</v>
      </c>
      <c r="AM67" s="13">
        <v>53264.892359444471</v>
      </c>
      <c r="AN67" s="13">
        <v>53264.892359444471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1</v>
      </c>
      <c r="F69" s="108">
        <v>1</v>
      </c>
      <c r="G69" s="108">
        <v>1</v>
      </c>
      <c r="H69" s="108">
        <v>1</v>
      </c>
      <c r="I69" s="108">
        <v>1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1</v>
      </c>
      <c r="F70" s="108">
        <v>1</v>
      </c>
      <c r="G70" s="108">
        <v>1</v>
      </c>
      <c r="H70" s="108">
        <v>1</v>
      </c>
      <c r="I70" s="108">
        <v>1</v>
      </c>
      <c r="J70" s="108">
        <v>1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35268.840638279275</v>
      </c>
      <c r="F72" s="12">
        <v>35268.840638279275</v>
      </c>
      <c r="G72" s="12">
        <v>35268.840638279275</v>
      </c>
      <c r="H72" s="12">
        <v>35268.840638279275</v>
      </c>
      <c r="I72" s="12">
        <v>35268.840638279275</v>
      </c>
      <c r="J72" s="12">
        <v>35268.840638279275</v>
      </c>
      <c r="K72" s="12">
        <v>35268.840638279275</v>
      </c>
      <c r="L72" s="12">
        <v>35268.840638279275</v>
      </c>
      <c r="M72" s="12">
        <v>35268.840638279275</v>
      </c>
      <c r="N72" s="12">
        <v>35268.840638279275</v>
      </c>
      <c r="O72" s="12">
        <v>35268.840638279275</v>
      </c>
      <c r="P72" s="12">
        <v>35268.840638279275</v>
      </c>
      <c r="Q72" s="12">
        <v>38795.724702107203</v>
      </c>
      <c r="R72" s="12">
        <v>38795.724702107203</v>
      </c>
      <c r="S72" s="12">
        <v>38795.724702107203</v>
      </c>
      <c r="T72" s="12">
        <v>38795.724702107203</v>
      </c>
      <c r="U72" s="12">
        <v>38795.724702107203</v>
      </c>
      <c r="V72" s="12">
        <v>38795.724702107203</v>
      </c>
      <c r="W72" s="12">
        <v>38795.724702107203</v>
      </c>
      <c r="X72" s="12">
        <v>38795.724702107203</v>
      </c>
      <c r="Y72" s="12">
        <v>38795.724702107203</v>
      </c>
      <c r="Z72" s="12">
        <v>38795.724702107203</v>
      </c>
      <c r="AA72" s="12">
        <v>38795.724702107203</v>
      </c>
      <c r="AB72" s="12">
        <v>38795.724702107203</v>
      </c>
      <c r="AC72" s="12">
        <v>42675.297172317929</v>
      </c>
      <c r="AD72" s="12">
        <v>42675.297172317929</v>
      </c>
      <c r="AE72" s="12">
        <v>42675.297172317929</v>
      </c>
      <c r="AF72" s="12">
        <v>42675.297172317929</v>
      </c>
      <c r="AG72" s="12">
        <v>42675.297172317929</v>
      </c>
      <c r="AH72" s="12">
        <v>42675.297172317929</v>
      </c>
      <c r="AI72" s="12">
        <v>42675.297172317929</v>
      </c>
      <c r="AJ72" s="12">
        <v>42675.297172317929</v>
      </c>
      <c r="AK72" s="12">
        <v>42675.297172317929</v>
      </c>
      <c r="AL72" s="12">
        <v>42675.297172317929</v>
      </c>
      <c r="AM72" s="12">
        <v>42675.297172317929</v>
      </c>
      <c r="AN72" s="12">
        <v>42675.297172317929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16444.647089336715</v>
      </c>
      <c r="F75" s="74">
        <v>16444.647089336715</v>
      </c>
      <c r="G75" s="74">
        <v>16444.647089336715</v>
      </c>
      <c r="H75" s="74">
        <v>16444.647089336715</v>
      </c>
      <c r="I75" s="74">
        <v>16444.647089336715</v>
      </c>
      <c r="J75" s="74">
        <v>16444.647089336715</v>
      </c>
      <c r="K75" s="74">
        <v>16444.647089336715</v>
      </c>
      <c r="L75" s="74">
        <v>16444.647089336715</v>
      </c>
      <c r="M75" s="74">
        <v>16444.647089336715</v>
      </c>
      <c r="N75" s="74">
        <v>16444.647089336715</v>
      </c>
      <c r="O75" s="74">
        <v>16444.647089336715</v>
      </c>
      <c r="P75" s="74">
        <v>16444.647089336715</v>
      </c>
      <c r="Q75" s="74">
        <v>14469.167657337268</v>
      </c>
      <c r="R75" s="74">
        <v>14469.167657337268</v>
      </c>
      <c r="S75" s="74">
        <v>14469.167657337268</v>
      </c>
      <c r="T75" s="74">
        <v>14469.167657337268</v>
      </c>
      <c r="U75" s="74">
        <v>14469.167657337268</v>
      </c>
      <c r="V75" s="74">
        <v>14469.167657337268</v>
      </c>
      <c r="W75" s="74">
        <v>14469.167657337268</v>
      </c>
      <c r="X75" s="74">
        <v>14469.167657337268</v>
      </c>
      <c r="Y75" s="74">
        <v>14469.167657337268</v>
      </c>
      <c r="Z75" s="74">
        <v>14469.167657337268</v>
      </c>
      <c r="AA75" s="74">
        <v>14469.167657337268</v>
      </c>
      <c r="AB75" s="74">
        <v>14469.167657337268</v>
      </c>
      <c r="AC75" s="74">
        <v>10589.595187126542</v>
      </c>
      <c r="AD75" s="74">
        <v>10589.595187126542</v>
      </c>
      <c r="AE75" s="74">
        <v>10589.595187126542</v>
      </c>
      <c r="AF75" s="74">
        <v>10589.595187126542</v>
      </c>
      <c r="AG75" s="74">
        <v>10589.595187126542</v>
      </c>
      <c r="AH75" s="74">
        <v>10589.595187126542</v>
      </c>
      <c r="AI75" s="74">
        <v>10589.595187126542</v>
      </c>
      <c r="AJ75" s="74">
        <v>10589.595187126542</v>
      </c>
      <c r="AK75" s="74">
        <v>10589.595187126542</v>
      </c>
      <c r="AL75" s="74">
        <v>10589.595187126542</v>
      </c>
      <c r="AM75" s="74">
        <v>10589.595187126542</v>
      </c>
      <c r="AN75" s="74">
        <v>10589.595187126542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EA80-CAAB-4918-95BC-1DAB7953F7FC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H57" sqref="H57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491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8">
        <v>14.79</v>
      </c>
      <c r="G7" s="108">
        <v>14.79</v>
      </c>
      <c r="H7" s="108">
        <v>14.79</v>
      </c>
      <c r="I7" s="108">
        <v>14.79</v>
      </c>
      <c r="J7" s="108">
        <v>14.79</v>
      </c>
      <c r="K7" s="108">
        <v>14.79</v>
      </c>
      <c r="L7" s="108">
        <v>14.79</v>
      </c>
      <c r="M7" s="108">
        <v>14.79</v>
      </c>
      <c r="N7" s="108">
        <v>14.79</v>
      </c>
      <c r="O7" s="108">
        <v>14.79</v>
      </c>
      <c r="P7" s="108">
        <v>14.79</v>
      </c>
      <c r="Q7" s="108">
        <v>14.79</v>
      </c>
      <c r="R7" s="108">
        <v>14.79</v>
      </c>
      <c r="S7" s="108">
        <v>14.79</v>
      </c>
      <c r="T7" s="108">
        <v>14.79</v>
      </c>
      <c r="U7" s="108">
        <v>14.79</v>
      </c>
      <c r="V7" s="108">
        <v>14.79</v>
      </c>
      <c r="W7" s="108">
        <v>14.79</v>
      </c>
      <c r="X7" s="108">
        <v>14.79</v>
      </c>
      <c r="Y7" s="108">
        <v>14.79</v>
      </c>
      <c r="Z7" s="108">
        <v>14.79</v>
      </c>
      <c r="AA7" s="108">
        <v>14.79</v>
      </c>
      <c r="AB7" s="108">
        <v>14.79</v>
      </c>
      <c r="AC7" s="108">
        <v>14.79</v>
      </c>
      <c r="AD7" s="108">
        <v>14.79</v>
      </c>
      <c r="AE7" s="108">
        <v>14.79</v>
      </c>
      <c r="AF7" s="108">
        <v>14.79</v>
      </c>
      <c r="AG7" s="108">
        <v>14.79</v>
      </c>
      <c r="AH7" s="108">
        <v>14.79</v>
      </c>
      <c r="AI7" s="108">
        <v>14.79</v>
      </c>
      <c r="AJ7" s="108">
        <v>14.79</v>
      </c>
      <c r="AK7" s="108">
        <v>14.79</v>
      </c>
      <c r="AL7" s="108">
        <v>14.79</v>
      </c>
      <c r="AM7" s="108">
        <v>14.79</v>
      </c>
      <c r="AN7" s="108">
        <v>14.79</v>
      </c>
    </row>
    <row r="8" spans="1:40" hidden="1" outlineLevel="1" x14ac:dyDescent="0.25">
      <c r="B8" s="39" t="str">
        <v>Secondary Direct Staff</v>
      </c>
      <c r="C8" s="3"/>
      <c r="D8" s="3"/>
      <c r="E8" s="108">
        <v>3</v>
      </c>
      <c r="F8" s="108">
        <v>3</v>
      </c>
      <c r="G8" s="108">
        <v>3</v>
      </c>
      <c r="H8" s="108">
        <v>3</v>
      </c>
      <c r="I8" s="108">
        <v>3</v>
      </c>
      <c r="J8" s="108">
        <v>3</v>
      </c>
      <c r="K8" s="108">
        <v>3</v>
      </c>
      <c r="L8" s="108">
        <v>3</v>
      </c>
      <c r="M8" s="108">
        <v>3</v>
      </c>
      <c r="N8" s="108">
        <v>3</v>
      </c>
      <c r="O8" s="108">
        <v>3</v>
      </c>
      <c r="P8" s="108">
        <v>3</v>
      </c>
      <c r="Q8" s="108">
        <v>3</v>
      </c>
      <c r="R8" s="108">
        <v>3</v>
      </c>
      <c r="S8" s="108">
        <v>3</v>
      </c>
      <c r="T8" s="108">
        <v>3</v>
      </c>
      <c r="U8" s="108">
        <v>3</v>
      </c>
      <c r="V8" s="108">
        <v>3</v>
      </c>
      <c r="W8" s="108">
        <v>3</v>
      </c>
      <c r="X8" s="108">
        <v>3</v>
      </c>
      <c r="Y8" s="108">
        <v>3</v>
      </c>
      <c r="Z8" s="108">
        <v>3</v>
      </c>
      <c r="AA8" s="108">
        <v>3</v>
      </c>
      <c r="AB8" s="108">
        <v>3</v>
      </c>
      <c r="AC8" s="108">
        <v>3</v>
      </c>
      <c r="AD8" s="108">
        <v>3</v>
      </c>
      <c r="AE8" s="108">
        <v>3</v>
      </c>
      <c r="AF8" s="108">
        <v>3</v>
      </c>
      <c r="AG8" s="108">
        <v>3</v>
      </c>
      <c r="AH8" s="108">
        <v>3</v>
      </c>
      <c r="AI8" s="108">
        <v>3</v>
      </c>
      <c r="AJ8" s="108">
        <v>3</v>
      </c>
      <c r="AK8" s="108">
        <v>3</v>
      </c>
      <c r="AL8" s="108">
        <v>3</v>
      </c>
      <c r="AM8" s="108">
        <v>3</v>
      </c>
      <c r="AN8" s="108">
        <v>3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0.16</v>
      </c>
      <c r="F12" s="108">
        <v>0.16</v>
      </c>
      <c r="G12" s="108">
        <v>0.16</v>
      </c>
      <c r="H12" s="108">
        <v>0.16</v>
      </c>
      <c r="I12" s="108">
        <v>0.16</v>
      </c>
      <c r="J12" s="108">
        <v>0.16</v>
      </c>
      <c r="K12" s="108">
        <v>0.16</v>
      </c>
      <c r="L12" s="108">
        <v>0.16</v>
      </c>
      <c r="M12" s="108">
        <v>0.16</v>
      </c>
      <c r="N12" s="108">
        <v>0.16</v>
      </c>
      <c r="O12" s="108">
        <v>0.16</v>
      </c>
      <c r="P12" s="108">
        <v>0.16</v>
      </c>
      <c r="Q12" s="108">
        <v>0.16</v>
      </c>
      <c r="R12" s="108">
        <v>0.16</v>
      </c>
      <c r="S12" s="108">
        <v>0.16</v>
      </c>
      <c r="T12" s="108">
        <v>0.16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0.4</v>
      </c>
      <c r="F13" s="108">
        <v>0.4</v>
      </c>
      <c r="G13" s="108">
        <v>0.4</v>
      </c>
      <c r="H13" s="108">
        <v>0.4</v>
      </c>
      <c r="I13" s="108">
        <v>0.4</v>
      </c>
      <c r="J13" s="108">
        <v>0.4</v>
      </c>
      <c r="K13" s="108">
        <v>0.4</v>
      </c>
      <c r="L13" s="108">
        <v>0.4</v>
      </c>
      <c r="M13" s="108">
        <v>0.4</v>
      </c>
      <c r="N13" s="108">
        <v>0.4</v>
      </c>
      <c r="O13" s="108">
        <v>0.4</v>
      </c>
      <c r="P13" s="108">
        <v>0.4</v>
      </c>
      <c r="Q13" s="108">
        <v>0.4</v>
      </c>
      <c r="R13" s="108">
        <v>0.4</v>
      </c>
      <c r="S13" s="108">
        <v>0.4</v>
      </c>
      <c r="T13" s="108">
        <v>0.4</v>
      </c>
      <c r="U13" s="108">
        <v>0.4</v>
      </c>
      <c r="V13" s="108">
        <v>0.4</v>
      </c>
      <c r="W13" s="108">
        <v>0.4</v>
      </c>
      <c r="X13" s="108">
        <v>0.4</v>
      </c>
      <c r="Y13" s="108">
        <v>0.4</v>
      </c>
      <c r="Z13" s="108">
        <v>0.4</v>
      </c>
      <c r="AA13" s="108">
        <v>0.4</v>
      </c>
      <c r="AB13" s="108">
        <v>0.4</v>
      </c>
      <c r="AC13" s="108">
        <v>0.4</v>
      </c>
      <c r="AD13" s="108">
        <v>0.4</v>
      </c>
      <c r="AE13" s="108">
        <v>0.4</v>
      </c>
      <c r="AF13" s="108">
        <v>0.4</v>
      </c>
      <c r="AG13" s="108">
        <v>0.4</v>
      </c>
      <c r="AH13" s="108">
        <v>0.4</v>
      </c>
      <c r="AI13" s="108">
        <v>0.4</v>
      </c>
      <c r="AJ13" s="108">
        <v>0.4</v>
      </c>
      <c r="AK13" s="108">
        <v>0.4</v>
      </c>
      <c r="AL13" s="108">
        <v>0.4</v>
      </c>
      <c r="AM13" s="108">
        <v>0.4</v>
      </c>
      <c r="AN13" s="108">
        <v>0.4</v>
      </c>
    </row>
    <row r="14" spans="1:40" hidden="1" outlineLevel="1" x14ac:dyDescent="0.25">
      <c r="B14" s="39" t="str">
        <v>Recruiter</v>
      </c>
      <c r="C14" s="3"/>
      <c r="D14" s="3"/>
      <c r="E14" s="108">
        <v>0.3</v>
      </c>
      <c r="F14" s="108">
        <v>0.3</v>
      </c>
      <c r="G14" s="108">
        <v>0.3</v>
      </c>
      <c r="H14" s="108">
        <v>0.3</v>
      </c>
      <c r="I14" s="108">
        <v>0.3</v>
      </c>
      <c r="J14" s="108">
        <v>0.3</v>
      </c>
      <c r="K14" s="108">
        <v>0.3</v>
      </c>
      <c r="L14" s="108">
        <v>0.3</v>
      </c>
      <c r="M14" s="108">
        <v>0.3</v>
      </c>
      <c r="N14" s="108">
        <v>0.3</v>
      </c>
      <c r="O14" s="108">
        <v>0.3</v>
      </c>
      <c r="P14" s="108">
        <v>0.3</v>
      </c>
      <c r="Q14" s="108">
        <v>0.3</v>
      </c>
      <c r="R14" s="108">
        <v>0.3</v>
      </c>
      <c r="S14" s="108">
        <v>0.3</v>
      </c>
      <c r="T14" s="108">
        <v>0.3</v>
      </c>
      <c r="U14" s="108">
        <v>0.3</v>
      </c>
      <c r="V14" s="108">
        <v>0.3</v>
      </c>
      <c r="W14" s="108">
        <v>0.3</v>
      </c>
      <c r="X14" s="108">
        <v>0.3</v>
      </c>
      <c r="Y14" s="108">
        <v>0.3</v>
      </c>
      <c r="Z14" s="108">
        <v>0.3</v>
      </c>
      <c r="AA14" s="108">
        <v>0.3</v>
      </c>
      <c r="AB14" s="108">
        <v>0.3</v>
      </c>
      <c r="AC14" s="108">
        <v>0.3</v>
      </c>
      <c r="AD14" s="108">
        <v>0.3</v>
      </c>
      <c r="AE14" s="108">
        <v>0.3</v>
      </c>
      <c r="AF14" s="108">
        <v>0.3</v>
      </c>
      <c r="AG14" s="108">
        <v>0.3</v>
      </c>
      <c r="AH14" s="108">
        <v>0.3</v>
      </c>
      <c r="AI14" s="108">
        <v>0.3</v>
      </c>
      <c r="AJ14" s="108">
        <v>0.3</v>
      </c>
      <c r="AK14" s="108">
        <v>0.3</v>
      </c>
      <c r="AL14" s="108">
        <v>0.3</v>
      </c>
      <c r="AM14" s="108">
        <v>0.3</v>
      </c>
      <c r="AN14" s="108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0.15000000000000002</v>
      </c>
      <c r="F15" s="108">
        <v>0.15000000000000002</v>
      </c>
      <c r="G15" s="108">
        <v>0.15000000000000002</v>
      </c>
      <c r="H15" s="108">
        <v>0.15000000000000002</v>
      </c>
      <c r="I15" s="108">
        <v>0.15000000000000002</v>
      </c>
      <c r="J15" s="108">
        <v>0.15000000000000002</v>
      </c>
      <c r="K15" s="108">
        <v>0.15000000000000002</v>
      </c>
      <c r="L15" s="108">
        <v>0.15000000000000002</v>
      </c>
      <c r="M15" s="108">
        <v>0.15000000000000002</v>
      </c>
      <c r="N15" s="108">
        <v>0.15000000000000002</v>
      </c>
      <c r="O15" s="108">
        <v>0.15000000000000002</v>
      </c>
      <c r="P15" s="108">
        <v>0.15000000000000002</v>
      </c>
      <c r="Q15" s="108">
        <v>0.15000000000000002</v>
      </c>
      <c r="R15" s="108">
        <v>0.15000000000000002</v>
      </c>
      <c r="S15" s="108">
        <v>0.15000000000000002</v>
      </c>
      <c r="T15" s="108">
        <v>0.15000000000000002</v>
      </c>
      <c r="U15" s="108">
        <v>0.15000000000000002</v>
      </c>
      <c r="V15" s="108">
        <v>0.15000000000000002</v>
      </c>
      <c r="W15" s="108">
        <v>0.15000000000000002</v>
      </c>
      <c r="X15" s="108">
        <v>0.15000000000000002</v>
      </c>
      <c r="Y15" s="108">
        <v>0.15000000000000002</v>
      </c>
      <c r="Z15" s="108">
        <v>0.15000000000000002</v>
      </c>
      <c r="AA15" s="108">
        <v>0.15000000000000002</v>
      </c>
      <c r="AB15" s="108">
        <v>0.15000000000000002</v>
      </c>
      <c r="AC15" s="108">
        <v>0.15000000000000002</v>
      </c>
      <c r="AD15" s="108">
        <v>0.15000000000000002</v>
      </c>
      <c r="AE15" s="108">
        <v>0.15000000000000002</v>
      </c>
      <c r="AF15" s="108">
        <v>0.15000000000000002</v>
      </c>
      <c r="AG15" s="108">
        <v>0.15000000000000002</v>
      </c>
      <c r="AH15" s="108">
        <v>0.15000000000000002</v>
      </c>
      <c r="AI15" s="108">
        <v>0.15000000000000002</v>
      </c>
      <c r="AJ15" s="108">
        <v>0.15000000000000002</v>
      </c>
      <c r="AK15" s="108">
        <v>0.15000000000000002</v>
      </c>
      <c r="AL15" s="108">
        <v>0.15000000000000002</v>
      </c>
      <c r="AM15" s="108">
        <v>0.15000000000000002</v>
      </c>
      <c r="AN15" s="108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0.15000000000000002</v>
      </c>
      <c r="F16" s="108">
        <v>0.15000000000000002</v>
      </c>
      <c r="G16" s="108">
        <v>0.15000000000000002</v>
      </c>
      <c r="H16" s="108">
        <v>0.15000000000000002</v>
      </c>
      <c r="I16" s="108">
        <v>0.15000000000000002</v>
      </c>
      <c r="J16" s="108">
        <v>0.15000000000000002</v>
      </c>
      <c r="K16" s="108">
        <v>0.15000000000000002</v>
      </c>
      <c r="L16" s="108">
        <v>0.15000000000000002</v>
      </c>
      <c r="M16" s="108">
        <v>0.15000000000000002</v>
      </c>
      <c r="N16" s="108">
        <v>0.15000000000000002</v>
      </c>
      <c r="O16" s="108">
        <v>0.15000000000000002</v>
      </c>
      <c r="P16" s="108">
        <v>0.15000000000000002</v>
      </c>
      <c r="Q16" s="108">
        <v>0.15000000000000002</v>
      </c>
      <c r="R16" s="108">
        <v>0.15000000000000002</v>
      </c>
      <c r="S16" s="108">
        <v>0.15000000000000002</v>
      </c>
      <c r="T16" s="108">
        <v>0.15000000000000002</v>
      </c>
      <c r="U16" s="108">
        <v>0.15000000000000002</v>
      </c>
      <c r="V16" s="108">
        <v>0.15000000000000002</v>
      </c>
      <c r="W16" s="108">
        <v>0.15000000000000002</v>
      </c>
      <c r="X16" s="108">
        <v>0.15000000000000002</v>
      </c>
      <c r="Y16" s="108">
        <v>0.15000000000000002</v>
      </c>
      <c r="Z16" s="108">
        <v>0.15000000000000002</v>
      </c>
      <c r="AA16" s="108">
        <v>0.15000000000000002</v>
      </c>
      <c r="AB16" s="108">
        <v>0.15000000000000002</v>
      </c>
      <c r="AC16" s="108">
        <v>0.15000000000000002</v>
      </c>
      <c r="AD16" s="108">
        <v>0.15000000000000002</v>
      </c>
      <c r="AE16" s="108">
        <v>0.15000000000000002</v>
      </c>
      <c r="AF16" s="108">
        <v>0.15000000000000002</v>
      </c>
      <c r="AG16" s="108">
        <v>0.15000000000000002</v>
      </c>
      <c r="AH16" s="108">
        <v>0.15000000000000002</v>
      </c>
      <c r="AI16" s="108">
        <v>0.15000000000000002</v>
      </c>
      <c r="AJ16" s="108">
        <v>0.15000000000000002</v>
      </c>
      <c r="AK16" s="108">
        <v>0.15000000000000002</v>
      </c>
      <c r="AL16" s="108">
        <v>0.15000000000000002</v>
      </c>
      <c r="AM16" s="108">
        <v>0.15000000000000002</v>
      </c>
      <c r="AN16" s="108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18</v>
      </c>
      <c r="F21" s="120">
        <v>18</v>
      </c>
      <c r="G21" s="120">
        <v>18</v>
      </c>
      <c r="H21" s="120">
        <v>18</v>
      </c>
      <c r="I21" s="120">
        <v>18</v>
      </c>
      <c r="J21" s="120">
        <v>18</v>
      </c>
      <c r="K21" s="120">
        <v>18</v>
      </c>
      <c r="L21" s="120">
        <v>18</v>
      </c>
      <c r="M21" s="120">
        <v>18</v>
      </c>
      <c r="N21" s="120">
        <v>18</v>
      </c>
      <c r="O21" s="120">
        <v>18</v>
      </c>
      <c r="P21" s="120">
        <v>18</v>
      </c>
      <c r="Q21" s="120">
        <v>18</v>
      </c>
      <c r="R21" s="120">
        <v>18</v>
      </c>
      <c r="S21" s="120">
        <v>18</v>
      </c>
      <c r="T21" s="120">
        <v>18</v>
      </c>
      <c r="U21" s="120">
        <v>18</v>
      </c>
      <c r="V21" s="120">
        <v>18</v>
      </c>
      <c r="W21" s="120">
        <v>18</v>
      </c>
      <c r="X21" s="120">
        <v>18</v>
      </c>
      <c r="Y21" s="120">
        <v>18</v>
      </c>
      <c r="Z21" s="120">
        <v>18</v>
      </c>
      <c r="AA21" s="120">
        <v>18</v>
      </c>
      <c r="AB21" s="120">
        <v>18</v>
      </c>
      <c r="AC21" s="120">
        <v>18</v>
      </c>
      <c r="AD21" s="120">
        <v>18</v>
      </c>
      <c r="AE21" s="120">
        <v>18</v>
      </c>
      <c r="AF21" s="120">
        <v>18</v>
      </c>
      <c r="AG21" s="120">
        <v>18</v>
      </c>
      <c r="AH21" s="120">
        <v>18</v>
      </c>
      <c r="AI21" s="120">
        <v>18</v>
      </c>
      <c r="AJ21" s="120">
        <v>18</v>
      </c>
      <c r="AK21" s="120">
        <v>18</v>
      </c>
      <c r="AL21" s="120">
        <v>18</v>
      </c>
      <c r="AM21" s="120">
        <v>18</v>
      </c>
      <c r="AN21" s="120">
        <v>18</v>
      </c>
    </row>
    <row r="22" spans="2:50" x14ac:dyDescent="0.25">
      <c r="B22" s="2" t="s">
        <v>464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38911.558670678554</v>
      </c>
      <c r="F49" s="12">
        <f>'Corp.'!F$50*(F$37-(F31-F32-F34)*$C$35)/(SUM('MDA1:NCA9'!F$37)-SUM('MDA1:NCA9'!F$31)-SUM('MDA1:NCA9'!F$32)-SUM('MDA1:NCA9'!F$34))</f>
        <v>36582.26049870639</v>
      </c>
      <c r="G49" s="12">
        <f>'Corp.'!G$50*(G$37-(G31-G32-G34)*$C$35)/(SUM('MDA1:NCA9'!G$37)-SUM('MDA1:NCA9'!G$31)-SUM('MDA1:NCA9'!G$32)-SUM('MDA1:NCA9'!G$34))</f>
        <v>33348.378289856781</v>
      </c>
      <c r="H49" s="12">
        <f>'Corp.'!H$50*(H$37-(H31-H32-H34)*$C$35)/(SUM('MDA1:NCA9'!H$37)-SUM('MDA1:NCA9'!H$31)-SUM('MDA1:NCA9'!H$32)-SUM('MDA1:NCA9'!H$34))</f>
        <v>30553.32702334796</v>
      </c>
      <c r="I49" s="12">
        <f>'Corp.'!I$50*(I$37-(I31-I32-I34)*$C$35)/(SUM('MDA1:NCA9'!I$37)-SUM('MDA1:NCA9'!I$31)-SUM('MDA1:NCA9'!I$32)-SUM('MDA1:NCA9'!I$34))</f>
        <v>28799.17956977816</v>
      </c>
      <c r="J49" s="12">
        <f>'Corp.'!J$50*(J$37-(J31-J32-J34)*$C$35)/(SUM('MDA1:NCA9'!J$37)-SUM('MDA1:NCA9'!J$31)-SUM('MDA1:NCA9'!J$32)-SUM('MDA1:NCA9'!J$34))</f>
        <v>26972.767153588717</v>
      </c>
      <c r="K49" s="12">
        <f>'Corp.'!K$50*(K$37-(K31-K32-K34)*$C$35)/(SUM('MDA1:NCA9'!K$37)-SUM('MDA1:NCA9'!K$31)-SUM('MDA1:NCA9'!K$32)-SUM('MDA1:NCA9'!K$34))</f>
        <v>24838.069611150539</v>
      </c>
      <c r="L49" s="12">
        <f>'Corp.'!L$50*(L$37-(L31-L32-L34)*$C$35)/(SUM('MDA1:NCA9'!L$37)-SUM('MDA1:NCA9'!L$31)-SUM('MDA1:NCA9'!L$32)-SUM('MDA1:NCA9'!L$34))</f>
        <v>23510.610055302728</v>
      </c>
      <c r="M49" s="12">
        <f>'Corp.'!M$50*(M$37-(M31-M32-M34)*$C$35)/(SUM('MDA1:NCA9'!M$37)-SUM('MDA1:NCA9'!M$31)-SUM('MDA1:NCA9'!M$32)-SUM('MDA1:NCA9'!M$34))</f>
        <v>22082.424220906552</v>
      </c>
      <c r="N49" s="12">
        <f>'Corp.'!N$50*(N$37-(N31-N32-N34)*$C$35)/(SUM('MDA1:NCA9'!N$37)-SUM('MDA1:NCA9'!N$31)-SUM('MDA1:NCA9'!N$32)-SUM('MDA1:NCA9'!N$34))</f>
        <v>20856.750008060801</v>
      </c>
      <c r="O49" s="12">
        <f>'Corp.'!O$50*(O$37-(O31-O32-O34)*$C$35)/(SUM('MDA1:NCA9'!O$37)-SUM('MDA1:NCA9'!O$31)-SUM('MDA1:NCA9'!O$32)-SUM('MDA1:NCA9'!O$34))</f>
        <v>19570.854646855081</v>
      </c>
      <c r="P49" s="12">
        <f>'Corp.'!P$50*(P$37-(P31-P32-P34)*$C$35)/(SUM('MDA1:NCA9'!P$37)-SUM('MDA1:NCA9'!P$31)-SUM('MDA1:NCA9'!P$32)-SUM('MDA1:NCA9'!P$34))</f>
        <v>18517.497247155305</v>
      </c>
      <c r="Q49" s="12">
        <f>'Corp.'!Q$50*(Q$37-(Q31-Q32-Q34)*$C$35)/(SUM('MDA1:NCA9'!Q$37)-SUM('MDA1:NCA9'!Q$31)-SUM('MDA1:NCA9'!Q$32)-SUM('MDA1:NCA9'!Q$34))</f>
        <v>19355.633491318436</v>
      </c>
      <c r="R49" s="12">
        <f>'Corp.'!R$50*(R$37-(R31-R32-R34)*$C$35)/(SUM('MDA1:NCA9'!R$37)-SUM('MDA1:NCA9'!R$31)-SUM('MDA1:NCA9'!R$32)-SUM('MDA1:NCA9'!R$34))</f>
        <v>18659.532890454138</v>
      </c>
      <c r="S49" s="12">
        <f>'Corp.'!S$50*(S$37-(S31-S32-S34)*$C$35)/(SUM('MDA1:NCA9'!S$37)-SUM('MDA1:NCA9'!S$31)-SUM('MDA1:NCA9'!S$32)-SUM('MDA1:NCA9'!S$34))</f>
        <v>17888.974234674115</v>
      </c>
      <c r="T49" s="12">
        <f>'Corp.'!T$50*(T$37-(T31-T32-T34)*$C$35)/(SUM('MDA1:NCA9'!T$37)-SUM('MDA1:NCA9'!T$31)-SUM('MDA1:NCA9'!T$32)-SUM('MDA1:NCA9'!T$34))</f>
        <v>17239.229957727144</v>
      </c>
      <c r="U49" s="12">
        <f>'Corp.'!U$50*(U$37-(U31-U32-U34)*$C$35)/(SUM('MDA1:NCA9'!U$37)-SUM('MDA1:NCA9'!U$31)-SUM('MDA1:NCA9'!U$32)-SUM('MDA1:NCA9'!U$34))</f>
        <v>16795.859319261832</v>
      </c>
      <c r="V49" s="12">
        <f>'Corp.'!V$50*(V$37-(V31-V32-V34)*$C$35)/(SUM('MDA1:NCA9'!V$37)-SUM('MDA1:NCA9'!V$31)-SUM('MDA1:NCA9'!V$32)-SUM('MDA1:NCA9'!V$34))</f>
        <v>16436.05042639231</v>
      </c>
      <c r="W49" s="12">
        <f>'Corp.'!W$50*(W$37-(W31-W32-W34)*$C$35)/(SUM('MDA1:NCA9'!W$37)-SUM('MDA1:NCA9'!W$31)-SUM('MDA1:NCA9'!W$32)-SUM('MDA1:NCA9'!W$34))</f>
        <v>15962.99339226285</v>
      </c>
      <c r="X49" s="12">
        <f>'Corp.'!X$50*(X$37-(X31-X32-X34)*$C$35)/(SUM('MDA1:NCA9'!X$37)-SUM('MDA1:NCA9'!X$31)-SUM('MDA1:NCA9'!X$32)-SUM('MDA1:NCA9'!X$34))</f>
        <v>15488.553170233359</v>
      </c>
      <c r="Y49" s="12">
        <f>'Corp.'!Y$50*(Y$37-(Y31-Y32-Y34)*$C$35)/(SUM('MDA1:NCA9'!Y$37)-SUM('MDA1:NCA9'!Y$31)-SUM('MDA1:NCA9'!Y$32)-SUM('MDA1:NCA9'!Y$34))</f>
        <v>15181.144897338801</v>
      </c>
      <c r="Z49" s="12">
        <f>'Corp.'!Z$50*(Z$37-(Z31-Z32-Z34)*$C$35)/(SUM('MDA1:NCA9'!Z$37)-SUM('MDA1:NCA9'!Z$31)-SUM('MDA1:NCA9'!Z$32)-SUM('MDA1:NCA9'!Z$34))</f>
        <v>14873.566456274732</v>
      </c>
      <c r="AA49" s="12">
        <f>'Corp.'!AA$50*(AA$37-(AA31-AA32-AA34)*$C$35)/(SUM('MDA1:NCA9'!AA$37)-SUM('MDA1:NCA9'!AA$31)-SUM('MDA1:NCA9'!AA$32)-SUM('MDA1:NCA9'!AA$34))</f>
        <v>14554.569120644794</v>
      </c>
      <c r="AB49" s="12">
        <f>'Corp.'!AB$50*(AB$37-(AB31-AB32-AB34)*$C$35)/(SUM('MDA1:NCA9'!AB$37)-SUM('MDA1:NCA9'!AB$31)-SUM('MDA1:NCA9'!AB$32)-SUM('MDA1:NCA9'!AB$34))</f>
        <v>14242.767310680414</v>
      </c>
      <c r="AC49" s="12">
        <f>'Corp.'!AC$50*(AC$37-(AC31-AC32-AC34)*$C$35)/(SUM('MDA1:NCA9'!AC$37)-SUM('MDA1:NCA9'!AC$31)-SUM('MDA1:NCA9'!AC$32)-SUM('MDA1:NCA9'!AC$34))</f>
        <v>15412.637385703656</v>
      </c>
      <c r="AD49" s="12">
        <f>'Corp.'!AD$50*(AD$37-(AD31-AD32-AD34)*$C$35)/(SUM('MDA1:NCA9'!AD$37)-SUM('MDA1:NCA9'!AD$31)-SUM('MDA1:NCA9'!AD$32)-SUM('MDA1:NCA9'!AD$34))</f>
        <v>15175.990456291433</v>
      </c>
      <c r="AE49" s="12">
        <f>'Corp.'!AE$50*(AE$37-(AE31-AE32-AE34)*$C$35)/(SUM('MDA1:NCA9'!AE$37)-SUM('MDA1:NCA9'!AE$31)-SUM('MDA1:NCA9'!AE$32)-SUM('MDA1:NCA9'!AE$34))</f>
        <v>14951.953525515712</v>
      </c>
      <c r="AF49" s="12">
        <f>'Corp.'!AF$50*(AF$37-(AF31-AF32-AF34)*$C$35)/(SUM('MDA1:NCA9'!AF$37)-SUM('MDA1:NCA9'!AF$31)-SUM('MDA1:NCA9'!AF$32)-SUM('MDA1:NCA9'!AF$34))</f>
        <v>14741.27818452903</v>
      </c>
      <c r="AG49" s="12">
        <f>'Corp.'!AG$50*(AG$37-(AG31-AG32-AG34)*$C$35)/(SUM('MDA1:NCA9'!AG$37)-SUM('MDA1:NCA9'!AG$31)-SUM('MDA1:NCA9'!AG$32)-SUM('MDA1:NCA9'!AG$34))</f>
        <v>14573.505390356051</v>
      </c>
      <c r="AH49" s="12">
        <f>'Corp.'!AH$50*(AH$37-(AH31-AH32-AH34)*$C$35)/(SUM('MDA1:NCA9'!AH$37)-SUM('MDA1:NCA9'!AH$31)-SUM('MDA1:NCA9'!AH$32)-SUM('MDA1:NCA9'!AH$34))</f>
        <v>14351.080807981718</v>
      </c>
      <c r="AI49" s="12">
        <f>'Corp.'!AI$50*(AI$37-(AI31-AI32-AI34)*$C$35)/(SUM('MDA1:NCA9'!AI$37)-SUM('MDA1:NCA9'!AI$31)-SUM('MDA1:NCA9'!AI$32)-SUM('MDA1:NCA9'!AI$34))</f>
        <v>14120.478913957153</v>
      </c>
      <c r="AJ49" s="12">
        <f>'Corp.'!AJ$50*(AJ$37-(AJ31-AJ32-AJ34)*$C$35)/(SUM('MDA1:NCA9'!AJ$37)-SUM('MDA1:NCA9'!AJ$31)-SUM('MDA1:NCA9'!AJ$32)-SUM('MDA1:NCA9'!AJ$34))</f>
        <v>13882.422046225791</v>
      </c>
      <c r="AK49" s="12">
        <f>'Corp.'!AK$50*(AK$37-(AK31-AK32-AK34)*$C$35)/(SUM('MDA1:NCA9'!AK$37)-SUM('MDA1:NCA9'!AK$31)-SUM('MDA1:NCA9'!AK$32)-SUM('MDA1:NCA9'!AK$34))</f>
        <v>13662.529518196157</v>
      </c>
      <c r="AL49" s="12">
        <f>'Corp.'!AL$50*(AL$37-(AL31-AL32-AL34)*$C$35)/(SUM('MDA1:NCA9'!AL$37)-SUM('MDA1:NCA9'!AL$31)-SUM('MDA1:NCA9'!AL$32)-SUM('MDA1:NCA9'!AL$34))</f>
        <v>13460.404209809662</v>
      </c>
      <c r="AM49" s="12">
        <f>'Corp.'!AM$50*(AM$37-(AM31-AM32-AM34)*$C$35)/(SUM('MDA1:NCA9'!AM$37)-SUM('MDA1:NCA9'!AM$31)-SUM('MDA1:NCA9'!AM$32)-SUM('MDA1:NCA9'!AM$34))</f>
        <v>13242.470941381116</v>
      </c>
      <c r="AN49" s="12">
        <f>'Corp.'!AN$50*(AN$37-(AN31-AN32-AN34)*$C$35)/(SUM('MDA1:NCA9'!AN$37)-SUM('MDA1:NCA9'!AN$31)-SUM('MDA1:NCA9'!AN$32)-SUM('MDA1:NCA9'!AN$34))</f>
        <v>13056.988316346014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118642.19397909653</v>
      </c>
      <c r="F50" s="13">
        <v>116312.89580712435</v>
      </c>
      <c r="G50" s="13">
        <v>113079.01359827476</v>
      </c>
      <c r="H50" s="13">
        <v>110283.96233176593</v>
      </c>
      <c r="I50" s="13">
        <v>108529.81487819614</v>
      </c>
      <c r="J50" s="13">
        <v>106703.40246200669</v>
      </c>
      <c r="K50" s="13">
        <v>104568.70491956851</v>
      </c>
      <c r="L50" s="13">
        <v>103241.24536372069</v>
      </c>
      <c r="M50" s="13">
        <v>101813.05952932453</v>
      </c>
      <c r="N50" s="13">
        <v>100587.38531647877</v>
      </c>
      <c r="O50" s="13">
        <v>99301.489955273049</v>
      </c>
      <c r="P50" s="13">
        <v>98248.132555573276</v>
      </c>
      <c r="Q50" s="13">
        <v>106531.53233057821</v>
      </c>
      <c r="R50" s="13">
        <v>105835.43172971391</v>
      </c>
      <c r="S50" s="13">
        <v>105064.87307393388</v>
      </c>
      <c r="T50" s="13">
        <v>104415.12879698692</v>
      </c>
      <c r="U50" s="13">
        <v>103971.7581585216</v>
      </c>
      <c r="V50" s="13">
        <v>103611.94926565207</v>
      </c>
      <c r="W50" s="13">
        <v>103138.89223152262</v>
      </c>
      <c r="X50" s="13">
        <v>102664.45200949312</v>
      </c>
      <c r="Y50" s="13">
        <v>102357.04373659857</v>
      </c>
      <c r="Z50" s="13">
        <v>102049.46529553449</v>
      </c>
      <c r="AA50" s="13">
        <v>101730.46795990456</v>
      </c>
      <c r="AB50" s="13">
        <v>101418.66614994018</v>
      </c>
      <c r="AC50" s="13">
        <v>110767.77010888942</v>
      </c>
      <c r="AD50" s="13">
        <v>110531.1231794772</v>
      </c>
      <c r="AE50" s="13">
        <v>110307.08624870148</v>
      </c>
      <c r="AF50" s="13">
        <v>110096.4109077148</v>
      </c>
      <c r="AG50" s="13">
        <v>109928.63811354182</v>
      </c>
      <c r="AH50" s="13">
        <v>109706.21353116749</v>
      </c>
      <c r="AI50" s="13">
        <v>109475.61163714292</v>
      </c>
      <c r="AJ50" s="13">
        <v>109237.55476941157</v>
      </c>
      <c r="AK50" s="13">
        <v>109017.66224138193</v>
      </c>
      <c r="AL50" s="13">
        <v>108815.53693299543</v>
      </c>
      <c r="AM50" s="13">
        <v>108597.60366456689</v>
      </c>
      <c r="AN50" s="13">
        <v>108412.12103953179</v>
      </c>
    </row>
    <row r="52" spans="2:40" x14ac:dyDescent="0.25">
      <c r="B52" s="1" t="s">
        <v>50</v>
      </c>
      <c r="E52" s="74">
        <f>E37-E50</f>
        <v>49016.491750823465</v>
      </c>
      <c r="F52" s="74">
        <f t="shared" ref="F52:AN52" si="0">F37-F50</f>
        <v>51345.789922795637</v>
      </c>
      <c r="G52" s="74">
        <f t="shared" si="0"/>
        <v>54579.672131645231</v>
      </c>
      <c r="H52" s="74">
        <f t="shared" si="0"/>
        <v>57374.723398154063</v>
      </c>
      <c r="I52" s="74">
        <f t="shared" si="0"/>
        <v>59128.870851723856</v>
      </c>
      <c r="J52" s="74">
        <f t="shared" si="0"/>
        <v>60955.283267913299</v>
      </c>
      <c r="K52" s="74">
        <f t="shared" si="0"/>
        <v>63089.980810351481</v>
      </c>
      <c r="L52" s="74">
        <f t="shared" si="0"/>
        <v>64417.440366199298</v>
      </c>
      <c r="M52" s="74">
        <f t="shared" si="0"/>
        <v>65845.626200595463</v>
      </c>
      <c r="N52" s="74">
        <f t="shared" si="0"/>
        <v>67071.300413441219</v>
      </c>
      <c r="O52" s="74">
        <f t="shared" si="0"/>
        <v>68357.195774646942</v>
      </c>
      <c r="P52" s="74">
        <f t="shared" si="0"/>
        <v>69410.553174346715</v>
      </c>
      <c r="Q52" s="74">
        <f t="shared" si="0"/>
        <v>66156.913971239366</v>
      </c>
      <c r="R52" s="74">
        <f t="shared" si="0"/>
        <v>66853.014572103668</v>
      </c>
      <c r="S52" s="74">
        <f t="shared" si="0"/>
        <v>67623.573227883695</v>
      </c>
      <c r="T52" s="74">
        <f t="shared" si="0"/>
        <v>68273.317504830658</v>
      </c>
      <c r="U52" s="74">
        <f t="shared" si="0"/>
        <v>68716.688143295978</v>
      </c>
      <c r="V52" s="74">
        <f t="shared" si="0"/>
        <v>69076.4970361655</v>
      </c>
      <c r="W52" s="74">
        <f t="shared" si="0"/>
        <v>69549.554070294951</v>
      </c>
      <c r="X52" s="74">
        <f t="shared" si="0"/>
        <v>70023.994292324453</v>
      </c>
      <c r="Y52" s="74">
        <f t="shared" si="0"/>
        <v>70331.402565219003</v>
      </c>
      <c r="Z52" s="74">
        <f t="shared" si="0"/>
        <v>70638.98100628308</v>
      </c>
      <c r="AA52" s="74">
        <f t="shared" si="0"/>
        <v>70957.978341913011</v>
      </c>
      <c r="AB52" s="74">
        <f t="shared" si="0"/>
        <v>71269.780151877392</v>
      </c>
      <c r="AC52" s="74">
        <f t="shared" si="0"/>
        <v>61920.676192928149</v>
      </c>
      <c r="AD52" s="74">
        <f t="shared" si="0"/>
        <v>62157.323122340371</v>
      </c>
      <c r="AE52" s="74">
        <f t="shared" si="0"/>
        <v>62381.360053116092</v>
      </c>
      <c r="AF52" s="74">
        <f t="shared" si="0"/>
        <v>62592.035394102772</v>
      </c>
      <c r="AG52" s="74">
        <f t="shared" si="0"/>
        <v>62759.808188275754</v>
      </c>
      <c r="AH52" s="74">
        <f t="shared" si="0"/>
        <v>62982.23277065008</v>
      </c>
      <c r="AI52" s="74">
        <f t="shared" si="0"/>
        <v>63212.83466467465</v>
      </c>
      <c r="AJ52" s="74">
        <f t="shared" si="0"/>
        <v>63450.891532406007</v>
      </c>
      <c r="AK52" s="74">
        <f t="shared" si="0"/>
        <v>63670.784060435646</v>
      </c>
      <c r="AL52" s="74">
        <f t="shared" si="0"/>
        <v>63872.909368822147</v>
      </c>
      <c r="AM52" s="74">
        <f t="shared" si="0"/>
        <v>64090.84263725068</v>
      </c>
      <c r="AN52" s="74">
        <f t="shared" si="0"/>
        <v>64276.325262285784</v>
      </c>
    </row>
    <row r="53" spans="2:40" x14ac:dyDescent="0.25">
      <c r="E53" s="107">
        <f>IFERROR(E52/E37,"")</f>
        <v>0.29235879750234789</v>
      </c>
      <c r="F53" s="107">
        <f t="shared" ref="F53:AN53" si="1">IFERROR(F52/F37,"")</f>
        <v>0.30625189323926916</v>
      </c>
      <c r="G53" s="107">
        <f t="shared" si="1"/>
        <v>0.32554037921761586</v>
      </c>
      <c r="H53" s="107">
        <f t="shared" si="1"/>
        <v>0.34221145864508645</v>
      </c>
      <c r="I53" s="107">
        <f t="shared" si="1"/>
        <v>0.35267406871466278</v>
      </c>
      <c r="J53" s="107">
        <f t="shared" si="1"/>
        <v>0.36356770305420183</v>
      </c>
      <c r="K53" s="107">
        <f t="shared" si="1"/>
        <v>0.37630010360443011</v>
      </c>
      <c r="L53" s="107">
        <f t="shared" si="1"/>
        <v>0.38421773429602585</v>
      </c>
      <c r="M53" s="107">
        <f t="shared" si="1"/>
        <v>0.3927361467372209</v>
      </c>
      <c r="N53" s="107">
        <f t="shared" si="1"/>
        <v>0.40004667889074252</v>
      </c>
      <c r="O53" s="107">
        <f t="shared" si="1"/>
        <v>0.40771640000067155</v>
      </c>
      <c r="P53" s="107">
        <f t="shared" si="1"/>
        <v>0.413999148759639</v>
      </c>
      <c r="Q53" s="107">
        <f t="shared" si="1"/>
        <v>0.38309982739443438</v>
      </c>
      <c r="R53" s="107">
        <f t="shared" si="1"/>
        <v>0.38713078960280173</v>
      </c>
      <c r="S53" s="107">
        <f t="shared" si="1"/>
        <v>0.39159292168101434</v>
      </c>
      <c r="T53" s="107">
        <f t="shared" si="1"/>
        <v>0.3953554448310076</v>
      </c>
      <c r="U53" s="107">
        <f t="shared" si="1"/>
        <v>0.39792290460009033</v>
      </c>
      <c r="V53" s="107">
        <f t="shared" si="1"/>
        <v>0.40000647707164216</v>
      </c>
      <c r="W53" s="107">
        <f t="shared" si="1"/>
        <v>0.40274584408929814</v>
      </c>
      <c r="X53" s="107">
        <f t="shared" si="1"/>
        <v>0.40549322083736555</v>
      </c>
      <c r="Y53" s="107">
        <f t="shared" si="1"/>
        <v>0.40727335308985724</v>
      </c>
      <c r="Z53" s="107">
        <f t="shared" si="1"/>
        <v>0.40905447074799234</v>
      </c>
      <c r="AA53" s="107">
        <f t="shared" si="1"/>
        <v>0.41090171265943093</v>
      </c>
      <c r="AB53" s="107">
        <f t="shared" si="1"/>
        <v>0.41270728689813491</v>
      </c>
      <c r="AC53" s="107">
        <f t="shared" si="1"/>
        <v>0.35856872604381307</v>
      </c>
      <c r="AD53" s="107">
        <f t="shared" si="1"/>
        <v>0.3599390952519454</v>
      </c>
      <c r="AE53" s="107">
        <f t="shared" si="1"/>
        <v>0.3612364427906693</v>
      </c>
      <c r="AF53" s="107">
        <f t="shared" si="1"/>
        <v>0.36245641636445702</v>
      </c>
      <c r="AG53" s="107">
        <f t="shared" si="1"/>
        <v>0.36342795092722541</v>
      </c>
      <c r="AH53" s="107">
        <f t="shared" si="1"/>
        <v>0.36471596171855292</v>
      </c>
      <c r="AI53" s="107">
        <f t="shared" si="1"/>
        <v>0.36605132548470515</v>
      </c>
      <c r="AJ53" s="107">
        <f t="shared" si="1"/>
        <v>0.36742985932891664</v>
      </c>
      <c r="AK53" s="107">
        <f t="shared" si="1"/>
        <v>0.36870320756233188</v>
      </c>
      <c r="AL53" s="107">
        <f t="shared" si="1"/>
        <v>0.36987366981800146</v>
      </c>
      <c r="AM53" s="107">
        <f t="shared" si="1"/>
        <v>0.37113567241919249</v>
      </c>
      <c r="AN53" s="107">
        <f t="shared" si="1"/>
        <v>0.37220976063416739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23867.688891335467</v>
      </c>
      <c r="F58" s="13">
        <f t="shared" ref="F58:AN58" si="2">F37-F50-F55+F56</f>
        <v>26196.987063307639</v>
      </c>
      <c r="G58" s="13">
        <f t="shared" si="2"/>
        <v>29430.869272157233</v>
      </c>
      <c r="H58" s="13">
        <f t="shared" si="2"/>
        <v>32225.920538666065</v>
      </c>
      <c r="I58" s="13">
        <f t="shared" si="2"/>
        <v>33980.067992235854</v>
      </c>
      <c r="J58" s="13">
        <f t="shared" si="2"/>
        <v>35806.480408425297</v>
      </c>
      <c r="K58" s="13">
        <f t="shared" si="2"/>
        <v>37941.177950863479</v>
      </c>
      <c r="L58" s="13">
        <f t="shared" si="2"/>
        <v>39268.637506711297</v>
      </c>
      <c r="M58" s="13">
        <f t="shared" si="2"/>
        <v>40696.823341107462</v>
      </c>
      <c r="N58" s="13">
        <f t="shared" si="2"/>
        <v>41922.497553953217</v>
      </c>
      <c r="O58" s="13">
        <f t="shared" si="2"/>
        <v>43208.39291515894</v>
      </c>
      <c r="P58" s="13">
        <f t="shared" si="2"/>
        <v>44261.750314858713</v>
      </c>
      <c r="Q58" s="13">
        <f t="shared" si="2"/>
        <v>41008.111111751365</v>
      </c>
      <c r="R58" s="13">
        <f t="shared" si="2"/>
        <v>41704.211712615666</v>
      </c>
      <c r="S58" s="13">
        <f t="shared" si="2"/>
        <v>42474.770368395693</v>
      </c>
      <c r="T58" s="13">
        <f t="shared" si="2"/>
        <v>43124.514645342657</v>
      </c>
      <c r="U58" s="13">
        <f t="shared" si="2"/>
        <v>43567.885283807977</v>
      </c>
      <c r="V58" s="13">
        <f t="shared" si="2"/>
        <v>43173.230090892859</v>
      </c>
      <c r="W58" s="13">
        <f t="shared" si="2"/>
        <v>43646.287125022311</v>
      </c>
      <c r="X58" s="13">
        <f t="shared" si="2"/>
        <v>44120.727347051812</v>
      </c>
      <c r="Y58" s="13">
        <f t="shared" si="2"/>
        <v>44428.135619946363</v>
      </c>
      <c r="Z58" s="13">
        <f t="shared" si="2"/>
        <v>44735.71406101044</v>
      </c>
      <c r="AA58" s="13">
        <f t="shared" si="2"/>
        <v>45054.71139664037</v>
      </c>
      <c r="AB58" s="13">
        <f t="shared" si="2"/>
        <v>45366.513206604752</v>
      </c>
      <c r="AC58" s="13">
        <f t="shared" si="2"/>
        <v>36017.409247655509</v>
      </c>
      <c r="AD58" s="13">
        <f t="shared" si="2"/>
        <v>36254.05617706773</v>
      </c>
      <c r="AE58" s="13">
        <f t="shared" si="2"/>
        <v>36478.093107843451</v>
      </c>
      <c r="AF58" s="13">
        <f t="shared" si="2"/>
        <v>36688.768448830131</v>
      </c>
      <c r="AG58" s="13">
        <f t="shared" si="2"/>
        <v>36856.541243003114</v>
      </c>
      <c r="AH58" s="13">
        <f t="shared" si="2"/>
        <v>37078.96582537744</v>
      </c>
      <c r="AI58" s="13">
        <f t="shared" si="2"/>
        <v>37309.56771940201</v>
      </c>
      <c r="AJ58" s="13">
        <f t="shared" si="2"/>
        <v>37547.624587133367</v>
      </c>
      <c r="AK58" s="13">
        <f t="shared" si="2"/>
        <v>37767.517115163006</v>
      </c>
      <c r="AL58" s="13">
        <f t="shared" si="2"/>
        <v>37969.642423549507</v>
      </c>
      <c r="AM58" s="13">
        <f t="shared" si="2"/>
        <v>38187.57569197804</v>
      </c>
      <c r="AN58" s="13">
        <f t="shared" si="2"/>
        <v>38373.058317013143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23867.688891335467</v>
      </c>
      <c r="F59" s="12">
        <v>50064.675954643106</v>
      </c>
      <c r="G59" s="12">
        <v>79495.545226800343</v>
      </c>
      <c r="H59" s="12">
        <v>111721.4657654664</v>
      </c>
      <c r="I59" s="12">
        <v>145701.53375770227</v>
      </c>
      <c r="J59" s="12">
        <v>181508.01416612757</v>
      </c>
      <c r="K59" s="12">
        <v>219449.19211699103</v>
      </c>
      <c r="L59" s="12">
        <v>258717.82962370233</v>
      </c>
      <c r="M59" s="12">
        <v>299414.65296480979</v>
      </c>
      <c r="N59" s="12">
        <v>341337.150518763</v>
      </c>
      <c r="O59" s="12">
        <v>384545.54343392194</v>
      </c>
      <c r="P59" s="12">
        <v>428807.29374878062</v>
      </c>
      <c r="Q59" s="12">
        <v>469815.40486053197</v>
      </c>
      <c r="R59" s="12">
        <v>511519.61657314765</v>
      </c>
      <c r="S59" s="12">
        <v>553994.38694154331</v>
      </c>
      <c r="T59" s="12">
        <v>597118.90158688603</v>
      </c>
      <c r="U59" s="12">
        <v>640686.78687069402</v>
      </c>
      <c r="V59" s="12">
        <v>683860.01696158689</v>
      </c>
      <c r="W59" s="12">
        <v>727506.30408660916</v>
      </c>
      <c r="X59" s="12">
        <v>771627.031433661</v>
      </c>
      <c r="Y59" s="12">
        <v>816055.16705360741</v>
      </c>
      <c r="Z59" s="12">
        <v>860790.8811146178</v>
      </c>
      <c r="AA59" s="12">
        <v>905845.5925112582</v>
      </c>
      <c r="AB59" s="12">
        <v>951212.10571786296</v>
      </c>
      <c r="AC59" s="12">
        <v>987229.51496551849</v>
      </c>
      <c r="AD59" s="12">
        <v>1023483.5711425862</v>
      </c>
      <c r="AE59" s="12">
        <v>1059961.6642504297</v>
      </c>
      <c r="AF59" s="12">
        <v>1096650.4326992598</v>
      </c>
      <c r="AG59" s="12">
        <v>1133506.9739422631</v>
      </c>
      <c r="AH59" s="12">
        <v>1170585.9397676405</v>
      </c>
      <c r="AI59" s="12">
        <v>1207895.5074870426</v>
      </c>
      <c r="AJ59" s="12">
        <v>1245443.1320741759</v>
      </c>
      <c r="AK59" s="12">
        <v>1283210.6491893388</v>
      </c>
      <c r="AL59" s="12">
        <v>1321180.2916128882</v>
      </c>
      <c r="AM59" s="12">
        <v>1359367.8673048662</v>
      </c>
      <c r="AN59" s="12">
        <v>1397740.9256218793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162E-4855-44BB-AEC3-9ACA0623EAF1}">
  <dimension ref="A1:AX75"/>
  <sheetViews>
    <sheetView workbookViewId="0">
      <pane xSplit="4" ySplit="25" topLeftCell="E50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2024</v>
      </c>
      <c r="B1" s="10" t="s">
        <v>489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37</v>
      </c>
      <c r="F1" s="69">
        <v>37</v>
      </c>
      <c r="G1" s="69">
        <v>37</v>
      </c>
      <c r="H1" s="69">
        <v>37</v>
      </c>
      <c r="I1" s="69">
        <v>37</v>
      </c>
      <c r="J1" s="69">
        <v>37</v>
      </c>
      <c r="K1" s="69">
        <v>37</v>
      </c>
      <c r="L1" s="69">
        <v>37</v>
      </c>
      <c r="M1" s="69">
        <v>37</v>
      </c>
      <c r="N1" s="69">
        <v>37</v>
      </c>
      <c r="O1" s="69">
        <v>37</v>
      </c>
      <c r="P1" s="69">
        <v>37</v>
      </c>
      <c r="Q1" s="69">
        <v>37</v>
      </c>
      <c r="R1" s="69">
        <v>37</v>
      </c>
      <c r="S1" s="69">
        <v>37</v>
      </c>
      <c r="T1" s="69">
        <v>37</v>
      </c>
      <c r="U1" s="69">
        <v>37</v>
      </c>
      <c r="V1" s="69">
        <v>37</v>
      </c>
      <c r="W1" s="69">
        <v>37</v>
      </c>
      <c r="X1" s="69">
        <v>37</v>
      </c>
      <c r="Y1" s="69">
        <v>37</v>
      </c>
      <c r="Z1" s="69">
        <v>37</v>
      </c>
      <c r="AA1" s="69">
        <v>37</v>
      </c>
      <c r="AB1" s="69">
        <v>37</v>
      </c>
      <c r="AC1" s="69">
        <v>37</v>
      </c>
      <c r="AD1" s="69">
        <v>37</v>
      </c>
      <c r="AE1" s="69">
        <v>37</v>
      </c>
      <c r="AF1" s="69">
        <v>37</v>
      </c>
      <c r="AG1" s="69">
        <v>37</v>
      </c>
      <c r="AH1" s="69">
        <v>37</v>
      </c>
      <c r="AI1" s="69">
        <v>37</v>
      </c>
      <c r="AJ1" s="69">
        <v>37</v>
      </c>
      <c r="AK1" s="69">
        <v>37</v>
      </c>
      <c r="AL1" s="69">
        <v>37</v>
      </c>
      <c r="AM1" s="69">
        <v>37</v>
      </c>
      <c r="AN1" s="69">
        <v>37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2.8333333333333335</v>
      </c>
      <c r="F2" s="69">
        <v>3</v>
      </c>
      <c r="G2" s="69">
        <v>3.1666666666666665</v>
      </c>
      <c r="H2" s="69">
        <v>3.3333333333333335</v>
      </c>
      <c r="I2" s="69">
        <v>3.5</v>
      </c>
      <c r="J2" s="69">
        <v>3.6666666666666665</v>
      </c>
      <c r="K2" s="69">
        <v>3.8333333333333335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2.8333333333333335</v>
      </c>
      <c r="F3" s="69">
        <v>3</v>
      </c>
      <c r="G3" s="69">
        <v>3.1666666666666665</v>
      </c>
      <c r="H3" s="69">
        <v>3.3333333333333335</v>
      </c>
      <c r="I3" s="69">
        <v>3.5</v>
      </c>
      <c r="J3" s="69">
        <v>3.6666666666666665</v>
      </c>
      <c r="K3" s="69">
        <v>3.8333333333333335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39.833333333333336</v>
      </c>
      <c r="F4" s="69">
        <v>40</v>
      </c>
      <c r="G4" s="69">
        <v>40.166666666666664</v>
      </c>
      <c r="H4" s="69">
        <v>40.333333333333336</v>
      </c>
      <c r="I4" s="69">
        <v>40.5</v>
      </c>
      <c r="J4" s="69">
        <v>40.666666666666664</v>
      </c>
      <c r="K4" s="69">
        <v>40.833333333333336</v>
      </c>
      <c r="L4" s="69">
        <v>41</v>
      </c>
      <c r="M4" s="69">
        <v>41</v>
      </c>
      <c r="N4" s="69">
        <v>41</v>
      </c>
      <c r="O4" s="69">
        <v>41</v>
      </c>
      <c r="P4" s="69">
        <v>41</v>
      </c>
      <c r="Q4" s="69">
        <v>41</v>
      </c>
      <c r="R4" s="69">
        <v>41</v>
      </c>
      <c r="S4" s="69">
        <v>41</v>
      </c>
      <c r="T4" s="69">
        <v>41</v>
      </c>
      <c r="U4" s="69">
        <v>41</v>
      </c>
      <c r="V4" s="69">
        <v>41</v>
      </c>
      <c r="W4" s="69">
        <v>41</v>
      </c>
      <c r="X4" s="69">
        <v>41</v>
      </c>
      <c r="Y4" s="69">
        <v>41</v>
      </c>
      <c r="Z4" s="69">
        <v>41</v>
      </c>
      <c r="AA4" s="69">
        <v>41</v>
      </c>
      <c r="AB4" s="69">
        <v>41</v>
      </c>
      <c r="AC4" s="69">
        <v>41</v>
      </c>
      <c r="AD4" s="69">
        <v>41</v>
      </c>
      <c r="AE4" s="69">
        <v>41</v>
      </c>
      <c r="AF4" s="69">
        <v>41</v>
      </c>
      <c r="AG4" s="69">
        <v>41</v>
      </c>
      <c r="AH4" s="69">
        <v>41</v>
      </c>
      <c r="AI4" s="69">
        <v>41</v>
      </c>
      <c r="AJ4" s="69">
        <v>41</v>
      </c>
      <c r="AK4" s="69">
        <v>41</v>
      </c>
      <c r="AL4" s="69">
        <v>41</v>
      </c>
      <c r="AM4" s="69">
        <v>41</v>
      </c>
      <c r="AN4" s="69">
        <v>41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45</v>
      </c>
      <c r="F6" s="66">
        <v>45</v>
      </c>
      <c r="G6" s="66">
        <v>45</v>
      </c>
      <c r="H6" s="66">
        <v>45</v>
      </c>
      <c r="I6" s="66">
        <v>45</v>
      </c>
      <c r="J6" s="66">
        <v>45</v>
      </c>
      <c r="K6" s="66">
        <v>45</v>
      </c>
      <c r="L6" s="66">
        <v>45</v>
      </c>
      <c r="M6" s="66">
        <v>45</v>
      </c>
      <c r="N6" s="66">
        <v>45</v>
      </c>
      <c r="O6" s="66">
        <v>45</v>
      </c>
      <c r="P6" s="66">
        <v>45</v>
      </c>
      <c r="Q6" s="66">
        <v>45</v>
      </c>
      <c r="R6" s="66">
        <v>45</v>
      </c>
      <c r="S6" s="66">
        <v>45</v>
      </c>
      <c r="T6" s="66">
        <v>45</v>
      </c>
      <c r="U6" s="66">
        <v>45</v>
      </c>
      <c r="V6" s="66">
        <v>45</v>
      </c>
      <c r="W6" s="66">
        <v>45</v>
      </c>
      <c r="X6" s="66">
        <v>45</v>
      </c>
      <c r="Y6" s="66">
        <v>45</v>
      </c>
      <c r="Z6" s="66">
        <v>45</v>
      </c>
      <c r="AA6" s="66">
        <v>45</v>
      </c>
      <c r="AB6" s="66">
        <v>45</v>
      </c>
      <c r="AC6" s="66">
        <v>45</v>
      </c>
      <c r="AD6" s="66">
        <v>45</v>
      </c>
      <c r="AE6" s="66">
        <v>45</v>
      </c>
      <c r="AF6" s="66">
        <v>45</v>
      </c>
      <c r="AG6" s="66">
        <v>45</v>
      </c>
      <c r="AH6" s="66">
        <v>45</v>
      </c>
      <c r="AI6" s="66">
        <v>45</v>
      </c>
      <c r="AJ6" s="66">
        <v>45</v>
      </c>
      <c r="AK6" s="66">
        <v>45</v>
      </c>
      <c r="AL6" s="66">
        <v>45</v>
      </c>
      <c r="AM6" s="66">
        <v>45</v>
      </c>
      <c r="AN6" s="66">
        <v>45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31.720000000000002</v>
      </c>
      <c r="F7" s="108">
        <v>31.720000000000002</v>
      </c>
      <c r="G7" s="108">
        <v>31.720000000000002</v>
      </c>
      <c r="H7" s="108">
        <v>31.720000000000002</v>
      </c>
      <c r="I7" s="108">
        <v>31.720000000000002</v>
      </c>
      <c r="J7" s="108">
        <v>31.720000000000002</v>
      </c>
      <c r="K7" s="108">
        <v>31.720000000000002</v>
      </c>
      <c r="L7" s="108">
        <v>31.720000000000002</v>
      </c>
      <c r="M7" s="108">
        <v>31.720000000000002</v>
      </c>
      <c r="N7" s="108">
        <v>31.720000000000002</v>
      </c>
      <c r="O7" s="108">
        <v>31.720000000000002</v>
      </c>
      <c r="P7" s="108">
        <v>31.720000000000002</v>
      </c>
      <c r="Q7" s="108">
        <v>31.720000000000002</v>
      </c>
      <c r="R7" s="108">
        <v>31.720000000000002</v>
      </c>
      <c r="S7" s="108">
        <v>31.720000000000002</v>
      </c>
      <c r="T7" s="108">
        <v>31.720000000000002</v>
      </c>
      <c r="U7" s="108">
        <v>31.720000000000002</v>
      </c>
      <c r="V7" s="108">
        <v>31.720000000000002</v>
      </c>
      <c r="W7" s="108">
        <v>31.720000000000002</v>
      </c>
      <c r="X7" s="108">
        <v>31.720000000000002</v>
      </c>
      <c r="Y7" s="108">
        <v>31.720000000000002</v>
      </c>
      <c r="Z7" s="108">
        <v>31.720000000000002</v>
      </c>
      <c r="AA7" s="108">
        <v>31.720000000000002</v>
      </c>
      <c r="AB7" s="108">
        <v>31.720000000000002</v>
      </c>
      <c r="AC7" s="108">
        <v>31.720000000000002</v>
      </c>
      <c r="AD7" s="108">
        <v>31.720000000000002</v>
      </c>
      <c r="AE7" s="108">
        <v>31.720000000000002</v>
      </c>
      <c r="AF7" s="108">
        <v>31.720000000000002</v>
      </c>
      <c r="AG7" s="108">
        <v>31.720000000000002</v>
      </c>
      <c r="AH7" s="108">
        <v>31.720000000000002</v>
      </c>
      <c r="AI7" s="108">
        <v>31.720000000000002</v>
      </c>
      <c r="AJ7" s="108">
        <v>31.720000000000002</v>
      </c>
      <c r="AK7" s="108">
        <v>31.720000000000002</v>
      </c>
      <c r="AL7" s="108">
        <v>31.720000000000002</v>
      </c>
      <c r="AM7" s="108">
        <v>31.720000000000002</v>
      </c>
      <c r="AN7" s="108">
        <v>31.720000000000002</v>
      </c>
    </row>
    <row r="8" spans="1:40" hidden="1" outlineLevel="1" x14ac:dyDescent="0.25">
      <c r="B8" s="39" t="str">
        <v>Secondary Direct Staff</v>
      </c>
      <c r="C8" s="3"/>
      <c r="D8" s="3"/>
      <c r="E8" s="108">
        <v>5.29</v>
      </c>
      <c r="F8" s="108">
        <v>5.29</v>
      </c>
      <c r="G8" s="108">
        <v>5.29</v>
      </c>
      <c r="H8" s="108">
        <v>5.29</v>
      </c>
      <c r="I8" s="108">
        <v>5.29</v>
      </c>
      <c r="J8" s="108">
        <v>5.29</v>
      </c>
      <c r="K8" s="108">
        <v>5.29</v>
      </c>
      <c r="L8" s="108">
        <v>5.29</v>
      </c>
      <c r="M8" s="108">
        <v>5.29</v>
      </c>
      <c r="N8" s="108">
        <v>5.29</v>
      </c>
      <c r="O8" s="108">
        <v>5.29</v>
      </c>
      <c r="P8" s="108">
        <v>5.29</v>
      </c>
      <c r="Q8" s="108">
        <v>5.29</v>
      </c>
      <c r="R8" s="108">
        <v>5.29</v>
      </c>
      <c r="S8" s="108">
        <v>5.29</v>
      </c>
      <c r="T8" s="108">
        <v>5.29</v>
      </c>
      <c r="U8" s="108">
        <v>5.29</v>
      </c>
      <c r="V8" s="108">
        <v>5.29</v>
      </c>
      <c r="W8" s="108">
        <v>5.29</v>
      </c>
      <c r="X8" s="108">
        <v>5.29</v>
      </c>
      <c r="Y8" s="108">
        <v>5.29</v>
      </c>
      <c r="Z8" s="108">
        <v>5.29</v>
      </c>
      <c r="AA8" s="108">
        <v>5.29</v>
      </c>
      <c r="AB8" s="108">
        <v>5.29</v>
      </c>
      <c r="AC8" s="108">
        <v>5.29</v>
      </c>
      <c r="AD8" s="108">
        <v>5.29</v>
      </c>
      <c r="AE8" s="108">
        <v>5.29</v>
      </c>
      <c r="AF8" s="108">
        <v>5.29</v>
      </c>
      <c r="AG8" s="108">
        <v>5.29</v>
      </c>
      <c r="AH8" s="108">
        <v>5.29</v>
      </c>
      <c r="AI8" s="108">
        <v>5.29</v>
      </c>
      <c r="AJ8" s="108">
        <v>5.29</v>
      </c>
      <c r="AK8" s="108">
        <v>5.29</v>
      </c>
      <c r="AL8" s="108">
        <v>5.29</v>
      </c>
      <c r="AM8" s="108">
        <v>5.29</v>
      </c>
      <c r="AN8" s="108">
        <v>5.29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0.22</v>
      </c>
      <c r="F12" s="108">
        <v>0.24000000000000002</v>
      </c>
      <c r="G12" s="108">
        <v>0.25</v>
      </c>
      <c r="H12" s="108">
        <v>0.26</v>
      </c>
      <c r="I12" s="108">
        <v>0.27</v>
      </c>
      <c r="J12" s="108">
        <v>0.29000000000000004</v>
      </c>
      <c r="K12" s="108">
        <v>0.3</v>
      </c>
      <c r="L12" s="108">
        <v>0.31</v>
      </c>
      <c r="M12" s="108">
        <v>0.31</v>
      </c>
      <c r="N12" s="108">
        <v>0.31</v>
      </c>
      <c r="O12" s="108">
        <v>0.31</v>
      </c>
      <c r="P12" s="108">
        <v>0.31</v>
      </c>
      <c r="Q12" s="108">
        <v>0.31</v>
      </c>
      <c r="R12" s="108">
        <v>0.31</v>
      </c>
      <c r="S12" s="108">
        <v>0.31</v>
      </c>
      <c r="T12" s="108">
        <v>0.31</v>
      </c>
      <c r="U12" s="108">
        <v>0.31</v>
      </c>
      <c r="V12" s="108">
        <v>0.31</v>
      </c>
      <c r="W12" s="108">
        <v>0.31</v>
      </c>
      <c r="X12" s="108">
        <v>0.31</v>
      </c>
      <c r="Y12" s="108">
        <v>0.31</v>
      </c>
      <c r="Z12" s="108">
        <v>0.31</v>
      </c>
      <c r="AA12" s="108">
        <v>0.31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0.49</v>
      </c>
      <c r="F13" s="108">
        <v>0.51</v>
      </c>
      <c r="G13" s="108">
        <v>0.53</v>
      </c>
      <c r="H13" s="108">
        <v>0.54</v>
      </c>
      <c r="I13" s="108">
        <v>0.56000000000000005</v>
      </c>
      <c r="J13" s="108">
        <v>0.57999999999999996</v>
      </c>
      <c r="K13" s="108">
        <v>0.59</v>
      </c>
      <c r="L13" s="108">
        <v>0.61</v>
      </c>
      <c r="M13" s="108">
        <v>0.61</v>
      </c>
      <c r="N13" s="108">
        <v>0.61</v>
      </c>
      <c r="O13" s="108">
        <v>0.61</v>
      </c>
      <c r="P13" s="108">
        <v>0.61</v>
      </c>
      <c r="Q13" s="108">
        <v>0.61</v>
      </c>
      <c r="R13" s="108">
        <v>0.61</v>
      </c>
      <c r="S13" s="108">
        <v>0.61</v>
      </c>
      <c r="T13" s="108">
        <v>0.61</v>
      </c>
      <c r="U13" s="108">
        <v>0.61</v>
      </c>
      <c r="V13" s="108">
        <v>0.61</v>
      </c>
      <c r="W13" s="108">
        <v>0.61</v>
      </c>
      <c r="X13" s="108">
        <v>0.61</v>
      </c>
      <c r="Y13" s="108">
        <v>0.61</v>
      </c>
      <c r="Z13" s="108">
        <v>0.61</v>
      </c>
      <c r="AA13" s="108">
        <v>0.61</v>
      </c>
      <c r="AB13" s="108">
        <v>0.61</v>
      </c>
      <c r="AC13" s="108">
        <v>0.61</v>
      </c>
      <c r="AD13" s="108">
        <v>0.61</v>
      </c>
      <c r="AE13" s="108">
        <v>0.61</v>
      </c>
      <c r="AF13" s="108">
        <v>0.61</v>
      </c>
      <c r="AG13" s="108">
        <v>0.61</v>
      </c>
      <c r="AH13" s="108">
        <v>0.61</v>
      </c>
      <c r="AI13" s="108">
        <v>0.61</v>
      </c>
      <c r="AJ13" s="108">
        <v>0.61</v>
      </c>
      <c r="AK13" s="108">
        <v>0.61</v>
      </c>
      <c r="AL13" s="108">
        <v>0.61</v>
      </c>
      <c r="AM13" s="108">
        <v>0.61</v>
      </c>
      <c r="AN13" s="108">
        <v>0.61</v>
      </c>
    </row>
    <row r="14" spans="1:40" hidden="1" outlineLevel="1" x14ac:dyDescent="0.25">
      <c r="B14" s="39" t="str">
        <v>Recruiter</v>
      </c>
      <c r="C14" s="3"/>
      <c r="D14" s="3"/>
      <c r="E14" s="108">
        <v>0.35000000000000003</v>
      </c>
      <c r="F14" s="108">
        <v>0.36</v>
      </c>
      <c r="G14" s="108">
        <v>0.37</v>
      </c>
      <c r="H14" s="108">
        <v>0.38</v>
      </c>
      <c r="I14" s="108">
        <v>0.38</v>
      </c>
      <c r="J14" s="108">
        <v>0.39</v>
      </c>
      <c r="K14" s="108">
        <v>0.4</v>
      </c>
      <c r="L14" s="108">
        <v>0.41000000000000003</v>
      </c>
      <c r="M14" s="108">
        <v>0.41000000000000003</v>
      </c>
      <c r="N14" s="108">
        <v>0.41000000000000003</v>
      </c>
      <c r="O14" s="108">
        <v>0.41000000000000003</v>
      </c>
      <c r="P14" s="108">
        <v>0.41000000000000003</v>
      </c>
      <c r="Q14" s="108">
        <v>0.41000000000000003</v>
      </c>
      <c r="R14" s="108">
        <v>0.41000000000000003</v>
      </c>
      <c r="S14" s="108">
        <v>0.41000000000000003</v>
      </c>
      <c r="T14" s="108">
        <v>0.41000000000000003</v>
      </c>
      <c r="U14" s="108">
        <v>0.41000000000000003</v>
      </c>
      <c r="V14" s="108">
        <v>0.41000000000000003</v>
      </c>
      <c r="W14" s="108">
        <v>0.41000000000000003</v>
      </c>
      <c r="X14" s="108">
        <v>0.41000000000000003</v>
      </c>
      <c r="Y14" s="108">
        <v>0.41000000000000003</v>
      </c>
      <c r="Z14" s="108">
        <v>0.41000000000000003</v>
      </c>
      <c r="AA14" s="108">
        <v>0.41000000000000003</v>
      </c>
      <c r="AB14" s="108">
        <v>0.41000000000000003</v>
      </c>
      <c r="AC14" s="108">
        <v>0.41000000000000003</v>
      </c>
      <c r="AD14" s="108">
        <v>0.41000000000000003</v>
      </c>
      <c r="AE14" s="108">
        <v>0.41000000000000003</v>
      </c>
      <c r="AF14" s="108">
        <v>0.41000000000000003</v>
      </c>
      <c r="AG14" s="108">
        <v>0.41000000000000003</v>
      </c>
      <c r="AH14" s="108">
        <v>0.41000000000000003</v>
      </c>
      <c r="AI14" s="108">
        <v>0.41000000000000003</v>
      </c>
      <c r="AJ14" s="108">
        <v>0.41000000000000003</v>
      </c>
      <c r="AK14" s="108">
        <v>0.41000000000000003</v>
      </c>
      <c r="AL14" s="108">
        <v>0.41000000000000003</v>
      </c>
      <c r="AM14" s="108">
        <v>0.41000000000000003</v>
      </c>
      <c r="AN14" s="108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0.15000000000000002</v>
      </c>
      <c r="F15" s="108">
        <v>0.15000000000000002</v>
      </c>
      <c r="G15" s="108">
        <v>0.15000000000000002</v>
      </c>
      <c r="H15" s="108">
        <v>0.15000000000000002</v>
      </c>
      <c r="I15" s="108">
        <v>0.15000000000000002</v>
      </c>
      <c r="J15" s="108">
        <v>0.15000000000000002</v>
      </c>
      <c r="K15" s="108">
        <v>0.15000000000000002</v>
      </c>
      <c r="L15" s="108">
        <v>0.15000000000000002</v>
      </c>
      <c r="M15" s="108">
        <v>0.15000000000000002</v>
      </c>
      <c r="N15" s="108">
        <v>0.15000000000000002</v>
      </c>
      <c r="O15" s="108">
        <v>0.15000000000000002</v>
      </c>
      <c r="P15" s="108">
        <v>0.15000000000000002</v>
      </c>
      <c r="Q15" s="108">
        <v>0.15000000000000002</v>
      </c>
      <c r="R15" s="108">
        <v>0.15000000000000002</v>
      </c>
      <c r="S15" s="108">
        <v>0.15000000000000002</v>
      </c>
      <c r="T15" s="108">
        <v>0.15000000000000002</v>
      </c>
      <c r="U15" s="108">
        <v>0.15000000000000002</v>
      </c>
      <c r="V15" s="108">
        <v>0.15000000000000002</v>
      </c>
      <c r="W15" s="108">
        <v>0.15000000000000002</v>
      </c>
      <c r="X15" s="108">
        <v>0.15000000000000002</v>
      </c>
      <c r="Y15" s="108">
        <v>0.15000000000000002</v>
      </c>
      <c r="Z15" s="108">
        <v>0.15000000000000002</v>
      </c>
      <c r="AA15" s="108">
        <v>0.15000000000000002</v>
      </c>
      <c r="AB15" s="108">
        <v>0.15000000000000002</v>
      </c>
      <c r="AC15" s="108">
        <v>0.15000000000000002</v>
      </c>
      <c r="AD15" s="108">
        <v>0.15000000000000002</v>
      </c>
      <c r="AE15" s="108">
        <v>0.15000000000000002</v>
      </c>
      <c r="AF15" s="108">
        <v>0.15000000000000002</v>
      </c>
      <c r="AG15" s="108">
        <v>0.15000000000000002</v>
      </c>
      <c r="AH15" s="108">
        <v>0.15000000000000002</v>
      </c>
      <c r="AI15" s="108">
        <v>0.15000000000000002</v>
      </c>
      <c r="AJ15" s="108">
        <v>0.15000000000000002</v>
      </c>
      <c r="AK15" s="108">
        <v>0.15000000000000002</v>
      </c>
      <c r="AL15" s="108">
        <v>0.15000000000000002</v>
      </c>
      <c r="AM15" s="108">
        <v>0.15000000000000002</v>
      </c>
      <c r="AN15" s="108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0.15000000000000002</v>
      </c>
      <c r="F16" s="108">
        <v>0.15000000000000002</v>
      </c>
      <c r="G16" s="108">
        <v>0.15000000000000002</v>
      </c>
      <c r="H16" s="108">
        <v>0.15000000000000002</v>
      </c>
      <c r="I16" s="108">
        <v>0.15000000000000002</v>
      </c>
      <c r="J16" s="108">
        <v>0.15000000000000002</v>
      </c>
      <c r="K16" s="108">
        <v>0.15000000000000002</v>
      </c>
      <c r="L16" s="108">
        <v>0.15000000000000002</v>
      </c>
      <c r="M16" s="108">
        <v>0.15000000000000002</v>
      </c>
      <c r="N16" s="108">
        <v>0.15000000000000002</v>
      </c>
      <c r="O16" s="108">
        <v>0.15000000000000002</v>
      </c>
      <c r="P16" s="108">
        <v>0.15000000000000002</v>
      </c>
      <c r="Q16" s="108">
        <v>0.15000000000000002</v>
      </c>
      <c r="R16" s="108">
        <v>0.15000000000000002</v>
      </c>
      <c r="S16" s="108">
        <v>0.15000000000000002</v>
      </c>
      <c r="T16" s="108">
        <v>0.15000000000000002</v>
      </c>
      <c r="U16" s="108">
        <v>0.15000000000000002</v>
      </c>
      <c r="V16" s="108">
        <v>0.15000000000000002</v>
      </c>
      <c r="W16" s="108">
        <v>0.15000000000000002</v>
      </c>
      <c r="X16" s="108">
        <v>0.15000000000000002</v>
      </c>
      <c r="Y16" s="108">
        <v>0.15000000000000002</v>
      </c>
      <c r="Z16" s="108">
        <v>0.15000000000000002</v>
      </c>
      <c r="AA16" s="108">
        <v>0.15000000000000002</v>
      </c>
      <c r="AB16" s="108">
        <v>0.15000000000000002</v>
      </c>
      <c r="AC16" s="108">
        <v>0.15000000000000002</v>
      </c>
      <c r="AD16" s="108">
        <v>0.15000000000000002</v>
      </c>
      <c r="AE16" s="108">
        <v>0.15000000000000002</v>
      </c>
      <c r="AF16" s="108">
        <v>0.15000000000000002</v>
      </c>
      <c r="AG16" s="108">
        <v>0.15000000000000002</v>
      </c>
      <c r="AH16" s="108">
        <v>0.15000000000000002</v>
      </c>
      <c r="AI16" s="108">
        <v>0.15000000000000002</v>
      </c>
      <c r="AJ16" s="108">
        <v>0.15000000000000002</v>
      </c>
      <c r="AK16" s="108">
        <v>0.15000000000000002</v>
      </c>
      <c r="AL16" s="108">
        <v>0.15000000000000002</v>
      </c>
      <c r="AM16" s="108">
        <v>0.15000000000000002</v>
      </c>
      <c r="AN16" s="108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3.7</v>
      </c>
      <c r="F17" s="108">
        <v>3.7</v>
      </c>
      <c r="G17" s="108">
        <v>3.7</v>
      </c>
      <c r="H17" s="108">
        <v>3.7</v>
      </c>
      <c r="I17" s="108">
        <v>3.7</v>
      </c>
      <c r="J17" s="108">
        <v>3.7</v>
      </c>
      <c r="K17" s="108">
        <v>3.7</v>
      </c>
      <c r="L17" s="108">
        <v>3.7</v>
      </c>
      <c r="M17" s="108">
        <v>3.7</v>
      </c>
      <c r="N17" s="108">
        <v>3.7</v>
      </c>
      <c r="O17" s="108">
        <v>3.7</v>
      </c>
      <c r="P17" s="108">
        <v>3.7</v>
      </c>
      <c r="Q17" s="108">
        <v>3.7</v>
      </c>
      <c r="R17" s="108">
        <v>3.7</v>
      </c>
      <c r="S17" s="108">
        <v>3.7</v>
      </c>
      <c r="T17" s="108">
        <v>3.7</v>
      </c>
      <c r="U17" s="108">
        <v>3.7</v>
      </c>
      <c r="V17" s="108">
        <v>3.7</v>
      </c>
      <c r="W17" s="108">
        <v>3.7</v>
      </c>
      <c r="X17" s="108">
        <v>3.7</v>
      </c>
      <c r="Y17" s="108">
        <v>3.7</v>
      </c>
      <c r="Z17" s="108">
        <v>3.7</v>
      </c>
      <c r="AA17" s="108">
        <v>3.7</v>
      </c>
      <c r="AB17" s="108">
        <v>3.7</v>
      </c>
      <c r="AC17" s="108">
        <v>3.7</v>
      </c>
      <c r="AD17" s="108">
        <v>3.7</v>
      </c>
      <c r="AE17" s="108">
        <v>3.7</v>
      </c>
      <c r="AF17" s="108">
        <v>3.7</v>
      </c>
      <c r="AG17" s="108">
        <v>3.7</v>
      </c>
      <c r="AH17" s="108">
        <v>3.7</v>
      </c>
      <c r="AI17" s="108">
        <v>3.7</v>
      </c>
      <c r="AJ17" s="108">
        <v>3.7</v>
      </c>
      <c r="AK17" s="108">
        <v>3.7</v>
      </c>
      <c r="AL17" s="108">
        <v>3.7</v>
      </c>
      <c r="AM17" s="108">
        <v>3.7</v>
      </c>
      <c r="AN17" s="108">
        <v>3.7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37</v>
      </c>
      <c r="F21" s="120">
        <v>37</v>
      </c>
      <c r="G21" s="120">
        <v>37</v>
      </c>
      <c r="H21" s="120">
        <v>37</v>
      </c>
      <c r="I21" s="120">
        <v>37</v>
      </c>
      <c r="J21" s="120">
        <v>37</v>
      </c>
      <c r="K21" s="120">
        <v>37</v>
      </c>
      <c r="L21" s="120">
        <v>37</v>
      </c>
      <c r="M21" s="120">
        <v>37</v>
      </c>
      <c r="N21" s="120">
        <v>37</v>
      </c>
      <c r="O21" s="120">
        <v>37</v>
      </c>
      <c r="P21" s="120">
        <v>37</v>
      </c>
      <c r="Q21" s="120">
        <v>37</v>
      </c>
      <c r="R21" s="120">
        <v>37</v>
      </c>
      <c r="S21" s="120">
        <v>37</v>
      </c>
      <c r="T21" s="120">
        <v>37</v>
      </c>
      <c r="U21" s="120">
        <v>37</v>
      </c>
      <c r="V21" s="120">
        <v>37</v>
      </c>
      <c r="W21" s="120">
        <v>37</v>
      </c>
      <c r="X21" s="120">
        <v>37</v>
      </c>
      <c r="Y21" s="120">
        <v>37</v>
      </c>
      <c r="Z21" s="120">
        <v>37</v>
      </c>
      <c r="AA21" s="120">
        <v>37</v>
      </c>
      <c r="AB21" s="120">
        <v>37</v>
      </c>
      <c r="AC21" s="120">
        <v>37</v>
      </c>
      <c r="AD21" s="120">
        <v>37</v>
      </c>
      <c r="AE21" s="120">
        <v>37</v>
      </c>
      <c r="AF21" s="120">
        <v>37</v>
      </c>
      <c r="AG21" s="120">
        <v>37</v>
      </c>
      <c r="AH21" s="120">
        <v>37</v>
      </c>
      <c r="AI21" s="120">
        <v>37</v>
      </c>
      <c r="AJ21" s="120">
        <v>37</v>
      </c>
      <c r="AK21" s="120">
        <v>37</v>
      </c>
      <c r="AL21" s="120">
        <v>37</v>
      </c>
      <c r="AM21" s="120">
        <v>37</v>
      </c>
      <c r="AN21" s="120">
        <v>37</v>
      </c>
    </row>
    <row r="22" spans="2:50" x14ac:dyDescent="0.25">
      <c r="B22" s="2" t="s">
        <v>464</v>
      </c>
      <c r="C22" s="3"/>
      <c r="D22" s="77">
        <f>MAX(_xlfn.ANCHORARRAY(E22))</f>
        <v>95.980542519553083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93.184992737430193</v>
      </c>
      <c r="F22" s="78">
        <v>93.184992737430193</v>
      </c>
      <c r="G22" s="78">
        <v>93.184992737430193</v>
      </c>
      <c r="H22" s="78">
        <v>93.184992737430193</v>
      </c>
      <c r="I22" s="78">
        <v>93.184992737430193</v>
      </c>
      <c r="J22" s="78">
        <v>93.184992737430193</v>
      </c>
      <c r="K22" s="78">
        <v>93.184992737430193</v>
      </c>
      <c r="L22" s="78">
        <v>93.184992737430193</v>
      </c>
      <c r="M22" s="78">
        <v>93.184992737430193</v>
      </c>
      <c r="N22" s="78">
        <v>93.184992737430193</v>
      </c>
      <c r="O22" s="78">
        <v>93.184992737430193</v>
      </c>
      <c r="P22" s="78">
        <v>93.184992737430193</v>
      </c>
      <c r="Q22" s="78">
        <v>95.980542519553083</v>
      </c>
      <c r="R22" s="78">
        <v>95.980542519553083</v>
      </c>
      <c r="S22" s="78">
        <v>95.980542519553083</v>
      </c>
      <c r="T22" s="78">
        <v>95.980542519553083</v>
      </c>
      <c r="U22" s="78">
        <v>95.980542519553083</v>
      </c>
      <c r="V22" s="78">
        <v>95.980542519553083</v>
      </c>
      <c r="W22" s="78">
        <v>95.980542519553083</v>
      </c>
      <c r="X22" s="78">
        <v>95.980542519553083</v>
      </c>
      <c r="Y22" s="78">
        <v>95.980542519553083</v>
      </c>
      <c r="Z22" s="78">
        <v>95.980542519553083</v>
      </c>
      <c r="AA22" s="78">
        <v>95.980542519553083</v>
      </c>
      <c r="AB22" s="78">
        <v>95.980542519553083</v>
      </c>
      <c r="AC22" s="78">
        <v>95.980542519553083</v>
      </c>
      <c r="AD22" s="78">
        <v>95.980542519553083</v>
      </c>
      <c r="AE22" s="78">
        <v>95.980542519553083</v>
      </c>
      <c r="AF22" s="78">
        <v>95.980542519553083</v>
      </c>
      <c r="AG22" s="78">
        <v>95.980542519553083</v>
      </c>
      <c r="AH22" s="78">
        <v>95.980542519553083</v>
      </c>
      <c r="AI22" s="78">
        <v>95.980542519553083</v>
      </c>
      <c r="AJ22" s="78">
        <v>95.980542519553083</v>
      </c>
      <c r="AK22" s="78">
        <v>95.980542519553083</v>
      </c>
      <c r="AL22" s="78">
        <v>95.980542519553083</v>
      </c>
      <c r="AM22" s="78">
        <v>95.980542519553083</v>
      </c>
      <c r="AN22" s="78">
        <v>95.980542519553083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3885.4933333333329</v>
      </c>
      <c r="F23" s="52">
        <v>3885.4933333333329</v>
      </c>
      <c r="G23" s="52">
        <v>3885.4933333333329</v>
      </c>
      <c r="H23" s="52">
        <v>3885.4933333333329</v>
      </c>
      <c r="I23" s="52">
        <v>3885.4933333333329</v>
      </c>
      <c r="J23" s="52">
        <v>3885.4933333333329</v>
      </c>
      <c r="K23" s="52">
        <v>3885.4933333333329</v>
      </c>
      <c r="L23" s="52">
        <v>3885.4933333333329</v>
      </c>
      <c r="M23" s="52">
        <v>3885.4933333333329</v>
      </c>
      <c r="N23" s="52">
        <v>3885.4933333333329</v>
      </c>
      <c r="O23" s="52">
        <v>3885.4933333333329</v>
      </c>
      <c r="P23" s="52">
        <v>3885.4933333333329</v>
      </c>
      <c r="Q23" s="52">
        <v>3885.4933333333329</v>
      </c>
      <c r="R23" s="52">
        <v>3885.4933333333329</v>
      </c>
      <c r="S23" s="52">
        <v>3885.4933333333329</v>
      </c>
      <c r="T23" s="52">
        <v>3885.4933333333329</v>
      </c>
      <c r="U23" s="52">
        <v>3885.4933333333329</v>
      </c>
      <c r="V23" s="52">
        <v>3885.4933333333329</v>
      </c>
      <c r="W23" s="52">
        <v>3885.4933333333329</v>
      </c>
      <c r="X23" s="52">
        <v>3885.4933333333329</v>
      </c>
      <c r="Y23" s="52">
        <v>3885.4933333333329</v>
      </c>
      <c r="Z23" s="52">
        <v>3885.4933333333329</v>
      </c>
      <c r="AA23" s="52">
        <v>3885.4933333333329</v>
      </c>
      <c r="AB23" s="52">
        <v>3885.4933333333329</v>
      </c>
      <c r="AC23" s="52">
        <v>3885.4933333333329</v>
      </c>
      <c r="AD23" s="52">
        <v>3885.4933333333329</v>
      </c>
      <c r="AE23" s="52">
        <v>3885.4933333333329</v>
      </c>
      <c r="AF23" s="52">
        <v>3885.4933333333329</v>
      </c>
      <c r="AG23" s="52">
        <v>3885.4933333333329</v>
      </c>
      <c r="AH23" s="52">
        <v>3885.4933333333329</v>
      </c>
      <c r="AI23" s="52">
        <v>3885.4933333333329</v>
      </c>
      <c r="AJ23" s="52">
        <v>3885.4933333333329</v>
      </c>
      <c r="AK23" s="52">
        <v>3885.4933333333329</v>
      </c>
      <c r="AL23" s="52">
        <v>3885.4933333333329</v>
      </c>
      <c r="AM23" s="52">
        <v>3885.4933333333329</v>
      </c>
      <c r="AN23" s="52">
        <v>3885.4933333333329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280943.33810400002</v>
      </c>
      <c r="F26" s="12">
        <v>280943.33810400002</v>
      </c>
      <c r="G26" s="12">
        <v>280943.33810400002</v>
      </c>
      <c r="H26" s="12">
        <v>280943.33810400002</v>
      </c>
      <c r="I26" s="12">
        <v>280943.33810400002</v>
      </c>
      <c r="J26" s="12">
        <v>280943.33810400002</v>
      </c>
      <c r="K26" s="12">
        <v>280943.33810400002</v>
      </c>
      <c r="L26" s="12">
        <v>280943.33810400002</v>
      </c>
      <c r="M26" s="12">
        <v>280943.33810400002</v>
      </c>
      <c r="N26" s="12">
        <v>280943.33810400002</v>
      </c>
      <c r="O26" s="12">
        <v>280943.33810400002</v>
      </c>
      <c r="P26" s="12">
        <v>280943.33810400002</v>
      </c>
      <c r="Q26" s="12">
        <v>289371.63824712002</v>
      </c>
      <c r="R26" s="12">
        <v>289371.63824712002</v>
      </c>
      <c r="S26" s="12">
        <v>289371.63824712002</v>
      </c>
      <c r="T26" s="12">
        <v>289371.63824712002</v>
      </c>
      <c r="U26" s="12">
        <v>289371.63824712002</v>
      </c>
      <c r="V26" s="12">
        <v>289371.63824712002</v>
      </c>
      <c r="W26" s="12">
        <v>289371.63824712002</v>
      </c>
      <c r="X26" s="12">
        <v>289371.63824712002</v>
      </c>
      <c r="Y26" s="12">
        <v>289371.63824712002</v>
      </c>
      <c r="Z26" s="12">
        <v>289371.63824712002</v>
      </c>
      <c r="AA26" s="12">
        <v>289371.63824712002</v>
      </c>
      <c r="AB26" s="12">
        <v>289371.63824712002</v>
      </c>
      <c r="AC26" s="12">
        <v>289371.63824712002</v>
      </c>
      <c r="AD26" s="12">
        <v>289371.63824712002</v>
      </c>
      <c r="AE26" s="12">
        <v>289371.63824712002</v>
      </c>
      <c r="AF26" s="12">
        <v>289371.63824712002</v>
      </c>
      <c r="AG26" s="12">
        <v>289371.63824712002</v>
      </c>
      <c r="AH26" s="12">
        <v>289371.63824712002</v>
      </c>
      <c r="AI26" s="12">
        <v>289371.63824712002</v>
      </c>
      <c r="AJ26" s="12">
        <v>289371.63824712002</v>
      </c>
      <c r="AK26" s="12">
        <v>289371.63824712002</v>
      </c>
      <c r="AL26" s="12">
        <v>289371.63824712002</v>
      </c>
      <c r="AM26" s="12">
        <v>289371.63824712002</v>
      </c>
      <c r="AN26" s="12">
        <v>289371.63824712002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18545.697663999999</v>
      </c>
      <c r="F27" s="12">
        <v>18545.697663999999</v>
      </c>
      <c r="G27" s="12">
        <v>18545.697663999999</v>
      </c>
      <c r="H27" s="12">
        <v>18545.697663999999</v>
      </c>
      <c r="I27" s="12">
        <v>18545.697663999999</v>
      </c>
      <c r="J27" s="12">
        <v>18545.697663999999</v>
      </c>
      <c r="K27" s="12">
        <v>18545.697663999999</v>
      </c>
      <c r="L27" s="12">
        <v>18545.697663999999</v>
      </c>
      <c r="M27" s="12">
        <v>18545.697663999999</v>
      </c>
      <c r="N27" s="12">
        <v>18545.697663999999</v>
      </c>
      <c r="O27" s="12">
        <v>18545.697663999999</v>
      </c>
      <c r="P27" s="12">
        <v>18545.697663999999</v>
      </c>
      <c r="Q27" s="12">
        <v>19102.068593919998</v>
      </c>
      <c r="R27" s="12">
        <v>19102.068593919998</v>
      </c>
      <c r="S27" s="12">
        <v>19102.068593919998</v>
      </c>
      <c r="T27" s="12">
        <v>19102.068593919998</v>
      </c>
      <c r="U27" s="12">
        <v>19102.068593919998</v>
      </c>
      <c r="V27" s="12">
        <v>19102.068593919998</v>
      </c>
      <c r="W27" s="12">
        <v>19102.068593919998</v>
      </c>
      <c r="X27" s="12">
        <v>19102.068593919998</v>
      </c>
      <c r="Y27" s="12">
        <v>19102.068593919998</v>
      </c>
      <c r="Z27" s="12">
        <v>19102.068593919998</v>
      </c>
      <c r="AA27" s="12">
        <v>19102.068593919998</v>
      </c>
      <c r="AB27" s="12">
        <v>19102.068593919998</v>
      </c>
      <c r="AC27" s="12">
        <v>19102.068593919998</v>
      </c>
      <c r="AD27" s="12">
        <v>19102.068593919998</v>
      </c>
      <c r="AE27" s="12">
        <v>19102.068593919998</v>
      </c>
      <c r="AF27" s="12">
        <v>19102.068593919998</v>
      </c>
      <c r="AG27" s="12">
        <v>19102.068593919998</v>
      </c>
      <c r="AH27" s="12">
        <v>19102.068593919998</v>
      </c>
      <c r="AI27" s="12">
        <v>19102.068593919998</v>
      </c>
      <c r="AJ27" s="12">
        <v>19102.068593919998</v>
      </c>
      <c r="AK27" s="12">
        <v>19102.068593919998</v>
      </c>
      <c r="AL27" s="12">
        <v>19102.068593919998</v>
      </c>
      <c r="AM27" s="12">
        <v>19102.068593919998</v>
      </c>
      <c r="AN27" s="12">
        <v>19102.068593919998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76620.910392000005</v>
      </c>
      <c r="F28" s="12">
        <v>76620.910392000005</v>
      </c>
      <c r="G28" s="12">
        <v>76620.910392000005</v>
      </c>
      <c r="H28" s="12">
        <v>76620.910392000005</v>
      </c>
      <c r="I28" s="12">
        <v>76620.910392000005</v>
      </c>
      <c r="J28" s="12">
        <v>76620.910392000005</v>
      </c>
      <c r="K28" s="12">
        <v>76620.910392000005</v>
      </c>
      <c r="L28" s="12">
        <v>76620.910392000005</v>
      </c>
      <c r="M28" s="12">
        <v>76620.910392000005</v>
      </c>
      <c r="N28" s="12">
        <v>76620.910392000005</v>
      </c>
      <c r="O28" s="12">
        <v>76620.910392000005</v>
      </c>
      <c r="P28" s="12">
        <v>76620.910392000005</v>
      </c>
      <c r="Q28" s="12">
        <v>78919.537703759997</v>
      </c>
      <c r="R28" s="12">
        <v>78919.537703759997</v>
      </c>
      <c r="S28" s="12">
        <v>78919.537703759997</v>
      </c>
      <c r="T28" s="12">
        <v>78919.537703759997</v>
      </c>
      <c r="U28" s="12">
        <v>78919.537703759997</v>
      </c>
      <c r="V28" s="12">
        <v>78919.537703759997</v>
      </c>
      <c r="W28" s="12">
        <v>78919.537703759997</v>
      </c>
      <c r="X28" s="12">
        <v>78919.537703759997</v>
      </c>
      <c r="Y28" s="12">
        <v>78919.537703759997</v>
      </c>
      <c r="Z28" s="12">
        <v>78919.537703759997</v>
      </c>
      <c r="AA28" s="12">
        <v>78919.537703759997</v>
      </c>
      <c r="AB28" s="12">
        <v>78919.537703759997</v>
      </c>
      <c r="AC28" s="12">
        <v>78919.537703759997</v>
      </c>
      <c r="AD28" s="12">
        <v>78919.537703759997</v>
      </c>
      <c r="AE28" s="12">
        <v>78919.537703759997</v>
      </c>
      <c r="AF28" s="12">
        <v>78919.537703759997</v>
      </c>
      <c r="AG28" s="12">
        <v>78919.537703759997</v>
      </c>
      <c r="AH28" s="12">
        <v>78919.537703759997</v>
      </c>
      <c r="AI28" s="12">
        <v>78919.537703759997</v>
      </c>
      <c r="AJ28" s="12">
        <v>78919.537703759997</v>
      </c>
      <c r="AK28" s="12">
        <v>78919.537703759997</v>
      </c>
      <c r="AL28" s="12">
        <v>78919.537703759997</v>
      </c>
      <c r="AM28" s="12">
        <v>78919.537703759997</v>
      </c>
      <c r="AN28" s="12">
        <v>78919.537703759997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3214.4441159999997</v>
      </c>
      <c r="F29" s="12">
        <v>3214.4441159999997</v>
      </c>
      <c r="G29" s="12">
        <v>3214.4441159999997</v>
      </c>
      <c r="H29" s="12">
        <v>3214.4441159999997</v>
      </c>
      <c r="I29" s="12">
        <v>3214.4441159999997</v>
      </c>
      <c r="J29" s="12">
        <v>3214.4441159999997</v>
      </c>
      <c r="K29" s="12">
        <v>3214.4441159999997</v>
      </c>
      <c r="L29" s="12">
        <v>3214.4441159999997</v>
      </c>
      <c r="M29" s="12">
        <v>3214.4441159999997</v>
      </c>
      <c r="N29" s="12">
        <v>3214.4441159999997</v>
      </c>
      <c r="O29" s="12">
        <v>3214.4441159999997</v>
      </c>
      <c r="P29" s="12">
        <v>3214.4441159999997</v>
      </c>
      <c r="Q29" s="12">
        <v>3310.8774394799998</v>
      </c>
      <c r="R29" s="12">
        <v>3310.8774394799998</v>
      </c>
      <c r="S29" s="12">
        <v>3310.8774394799998</v>
      </c>
      <c r="T29" s="12">
        <v>3310.8774394799998</v>
      </c>
      <c r="U29" s="12">
        <v>3310.8774394799998</v>
      </c>
      <c r="V29" s="12">
        <v>3310.8774394799998</v>
      </c>
      <c r="W29" s="12">
        <v>3310.8774394799998</v>
      </c>
      <c r="X29" s="12">
        <v>3310.8774394799998</v>
      </c>
      <c r="Y29" s="12">
        <v>3310.8774394799998</v>
      </c>
      <c r="Z29" s="12">
        <v>3310.8774394799998</v>
      </c>
      <c r="AA29" s="12">
        <v>3310.8774394799998</v>
      </c>
      <c r="AB29" s="12">
        <v>3310.8774394799998</v>
      </c>
      <c r="AC29" s="12">
        <v>3310.8774394799998</v>
      </c>
      <c r="AD29" s="12">
        <v>3310.8774394799998</v>
      </c>
      <c r="AE29" s="12">
        <v>3310.8774394799998</v>
      </c>
      <c r="AF29" s="12">
        <v>3310.8774394799998</v>
      </c>
      <c r="AG29" s="12">
        <v>3310.8774394799998</v>
      </c>
      <c r="AH29" s="12">
        <v>3310.8774394799998</v>
      </c>
      <c r="AI29" s="12">
        <v>3310.8774394799998</v>
      </c>
      <c r="AJ29" s="12">
        <v>3310.8774394799998</v>
      </c>
      <c r="AK29" s="12">
        <v>3310.8774394799998</v>
      </c>
      <c r="AL29" s="12">
        <v>3310.8774394799998</v>
      </c>
      <c r="AM29" s="12">
        <v>3310.8774394799998</v>
      </c>
      <c r="AN29" s="12">
        <v>3310.8774394799998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7431.8460480000003</v>
      </c>
      <c r="F30" s="12">
        <v>7431.8460480000003</v>
      </c>
      <c r="G30" s="12">
        <v>7431.8460480000003</v>
      </c>
      <c r="H30" s="12">
        <v>7431.8460480000003</v>
      </c>
      <c r="I30" s="12">
        <v>7431.8460480000003</v>
      </c>
      <c r="J30" s="12">
        <v>7431.8460480000003</v>
      </c>
      <c r="K30" s="12">
        <v>7431.8460480000003</v>
      </c>
      <c r="L30" s="12">
        <v>7431.8460480000003</v>
      </c>
      <c r="M30" s="12">
        <v>7431.8460480000003</v>
      </c>
      <c r="N30" s="12">
        <v>7431.8460480000003</v>
      </c>
      <c r="O30" s="12">
        <v>7431.8460480000003</v>
      </c>
      <c r="P30" s="12">
        <v>7431.8460480000003</v>
      </c>
      <c r="Q30" s="12">
        <v>7654.80142944</v>
      </c>
      <c r="R30" s="12">
        <v>7654.80142944</v>
      </c>
      <c r="S30" s="12">
        <v>7654.80142944</v>
      </c>
      <c r="T30" s="12">
        <v>7654.80142944</v>
      </c>
      <c r="U30" s="12">
        <v>7654.80142944</v>
      </c>
      <c r="V30" s="12">
        <v>7654.80142944</v>
      </c>
      <c r="W30" s="12">
        <v>7654.80142944</v>
      </c>
      <c r="X30" s="12">
        <v>7654.80142944</v>
      </c>
      <c r="Y30" s="12">
        <v>7654.80142944</v>
      </c>
      <c r="Z30" s="12">
        <v>7654.80142944</v>
      </c>
      <c r="AA30" s="12">
        <v>7654.80142944</v>
      </c>
      <c r="AB30" s="12">
        <v>7654.80142944</v>
      </c>
      <c r="AC30" s="12">
        <v>7654.80142944</v>
      </c>
      <c r="AD30" s="12">
        <v>7654.80142944</v>
      </c>
      <c r="AE30" s="12">
        <v>7654.80142944</v>
      </c>
      <c r="AF30" s="12">
        <v>7654.80142944</v>
      </c>
      <c r="AG30" s="12">
        <v>7654.80142944</v>
      </c>
      <c r="AH30" s="12">
        <v>7654.80142944</v>
      </c>
      <c r="AI30" s="12">
        <v>7654.80142944</v>
      </c>
      <c r="AJ30" s="12">
        <v>7654.80142944</v>
      </c>
      <c r="AK30" s="12">
        <v>7654.80142944</v>
      </c>
      <c r="AL30" s="12">
        <v>7654.80142944</v>
      </c>
      <c r="AM30" s="12">
        <v>7654.80142944</v>
      </c>
      <c r="AN30" s="12">
        <v>7654.80142944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-49420.969390880004</v>
      </c>
      <c r="F35" s="12">
        <v>-49420.969390880004</v>
      </c>
      <c r="G35" s="12">
        <v>-49420.969390880004</v>
      </c>
      <c r="H35" s="12">
        <v>-49420.969390880004</v>
      </c>
      <c r="I35" s="12">
        <v>-49420.969390880004</v>
      </c>
      <c r="J35" s="12">
        <v>-49420.969390880004</v>
      </c>
      <c r="K35" s="12">
        <v>-49420.969390880004</v>
      </c>
      <c r="L35" s="12">
        <v>-49420.969390880004</v>
      </c>
      <c r="M35" s="12">
        <v>-49420.969390880004</v>
      </c>
      <c r="N35" s="12">
        <v>-49420.969390880004</v>
      </c>
      <c r="O35" s="12">
        <v>-49420.969390880004</v>
      </c>
      <c r="P35" s="12">
        <v>-49420.969390880004</v>
      </c>
      <c r="Q35" s="12">
        <v>-50903.598472606398</v>
      </c>
      <c r="R35" s="12">
        <v>-50903.598472606398</v>
      </c>
      <c r="S35" s="12">
        <v>-50903.598472606398</v>
      </c>
      <c r="T35" s="12">
        <v>-50903.598472606398</v>
      </c>
      <c r="U35" s="12">
        <v>-50903.598472606398</v>
      </c>
      <c r="V35" s="12">
        <v>-50903.598472606398</v>
      </c>
      <c r="W35" s="12">
        <v>-50903.598472606398</v>
      </c>
      <c r="X35" s="12">
        <v>-50903.598472606398</v>
      </c>
      <c r="Y35" s="12">
        <v>-50903.598472606398</v>
      </c>
      <c r="Z35" s="12">
        <v>-50903.598472606398</v>
      </c>
      <c r="AA35" s="12">
        <v>-50903.598472606398</v>
      </c>
      <c r="AB35" s="12">
        <v>-50903.598472606398</v>
      </c>
      <c r="AC35" s="12">
        <v>-50903.598472606398</v>
      </c>
      <c r="AD35" s="12">
        <v>-50903.598472606398</v>
      </c>
      <c r="AE35" s="12">
        <v>-50903.598472606398</v>
      </c>
      <c r="AF35" s="12">
        <v>-50903.598472606398</v>
      </c>
      <c r="AG35" s="12">
        <v>-50903.598472606398</v>
      </c>
      <c r="AH35" s="12">
        <v>-50903.598472606398</v>
      </c>
      <c r="AI35" s="12">
        <v>-50903.598472606398</v>
      </c>
      <c r="AJ35" s="12">
        <v>-50903.598472606398</v>
      </c>
      <c r="AK35" s="12">
        <v>-50903.598472606398</v>
      </c>
      <c r="AL35" s="12">
        <v>-50903.598472606398</v>
      </c>
      <c r="AM35" s="12">
        <v>-50903.598472606398</v>
      </c>
      <c r="AN35" s="12">
        <v>-50903.598472606398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343874.74453578668</v>
      </c>
      <c r="F37" s="13">
        <v>343874.74453578668</v>
      </c>
      <c r="G37" s="13">
        <v>343874.74453578668</v>
      </c>
      <c r="H37" s="13">
        <v>343874.74453578668</v>
      </c>
      <c r="I37" s="13">
        <v>343874.74453578668</v>
      </c>
      <c r="J37" s="13">
        <v>343874.74453578668</v>
      </c>
      <c r="K37" s="13">
        <v>343874.74453578668</v>
      </c>
      <c r="L37" s="13">
        <v>343874.74453578668</v>
      </c>
      <c r="M37" s="13">
        <v>343874.74453578668</v>
      </c>
      <c r="N37" s="13">
        <v>343874.74453578668</v>
      </c>
      <c r="O37" s="13">
        <v>343874.74453578668</v>
      </c>
      <c r="P37" s="13">
        <v>343874.74453578668</v>
      </c>
      <c r="Q37" s="13">
        <v>354190.98687186028</v>
      </c>
      <c r="R37" s="13">
        <v>354190.98687186028</v>
      </c>
      <c r="S37" s="13">
        <v>354190.98687186028</v>
      </c>
      <c r="T37" s="13">
        <v>354190.98687186028</v>
      </c>
      <c r="U37" s="13">
        <v>354190.98687186028</v>
      </c>
      <c r="V37" s="13">
        <v>354190.98687186028</v>
      </c>
      <c r="W37" s="13">
        <v>354190.98687186028</v>
      </c>
      <c r="X37" s="13">
        <v>354190.98687186028</v>
      </c>
      <c r="Y37" s="13">
        <v>354190.98687186028</v>
      </c>
      <c r="Z37" s="13">
        <v>354190.98687186028</v>
      </c>
      <c r="AA37" s="13">
        <v>354190.98687186028</v>
      </c>
      <c r="AB37" s="13">
        <v>354190.98687186028</v>
      </c>
      <c r="AC37" s="13">
        <v>354190.98687186028</v>
      </c>
      <c r="AD37" s="13">
        <v>354190.98687186028</v>
      </c>
      <c r="AE37" s="13">
        <v>354190.98687186028</v>
      </c>
      <c r="AF37" s="13">
        <v>354190.98687186028</v>
      </c>
      <c r="AG37" s="13">
        <v>354190.98687186028</v>
      </c>
      <c r="AH37" s="13">
        <v>354190.98687186028</v>
      </c>
      <c r="AI37" s="13">
        <v>354190.98687186028</v>
      </c>
      <c r="AJ37" s="13">
        <v>354190.98687186028</v>
      </c>
      <c r="AK37" s="13">
        <v>354190.98687186028</v>
      </c>
      <c r="AL37" s="13">
        <v>354190.98687186028</v>
      </c>
      <c r="AM37" s="13">
        <v>354190.98687186028</v>
      </c>
      <c r="AN37" s="13">
        <v>354190.98687186028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221710.66555159609</v>
      </c>
      <c r="F40" s="12">
        <v>222058.66555159609</v>
      </c>
      <c r="G40" s="12">
        <v>222312.41555159609</v>
      </c>
      <c r="H40" s="12">
        <v>222512.9988849294</v>
      </c>
      <c r="I40" s="12">
        <v>222713.58221826277</v>
      </c>
      <c r="J40" s="12">
        <v>223061.58221826277</v>
      </c>
      <c r="K40" s="12">
        <v>223262.16555159609</v>
      </c>
      <c r="L40" s="12">
        <v>223515.91555159609</v>
      </c>
      <c r="M40" s="12">
        <v>223515.91555159609</v>
      </c>
      <c r="N40" s="12">
        <v>223515.91555159609</v>
      </c>
      <c r="O40" s="12">
        <v>223515.91555159609</v>
      </c>
      <c r="P40" s="12">
        <v>223515.91555159609</v>
      </c>
      <c r="Q40" s="12">
        <v>245867.50710675574</v>
      </c>
      <c r="R40" s="12">
        <v>245867.50710675574</v>
      </c>
      <c r="S40" s="12">
        <v>245867.50710675574</v>
      </c>
      <c r="T40" s="12">
        <v>245867.50710675574</v>
      </c>
      <c r="U40" s="12">
        <v>245867.50710675574</v>
      </c>
      <c r="V40" s="12">
        <v>245867.50710675574</v>
      </c>
      <c r="W40" s="12">
        <v>245867.50710675574</v>
      </c>
      <c r="X40" s="12">
        <v>245867.50710675574</v>
      </c>
      <c r="Y40" s="12">
        <v>245867.50710675574</v>
      </c>
      <c r="Z40" s="12">
        <v>245867.50710675574</v>
      </c>
      <c r="AA40" s="12">
        <v>245867.50710675574</v>
      </c>
      <c r="AB40" s="12">
        <v>245867.50710675574</v>
      </c>
      <c r="AC40" s="12">
        <v>270454.25781743129</v>
      </c>
      <c r="AD40" s="12">
        <v>270454.25781743129</v>
      </c>
      <c r="AE40" s="12">
        <v>270454.25781743129</v>
      </c>
      <c r="AF40" s="12">
        <v>270454.25781743129</v>
      </c>
      <c r="AG40" s="12">
        <v>270454.25781743129</v>
      </c>
      <c r="AH40" s="12">
        <v>270454.25781743129</v>
      </c>
      <c r="AI40" s="12">
        <v>270454.25781743129</v>
      </c>
      <c r="AJ40" s="12">
        <v>270454.25781743129</v>
      </c>
      <c r="AK40" s="12">
        <v>270454.25781743129</v>
      </c>
      <c r="AL40" s="12">
        <v>270454.25781743129</v>
      </c>
      <c r="AM40" s="12">
        <v>270454.25781743129</v>
      </c>
      <c r="AN40" s="12">
        <v>270454.25781743129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4890.43</v>
      </c>
      <c r="F42" s="12">
        <v>4890.43</v>
      </c>
      <c r="G42" s="12">
        <v>4890.43</v>
      </c>
      <c r="H42" s="12">
        <v>4890.43</v>
      </c>
      <c r="I42" s="12">
        <v>4890.43</v>
      </c>
      <c r="J42" s="12">
        <v>4890.43</v>
      </c>
      <c r="K42" s="12">
        <v>4890.43</v>
      </c>
      <c r="L42" s="12">
        <v>4890.43</v>
      </c>
      <c r="M42" s="12">
        <v>4890.43</v>
      </c>
      <c r="N42" s="12">
        <v>4890.43</v>
      </c>
      <c r="O42" s="12">
        <v>4890.43</v>
      </c>
      <c r="P42" s="12">
        <v>4890.43</v>
      </c>
      <c r="Q42" s="12">
        <v>5037.1429000000007</v>
      </c>
      <c r="R42" s="12">
        <v>5037.1429000000007</v>
      </c>
      <c r="S42" s="12">
        <v>5037.1429000000007</v>
      </c>
      <c r="T42" s="12">
        <v>5037.1429000000007</v>
      </c>
      <c r="U42" s="12">
        <v>5037.1429000000007</v>
      </c>
      <c r="V42" s="12">
        <v>5037.1429000000007</v>
      </c>
      <c r="W42" s="12">
        <v>5037.1429000000007</v>
      </c>
      <c r="X42" s="12">
        <v>5037.1429000000007</v>
      </c>
      <c r="Y42" s="12">
        <v>5037.1429000000007</v>
      </c>
      <c r="Z42" s="12">
        <v>5037.1429000000007</v>
      </c>
      <c r="AA42" s="12">
        <v>5037.1429000000007</v>
      </c>
      <c r="AB42" s="12">
        <v>5037.1429000000007</v>
      </c>
      <c r="AC42" s="12">
        <v>5188.2571870000002</v>
      </c>
      <c r="AD42" s="12">
        <v>5188.2571870000002</v>
      </c>
      <c r="AE42" s="12">
        <v>5188.2571870000002</v>
      </c>
      <c r="AF42" s="12">
        <v>5188.2571870000002</v>
      </c>
      <c r="AG42" s="12">
        <v>5188.2571870000002</v>
      </c>
      <c r="AH42" s="12">
        <v>5188.2571870000002</v>
      </c>
      <c r="AI42" s="12">
        <v>5188.2571870000002</v>
      </c>
      <c r="AJ42" s="12">
        <v>5188.2571870000002</v>
      </c>
      <c r="AK42" s="12">
        <v>5188.2571870000002</v>
      </c>
      <c r="AL42" s="12">
        <v>5188.2571870000002</v>
      </c>
      <c r="AM42" s="12">
        <v>5188.2571870000002</v>
      </c>
      <c r="AN42" s="12">
        <v>5188.2571870000002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5361.26</v>
      </c>
      <c r="F43" s="12">
        <v>5361.26</v>
      </c>
      <c r="G43" s="12">
        <v>5361.26</v>
      </c>
      <c r="H43" s="12">
        <v>5361.26</v>
      </c>
      <c r="I43" s="12">
        <v>5361.26</v>
      </c>
      <c r="J43" s="12">
        <v>5361.26</v>
      </c>
      <c r="K43" s="12">
        <v>5361.26</v>
      </c>
      <c r="L43" s="12">
        <v>5361.26</v>
      </c>
      <c r="M43" s="12">
        <v>5361.26</v>
      </c>
      <c r="N43" s="12">
        <v>5361.26</v>
      </c>
      <c r="O43" s="12">
        <v>5361.26</v>
      </c>
      <c r="P43" s="12">
        <v>5361.26</v>
      </c>
      <c r="Q43" s="12">
        <v>5575.7104000000008</v>
      </c>
      <c r="R43" s="12">
        <v>5575.7104000000008</v>
      </c>
      <c r="S43" s="12">
        <v>5575.7104000000008</v>
      </c>
      <c r="T43" s="12">
        <v>5575.7104000000008</v>
      </c>
      <c r="U43" s="12">
        <v>5575.7104000000008</v>
      </c>
      <c r="V43" s="12">
        <v>5575.7104000000008</v>
      </c>
      <c r="W43" s="12">
        <v>5575.7104000000008</v>
      </c>
      <c r="X43" s="12">
        <v>5575.7104000000008</v>
      </c>
      <c r="Y43" s="12">
        <v>5575.7104000000008</v>
      </c>
      <c r="Z43" s="12">
        <v>5575.7104000000008</v>
      </c>
      <c r="AA43" s="12">
        <v>5575.7104000000008</v>
      </c>
      <c r="AB43" s="12">
        <v>5575.7104000000008</v>
      </c>
      <c r="AC43" s="12">
        <v>5798.738816000001</v>
      </c>
      <c r="AD43" s="12">
        <v>5798.738816000001</v>
      </c>
      <c r="AE43" s="12">
        <v>5798.738816000001</v>
      </c>
      <c r="AF43" s="12">
        <v>5798.738816000001</v>
      </c>
      <c r="AG43" s="12">
        <v>5798.738816000001</v>
      </c>
      <c r="AH43" s="12">
        <v>5798.738816000001</v>
      </c>
      <c r="AI43" s="12">
        <v>5798.738816000001</v>
      </c>
      <c r="AJ43" s="12">
        <v>5798.738816000001</v>
      </c>
      <c r="AK43" s="12">
        <v>5798.738816000001</v>
      </c>
      <c r="AL43" s="12">
        <v>5798.738816000001</v>
      </c>
      <c r="AM43" s="12">
        <v>5798.738816000001</v>
      </c>
      <c r="AN43" s="12">
        <v>5798.738816000001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1132.1183999999998</v>
      </c>
      <c r="F44" s="12">
        <v>1148.9653999999998</v>
      </c>
      <c r="G44" s="12">
        <v>1162.443</v>
      </c>
      <c r="H44" s="12">
        <v>1172.5511999999999</v>
      </c>
      <c r="I44" s="12">
        <v>1182.6594</v>
      </c>
      <c r="J44" s="12">
        <v>1199.5064</v>
      </c>
      <c r="K44" s="12">
        <v>1209.6145999999999</v>
      </c>
      <c r="L44" s="12">
        <v>1223.0922</v>
      </c>
      <c r="M44" s="12">
        <v>1223.0922</v>
      </c>
      <c r="N44" s="12">
        <v>1223.0922</v>
      </c>
      <c r="O44" s="12">
        <v>1223.0922</v>
      </c>
      <c r="P44" s="12">
        <v>1223.0922</v>
      </c>
      <c r="Q44" s="12">
        <v>1272.0158879999999</v>
      </c>
      <c r="R44" s="12">
        <v>1272.0158879999999</v>
      </c>
      <c r="S44" s="12">
        <v>1272.0158879999999</v>
      </c>
      <c r="T44" s="12">
        <v>1272.0158879999999</v>
      </c>
      <c r="U44" s="12">
        <v>1272.0158879999999</v>
      </c>
      <c r="V44" s="12">
        <v>1272.0158879999999</v>
      </c>
      <c r="W44" s="12">
        <v>1272.0158879999999</v>
      </c>
      <c r="X44" s="12">
        <v>1272.0158879999999</v>
      </c>
      <c r="Y44" s="12">
        <v>1272.0158879999999</v>
      </c>
      <c r="Z44" s="12">
        <v>1272.0158879999999</v>
      </c>
      <c r="AA44" s="12">
        <v>1272.0158879999999</v>
      </c>
      <c r="AB44" s="12">
        <v>1272.0158879999999</v>
      </c>
      <c r="AC44" s="12">
        <v>1322.8965235200001</v>
      </c>
      <c r="AD44" s="12">
        <v>1322.8965235200001</v>
      </c>
      <c r="AE44" s="12">
        <v>1322.8965235200001</v>
      </c>
      <c r="AF44" s="12">
        <v>1322.8965235200001</v>
      </c>
      <c r="AG44" s="12">
        <v>1322.8965235200001</v>
      </c>
      <c r="AH44" s="12">
        <v>1322.8965235200001</v>
      </c>
      <c r="AI44" s="12">
        <v>1322.8965235200001</v>
      </c>
      <c r="AJ44" s="12">
        <v>1322.8965235200001</v>
      </c>
      <c r="AK44" s="12">
        <v>1322.8965235200001</v>
      </c>
      <c r="AL44" s="12">
        <v>1322.8965235200001</v>
      </c>
      <c r="AM44" s="12">
        <v>1322.8965235200001</v>
      </c>
      <c r="AN44" s="12">
        <v>1322.8965235200001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17334.5</v>
      </c>
      <c r="F46" s="12">
        <v>17352</v>
      </c>
      <c r="G46" s="12">
        <v>17366</v>
      </c>
      <c r="H46" s="12">
        <v>17376.5</v>
      </c>
      <c r="I46" s="12">
        <v>17387.000000000007</v>
      </c>
      <c r="J46" s="12">
        <v>17404.5</v>
      </c>
      <c r="K46" s="12">
        <v>17415</v>
      </c>
      <c r="L46" s="12">
        <v>17429</v>
      </c>
      <c r="M46" s="12">
        <v>17429</v>
      </c>
      <c r="N46" s="12">
        <v>17429</v>
      </c>
      <c r="O46" s="12">
        <v>17429</v>
      </c>
      <c r="P46" s="12">
        <v>17429</v>
      </c>
      <c r="Q46" s="12">
        <v>17777.580000000002</v>
      </c>
      <c r="R46" s="12">
        <v>17777.580000000002</v>
      </c>
      <c r="S46" s="12">
        <v>17777.580000000002</v>
      </c>
      <c r="T46" s="12">
        <v>17777.580000000002</v>
      </c>
      <c r="U46" s="12">
        <v>17777.580000000002</v>
      </c>
      <c r="V46" s="12">
        <v>17777.580000000002</v>
      </c>
      <c r="W46" s="12">
        <v>17777.580000000002</v>
      </c>
      <c r="X46" s="12">
        <v>17777.580000000002</v>
      </c>
      <c r="Y46" s="12">
        <v>17777.580000000002</v>
      </c>
      <c r="Z46" s="12">
        <v>17777.580000000002</v>
      </c>
      <c r="AA46" s="12">
        <v>17777.580000000002</v>
      </c>
      <c r="AB46" s="12">
        <v>17777.580000000002</v>
      </c>
      <c r="AC46" s="12">
        <v>18133.131600000001</v>
      </c>
      <c r="AD46" s="12">
        <v>18133.131600000001</v>
      </c>
      <c r="AE46" s="12">
        <v>18133.131600000001</v>
      </c>
      <c r="AF46" s="12">
        <v>18133.131600000001</v>
      </c>
      <c r="AG46" s="12">
        <v>18133.131600000001</v>
      </c>
      <c r="AH46" s="12">
        <v>18133.131600000001</v>
      </c>
      <c r="AI46" s="12">
        <v>18133.131600000001</v>
      </c>
      <c r="AJ46" s="12">
        <v>18133.131600000001</v>
      </c>
      <c r="AK46" s="12">
        <v>18133.131600000001</v>
      </c>
      <c r="AL46" s="12">
        <v>18133.131600000001</v>
      </c>
      <c r="AM46" s="12">
        <v>18133.131600000001</v>
      </c>
      <c r="AN46" s="12">
        <v>18133.131600000001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79809.180413854177</v>
      </c>
      <c r="F49" s="12">
        <f>'Corp.'!F$50*(F$37-(F31-F32-F34)*$C$35)/(SUM('MDA1:NCA9'!F$37)-SUM('MDA1:NCA9'!F$31)-SUM('MDA1:NCA9'!F$32)-SUM('MDA1:NCA9'!F$34))</f>
        <v>75031.695666509171</v>
      </c>
      <c r="G49" s="12">
        <f>'Corp.'!G$50*(G$37-(G31-G32-G34)*$C$35)/(SUM('MDA1:NCA9'!G$37)-SUM('MDA1:NCA9'!G$31)-SUM('MDA1:NCA9'!G$32)-SUM('MDA1:NCA9'!G$34))</f>
        <v>68398.872478223071</v>
      </c>
      <c r="H49" s="12">
        <f>'Corp.'!H$50*(H$37-(H31-H32-H34)*$C$35)/(SUM('MDA1:NCA9'!H$37)-SUM('MDA1:NCA9'!H$31)-SUM('MDA1:NCA9'!H$32)-SUM('MDA1:NCA9'!H$34))</f>
        <v>62666.109298965821</v>
      </c>
      <c r="I49" s="12">
        <f>'Corp.'!I$50*(I$37-(I31-I32-I34)*$C$35)/(SUM('MDA1:NCA9'!I$37)-SUM('MDA1:NCA9'!I$31)-SUM('MDA1:NCA9'!I$32)-SUM('MDA1:NCA9'!I$34))</f>
        <v>59068.281934112703</v>
      </c>
      <c r="J49" s="12">
        <f>'Corp.'!J$50*(J$37-(J31-J32-J34)*$C$35)/(SUM('MDA1:NCA9'!J$37)-SUM('MDA1:NCA9'!J$31)-SUM('MDA1:NCA9'!J$32)-SUM('MDA1:NCA9'!J$34))</f>
        <v>55322.236208537433</v>
      </c>
      <c r="K49" s="12">
        <f>'Corp.'!K$50*(K$37-(K31-K32-K34)*$C$35)/(SUM('MDA1:NCA9'!K$37)-SUM('MDA1:NCA9'!K$31)-SUM('MDA1:NCA9'!K$32)-SUM('MDA1:NCA9'!K$34))</f>
        <v>50943.885222000383</v>
      </c>
      <c r="L49" s="12">
        <f>'Corp.'!L$50*(L$37-(L31-L32-L34)*$C$35)/(SUM('MDA1:NCA9'!L$37)-SUM('MDA1:NCA9'!L$31)-SUM('MDA1:NCA9'!L$32)-SUM('MDA1:NCA9'!L$34))</f>
        <v>48221.211990599215</v>
      </c>
      <c r="M49" s="12">
        <f>'Corp.'!M$50*(M$37-(M31-M32-M34)*$C$35)/(SUM('MDA1:NCA9'!M$37)-SUM('MDA1:NCA9'!M$31)-SUM('MDA1:NCA9'!M$32)-SUM('MDA1:NCA9'!M$34))</f>
        <v>45291.945088532768</v>
      </c>
      <c r="N49" s="12">
        <f>'Corp.'!N$50*(N$37-(N31-N32-N34)*$C$35)/(SUM('MDA1:NCA9'!N$37)-SUM('MDA1:NCA9'!N$31)-SUM('MDA1:NCA9'!N$32)-SUM('MDA1:NCA9'!N$34))</f>
        <v>42778.037711819874</v>
      </c>
      <c r="O49" s="12">
        <f>'Corp.'!O$50*(O$37-(O31-O32-O34)*$C$35)/(SUM('MDA1:NCA9'!O$37)-SUM('MDA1:NCA9'!O$31)-SUM('MDA1:NCA9'!O$32)-SUM('MDA1:NCA9'!O$34))</f>
        <v>40140.614324482318</v>
      </c>
      <c r="P49" s="12">
        <f>'Corp.'!P$50*(P$37-(P31-P32-P34)*$C$35)/(SUM('MDA1:NCA9'!P$37)-SUM('MDA1:NCA9'!P$31)-SUM('MDA1:NCA9'!P$32)-SUM('MDA1:NCA9'!P$34))</f>
        <v>37980.135700009836</v>
      </c>
      <c r="Q49" s="12">
        <f>'Corp.'!Q$50*(Q$37-(Q31-Q32-Q34)*$C$35)/(SUM('MDA1:NCA9'!Q$37)-SUM('MDA1:NCA9'!Q$31)-SUM('MDA1:NCA9'!Q$32)-SUM('MDA1:NCA9'!Q$34))</f>
        <v>39699.187030950503</v>
      </c>
      <c r="R49" s="12">
        <f>'Corp.'!R$50*(R$37-(R31-R32-R34)*$C$35)/(SUM('MDA1:NCA9'!R$37)-SUM('MDA1:NCA9'!R$31)-SUM('MDA1:NCA9'!R$32)-SUM('MDA1:NCA9'!R$34))</f>
        <v>38271.456548325696</v>
      </c>
      <c r="S49" s="12">
        <f>'Corp.'!S$50*(S$37-(S31-S32-S34)*$C$35)/(SUM('MDA1:NCA9'!S$37)-SUM('MDA1:NCA9'!S$31)-SUM('MDA1:NCA9'!S$32)-SUM('MDA1:NCA9'!S$34))</f>
        <v>36691.009583991014</v>
      </c>
      <c r="T49" s="12">
        <f>'Corp.'!T$50*(T$37-(T31-T32-T34)*$C$35)/(SUM('MDA1:NCA9'!T$37)-SUM('MDA1:NCA9'!T$31)-SUM('MDA1:NCA9'!T$32)-SUM('MDA1:NCA9'!T$34))</f>
        <v>35358.357796366654</v>
      </c>
      <c r="U49" s="12">
        <f>'Corp.'!U$50*(U$37-(U31-U32-U34)*$C$35)/(SUM('MDA1:NCA9'!U$37)-SUM('MDA1:NCA9'!U$31)-SUM('MDA1:NCA9'!U$32)-SUM('MDA1:NCA9'!U$34))</f>
        <v>34448.986687001459</v>
      </c>
      <c r="V49" s="12">
        <f>'Corp.'!V$50*(V$37-(V31-V32-V34)*$C$35)/(SUM('MDA1:NCA9'!V$37)-SUM('MDA1:NCA9'!V$31)-SUM('MDA1:NCA9'!V$32)-SUM('MDA1:NCA9'!V$34))</f>
        <v>33711.004097083482</v>
      </c>
      <c r="W49" s="12">
        <f>'Corp.'!W$50*(W$37-(W31-W32-W34)*$C$35)/(SUM('MDA1:NCA9'!W$37)-SUM('MDA1:NCA9'!W$31)-SUM('MDA1:NCA9'!W$32)-SUM('MDA1:NCA9'!W$34))</f>
        <v>32740.744989695671</v>
      </c>
      <c r="X49" s="12">
        <f>'Corp.'!X$50*(X$37-(X31-X32-X34)*$C$35)/(SUM('MDA1:NCA9'!X$37)-SUM('MDA1:NCA9'!X$31)-SUM('MDA1:NCA9'!X$32)-SUM('MDA1:NCA9'!X$34))</f>
        <v>31767.648907988892</v>
      </c>
      <c r="Y49" s="12">
        <f>'Corp.'!Y$50*(Y$37-(Y31-Y32-Y34)*$C$35)/(SUM('MDA1:NCA9'!Y$37)-SUM('MDA1:NCA9'!Y$31)-SUM('MDA1:NCA9'!Y$32)-SUM('MDA1:NCA9'!Y$34))</f>
        <v>31137.142108716409</v>
      </c>
      <c r="Z49" s="12">
        <f>'Corp.'!Z$50*(Z$37-(Z31-Z32-Z34)*$C$35)/(SUM('MDA1:NCA9'!Z$37)-SUM('MDA1:NCA9'!Z$31)-SUM('MDA1:NCA9'!Z$32)-SUM('MDA1:NCA9'!Z$34))</f>
        <v>30506.286287646668</v>
      </c>
      <c r="AA49" s="12">
        <f>'Corp.'!AA$50*(AA$37-(AA31-AA32-AA34)*$C$35)/(SUM('MDA1:NCA9'!AA$37)-SUM('MDA1:NCA9'!AA$31)-SUM('MDA1:NCA9'!AA$32)-SUM('MDA1:NCA9'!AA$34))</f>
        <v>29852.009852043153</v>
      </c>
      <c r="AB49" s="12">
        <f>'Corp.'!AB$50*(AB$37-(AB31-AB32-AB34)*$C$35)/(SUM('MDA1:NCA9'!AB$37)-SUM('MDA1:NCA9'!AB$31)-SUM('MDA1:NCA9'!AB$32)-SUM('MDA1:NCA9'!AB$34))</f>
        <v>29212.49173056618</v>
      </c>
      <c r="AC49" s="12">
        <f>'Corp.'!AC$50*(AC$37-(AC31-AC32-AC34)*$C$35)/(SUM('MDA1:NCA9'!AC$37)-SUM('MDA1:NCA9'!AC$31)-SUM('MDA1:NCA9'!AC$32)-SUM('MDA1:NCA9'!AC$34))</f>
        <v>31611.942563890272</v>
      </c>
      <c r="AD49" s="12">
        <f>'Corp.'!AD$50*(AD$37-(AD31-AD32-AD34)*$C$35)/(SUM('MDA1:NCA9'!AD$37)-SUM('MDA1:NCA9'!AD$31)-SUM('MDA1:NCA9'!AD$32)-SUM('MDA1:NCA9'!AD$34))</f>
        <v>31126.570141683071</v>
      </c>
      <c r="AE49" s="12">
        <f>'Corp.'!AE$50*(AE$37-(AE31-AE32-AE34)*$C$35)/(SUM('MDA1:NCA9'!AE$37)-SUM('MDA1:NCA9'!AE$31)-SUM('MDA1:NCA9'!AE$32)-SUM('MDA1:NCA9'!AE$34))</f>
        <v>30667.06133662667</v>
      </c>
      <c r="AF49" s="12">
        <f>'Corp.'!AF$50*(AF$37-(AF31-AF32-AF34)*$C$35)/(SUM('MDA1:NCA9'!AF$37)-SUM('MDA1:NCA9'!AF$31)-SUM('MDA1:NCA9'!AF$32)-SUM('MDA1:NCA9'!AF$34))</f>
        <v>30234.957692569198</v>
      </c>
      <c r="AG49" s="12">
        <f>'Corp.'!AG$50*(AG$37-(AG31-AG32-AG34)*$C$35)/(SUM('MDA1:NCA9'!AG$37)-SUM('MDA1:NCA9'!AG$31)-SUM('MDA1:NCA9'!AG$32)-SUM('MDA1:NCA9'!AG$34))</f>
        <v>29890.848907002157</v>
      </c>
      <c r="AH49" s="12">
        <f>'Corp.'!AH$50*(AH$37-(AH31-AH32-AH34)*$C$35)/(SUM('MDA1:NCA9'!AH$37)-SUM('MDA1:NCA9'!AH$31)-SUM('MDA1:NCA9'!AH$32)-SUM('MDA1:NCA9'!AH$34))</f>
        <v>29434.647093720243</v>
      </c>
      <c r="AI49" s="12">
        <f>'Corp.'!AI$50*(AI$37-(AI31-AI32-AI34)*$C$35)/(SUM('MDA1:NCA9'!AI$37)-SUM('MDA1:NCA9'!AI$31)-SUM('MDA1:NCA9'!AI$32)-SUM('MDA1:NCA9'!AI$34))</f>
        <v>28961.673283553875</v>
      </c>
      <c r="AJ49" s="12">
        <f>'Corp.'!AJ$50*(AJ$37-(AJ31-AJ32-AJ34)*$C$35)/(SUM('MDA1:NCA9'!AJ$37)-SUM('MDA1:NCA9'!AJ$31)-SUM('MDA1:NCA9'!AJ$32)-SUM('MDA1:NCA9'!AJ$34))</f>
        <v>28473.40902083633</v>
      </c>
      <c r="AK49" s="12">
        <f>'Corp.'!AK$50*(AK$37-(AK31-AK32-AK34)*$C$35)/(SUM('MDA1:NCA9'!AK$37)-SUM('MDA1:NCA9'!AK$31)-SUM('MDA1:NCA9'!AK$32)-SUM('MDA1:NCA9'!AK$34))</f>
        <v>28022.400553411462</v>
      </c>
      <c r="AL49" s="12">
        <f>'Corp.'!AL$50*(AL$37-(AL31-AL32-AL34)*$C$35)/(SUM('MDA1:NCA9'!AL$37)-SUM('MDA1:NCA9'!AL$31)-SUM('MDA1:NCA9'!AL$32)-SUM('MDA1:NCA9'!AL$34))</f>
        <v>27607.833371979603</v>
      </c>
      <c r="AM49" s="12">
        <f>'Corp.'!AM$50*(AM$37-(AM31-AM32-AM34)*$C$35)/(SUM('MDA1:NCA9'!AM$37)-SUM('MDA1:NCA9'!AM$31)-SUM('MDA1:NCA9'!AM$32)-SUM('MDA1:NCA9'!AM$34))</f>
        <v>27160.843425228864</v>
      </c>
      <c r="AN49" s="12">
        <f>'Corp.'!AN$50*(AN$37-(AN31-AN32-AN34)*$C$35)/(SUM('MDA1:NCA9'!AN$37)-SUM('MDA1:NCA9'!AN$31)-SUM('MDA1:NCA9'!AN$32)-SUM('MDA1:NCA9'!AN$34))</f>
        <v>26780.411060379487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337806.03596545028</v>
      </c>
      <c r="F50" s="13">
        <v>333394.05121810525</v>
      </c>
      <c r="G50" s="13">
        <v>327028.97802981915</v>
      </c>
      <c r="H50" s="13">
        <v>321507.29818389524</v>
      </c>
      <c r="I50" s="13">
        <v>318120.55415237549</v>
      </c>
      <c r="J50" s="13">
        <v>314740.0084268002</v>
      </c>
      <c r="K50" s="13">
        <v>310572.74077359645</v>
      </c>
      <c r="L50" s="13">
        <v>308117.81754219532</v>
      </c>
      <c r="M50" s="13">
        <v>305188.55064012884</v>
      </c>
      <c r="N50" s="13">
        <v>302674.64326341596</v>
      </c>
      <c r="O50" s="13">
        <v>300037.21987607842</v>
      </c>
      <c r="P50" s="13">
        <v>297876.74125160591</v>
      </c>
      <c r="Q50" s="13">
        <v>322964.62743770628</v>
      </c>
      <c r="R50" s="13">
        <v>321536.89695508149</v>
      </c>
      <c r="S50" s="13">
        <v>319956.4499907468</v>
      </c>
      <c r="T50" s="13">
        <v>318623.79820312245</v>
      </c>
      <c r="U50" s="13">
        <v>317714.42709375726</v>
      </c>
      <c r="V50" s="13">
        <v>316976.44450383924</v>
      </c>
      <c r="W50" s="13">
        <v>316006.18539645144</v>
      </c>
      <c r="X50" s="13">
        <v>315033.08931474469</v>
      </c>
      <c r="Y50" s="13">
        <v>314402.5825154722</v>
      </c>
      <c r="Z50" s="13">
        <v>313771.72669440246</v>
      </c>
      <c r="AA50" s="13">
        <v>313117.45025879896</v>
      </c>
      <c r="AB50" s="13">
        <v>312477.93213732197</v>
      </c>
      <c r="AC50" s="13">
        <v>340514.15298432158</v>
      </c>
      <c r="AD50" s="13">
        <v>340028.78056211444</v>
      </c>
      <c r="AE50" s="13">
        <v>339569.27175705798</v>
      </c>
      <c r="AF50" s="13">
        <v>339137.16811300052</v>
      </c>
      <c r="AG50" s="13">
        <v>338793.05932743347</v>
      </c>
      <c r="AH50" s="13">
        <v>338336.8575141516</v>
      </c>
      <c r="AI50" s="13">
        <v>337863.88370398519</v>
      </c>
      <c r="AJ50" s="13">
        <v>337375.61944126769</v>
      </c>
      <c r="AK50" s="13">
        <v>336924.61097384279</v>
      </c>
      <c r="AL50" s="13">
        <v>336510.04379241093</v>
      </c>
      <c r="AM50" s="13">
        <v>336063.05384566018</v>
      </c>
      <c r="AN50" s="13">
        <v>335682.62148081081</v>
      </c>
    </row>
    <row r="52" spans="2:40" x14ac:dyDescent="0.25">
      <c r="B52" s="1" t="s">
        <v>50</v>
      </c>
      <c r="E52" s="74">
        <f>E37-E50</f>
        <v>6068.7085703363991</v>
      </c>
      <c r="F52" s="74">
        <f t="shared" ref="F52:AN52" si="0">F37-F50</f>
        <v>10480.693317681435</v>
      </c>
      <c r="G52" s="74">
        <f t="shared" si="0"/>
        <v>16845.766505967535</v>
      </c>
      <c r="H52" s="74">
        <f t="shared" si="0"/>
        <v>22367.446351891442</v>
      </c>
      <c r="I52" s="74">
        <f t="shared" si="0"/>
        <v>25754.190383411187</v>
      </c>
      <c r="J52" s="74">
        <f t="shared" si="0"/>
        <v>29134.736108986486</v>
      </c>
      <c r="K52" s="74">
        <f t="shared" si="0"/>
        <v>33302.00376219023</v>
      </c>
      <c r="L52" s="74">
        <f t="shared" si="0"/>
        <v>35756.926993591362</v>
      </c>
      <c r="M52" s="74">
        <f t="shared" si="0"/>
        <v>38686.193895657838</v>
      </c>
      <c r="N52" s="74">
        <f t="shared" si="0"/>
        <v>41200.101272370724</v>
      </c>
      <c r="O52" s="74">
        <f t="shared" si="0"/>
        <v>43837.524659708259</v>
      </c>
      <c r="P52" s="74">
        <f t="shared" si="0"/>
        <v>45998.00328418077</v>
      </c>
      <c r="Q52" s="74">
        <f t="shared" si="0"/>
        <v>31226.359434154001</v>
      </c>
      <c r="R52" s="74">
        <f t="shared" si="0"/>
        <v>32654.089916778787</v>
      </c>
      <c r="S52" s="74">
        <f t="shared" si="0"/>
        <v>34234.536881113483</v>
      </c>
      <c r="T52" s="74">
        <f t="shared" si="0"/>
        <v>35567.188668737828</v>
      </c>
      <c r="U52" s="74">
        <f t="shared" si="0"/>
        <v>36476.559778103023</v>
      </c>
      <c r="V52" s="74">
        <f t="shared" si="0"/>
        <v>37214.542368021037</v>
      </c>
      <c r="W52" s="74">
        <f t="shared" si="0"/>
        <v>38184.801475408836</v>
      </c>
      <c r="X52" s="74">
        <f t="shared" si="0"/>
        <v>39157.89755711559</v>
      </c>
      <c r="Y52" s="74">
        <f t="shared" si="0"/>
        <v>39788.404356388084</v>
      </c>
      <c r="Z52" s="74">
        <f t="shared" si="0"/>
        <v>40419.260177457822</v>
      </c>
      <c r="AA52" s="74">
        <f t="shared" si="0"/>
        <v>41073.536613061326</v>
      </c>
      <c r="AB52" s="74">
        <f t="shared" si="0"/>
        <v>41713.054734538309</v>
      </c>
      <c r="AC52" s="74">
        <f t="shared" si="0"/>
        <v>13676.833887538698</v>
      </c>
      <c r="AD52" s="74">
        <f t="shared" si="0"/>
        <v>14162.206309745845</v>
      </c>
      <c r="AE52" s="74">
        <f t="shared" si="0"/>
        <v>14621.715114802297</v>
      </c>
      <c r="AF52" s="74">
        <f t="shared" si="0"/>
        <v>15053.818758859765</v>
      </c>
      <c r="AG52" s="74">
        <f t="shared" si="0"/>
        <v>15397.927544426813</v>
      </c>
      <c r="AH52" s="74">
        <f t="shared" si="0"/>
        <v>15854.129357708676</v>
      </c>
      <c r="AI52" s="74">
        <f t="shared" si="0"/>
        <v>16327.103167875088</v>
      </c>
      <c r="AJ52" s="74">
        <f t="shared" si="0"/>
        <v>16815.367430592596</v>
      </c>
      <c r="AK52" s="74">
        <f t="shared" si="0"/>
        <v>17266.37589801749</v>
      </c>
      <c r="AL52" s="74">
        <f t="shared" si="0"/>
        <v>17680.943079449353</v>
      </c>
      <c r="AM52" s="74">
        <f t="shared" si="0"/>
        <v>18127.933026200102</v>
      </c>
      <c r="AN52" s="74">
        <f t="shared" si="0"/>
        <v>18508.365391049476</v>
      </c>
    </row>
    <row r="53" spans="2:40" x14ac:dyDescent="0.25">
      <c r="E53" s="107">
        <f>IFERROR(E52/E37,"")</f>
        <v>1.7648020585311799E-2</v>
      </c>
      <c r="F53" s="107">
        <f t="shared" ref="F53:AN53" si="1">IFERROR(F52/F37,"")</f>
        <v>3.0478229309424381E-2</v>
      </c>
      <c r="G53" s="107">
        <f t="shared" si="1"/>
        <v>4.8988088755132213E-2</v>
      </c>
      <c r="H53" s="107">
        <f t="shared" si="1"/>
        <v>6.5045330334120202E-2</v>
      </c>
      <c r="I53" s="107">
        <f t="shared" si="1"/>
        <v>7.4894102555213893E-2</v>
      </c>
      <c r="J53" s="107">
        <f t="shared" si="1"/>
        <v>8.4724849881944342E-2</v>
      </c>
      <c r="K53" s="107">
        <f t="shared" si="1"/>
        <v>9.6843412583690128E-2</v>
      </c>
      <c r="L53" s="107">
        <f t="shared" si="1"/>
        <v>0.10398241674264676</v>
      </c>
      <c r="M53" s="107">
        <f t="shared" si="1"/>
        <v>0.11250082918384198</v>
      </c>
      <c r="N53" s="107">
        <f t="shared" si="1"/>
        <v>0.11981136133736356</v>
      </c>
      <c r="O53" s="107">
        <f t="shared" si="1"/>
        <v>0.12748108244729248</v>
      </c>
      <c r="P53" s="107">
        <f t="shared" si="1"/>
        <v>0.13376383120626006</v>
      </c>
      <c r="Q53" s="107">
        <f t="shared" si="1"/>
        <v>8.8162490270965357E-2</v>
      </c>
      <c r="R53" s="107">
        <f t="shared" si="1"/>
        <v>9.2193452479332652E-2</v>
      </c>
      <c r="S53" s="107">
        <f t="shared" si="1"/>
        <v>9.6655584557545221E-2</v>
      </c>
      <c r="T53" s="107">
        <f t="shared" si="1"/>
        <v>0.10041810770753852</v>
      </c>
      <c r="U53" s="107">
        <f t="shared" si="1"/>
        <v>0.1029855674766212</v>
      </c>
      <c r="V53" s="107">
        <f t="shared" si="1"/>
        <v>0.10506913994817313</v>
      </c>
      <c r="W53" s="107">
        <f t="shared" si="1"/>
        <v>0.10780850696582911</v>
      </c>
      <c r="X53" s="107">
        <f t="shared" si="1"/>
        <v>0.11055588371389639</v>
      </c>
      <c r="Y53" s="107">
        <f t="shared" si="1"/>
        <v>0.11233601596638819</v>
      </c>
      <c r="Z53" s="107">
        <f t="shared" si="1"/>
        <v>0.11411713362452319</v>
      </c>
      <c r="AA53" s="107">
        <f t="shared" si="1"/>
        <v>0.11596437553596181</v>
      </c>
      <c r="AB53" s="107">
        <f t="shared" si="1"/>
        <v>0.11776994977466583</v>
      </c>
      <c r="AC53" s="107">
        <f t="shared" si="1"/>
        <v>3.8614291143683796E-2</v>
      </c>
      <c r="AD53" s="107">
        <f t="shared" si="1"/>
        <v>3.9984660351815977E-2</v>
      </c>
      <c r="AE53" s="107">
        <f t="shared" si="1"/>
        <v>4.1282007890540033E-2</v>
      </c>
      <c r="AF53" s="107">
        <f t="shared" si="1"/>
        <v>4.2501981464327765E-2</v>
      </c>
      <c r="AG53" s="107">
        <f t="shared" si="1"/>
        <v>4.3473516027096128E-2</v>
      </c>
      <c r="AH53" s="107">
        <f t="shared" si="1"/>
        <v>4.4761526818423547E-2</v>
      </c>
      <c r="AI53" s="107">
        <f t="shared" si="1"/>
        <v>4.6096890584575861E-2</v>
      </c>
      <c r="AJ53" s="107">
        <f t="shared" si="1"/>
        <v>4.74754244287873E-2</v>
      </c>
      <c r="AK53" s="107">
        <f t="shared" si="1"/>
        <v>4.8748772662202566E-2</v>
      </c>
      <c r="AL53" s="107">
        <f t="shared" si="1"/>
        <v>4.9919234917872118E-2</v>
      </c>
      <c r="AM53" s="107">
        <f t="shared" si="1"/>
        <v>5.1181237519063269E-2</v>
      </c>
      <c r="AN53" s="107">
        <f t="shared" si="1"/>
        <v>5.2255325734038113E-2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-51581.211680368004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-51581.211680368004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-51581.211680368004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-51581.211680368004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-51581.211680368004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-45512.503110031605</v>
      </c>
      <c r="F58" s="13">
        <f t="shared" ref="F58:AN58" si="2">F37-F50-F55+F56</f>
        <v>-41100.518362686569</v>
      </c>
      <c r="G58" s="13">
        <f t="shared" si="2"/>
        <v>-34735.445174400469</v>
      </c>
      <c r="H58" s="13">
        <f t="shared" si="2"/>
        <v>-29213.765328476562</v>
      </c>
      <c r="I58" s="13">
        <f t="shared" si="2"/>
        <v>-25827.021296956817</v>
      </c>
      <c r="J58" s="13">
        <f t="shared" si="2"/>
        <v>-22446.475571381518</v>
      </c>
      <c r="K58" s="13">
        <f t="shared" si="2"/>
        <v>-18279.207918177774</v>
      </c>
      <c r="L58" s="13">
        <f t="shared" si="2"/>
        <v>-15824.284686776642</v>
      </c>
      <c r="M58" s="13">
        <f t="shared" si="2"/>
        <v>-12895.017784710166</v>
      </c>
      <c r="N58" s="13">
        <f t="shared" si="2"/>
        <v>-10381.110407997279</v>
      </c>
      <c r="O58" s="13">
        <f t="shared" si="2"/>
        <v>-7743.687020659745</v>
      </c>
      <c r="P58" s="13">
        <f t="shared" si="2"/>
        <v>-5583.208396187234</v>
      </c>
      <c r="Q58" s="13">
        <f t="shared" si="2"/>
        <v>-20354.852246214003</v>
      </c>
      <c r="R58" s="13">
        <f t="shared" si="2"/>
        <v>-18927.121763589217</v>
      </c>
      <c r="S58" s="13">
        <f t="shared" si="2"/>
        <v>-17346.674799254521</v>
      </c>
      <c r="T58" s="13">
        <f t="shared" si="2"/>
        <v>-16014.023011630175</v>
      </c>
      <c r="U58" s="13">
        <f t="shared" si="2"/>
        <v>-15104.651902264981</v>
      </c>
      <c r="V58" s="13">
        <f t="shared" si="2"/>
        <v>-15914.105662758004</v>
      </c>
      <c r="W58" s="13">
        <f t="shared" si="2"/>
        <v>-14943.846555370204</v>
      </c>
      <c r="X58" s="13">
        <f t="shared" si="2"/>
        <v>-13970.750473663451</v>
      </c>
      <c r="Y58" s="13">
        <f t="shared" si="2"/>
        <v>-13340.243674390957</v>
      </c>
      <c r="Z58" s="13">
        <f t="shared" si="2"/>
        <v>-12709.387853321219</v>
      </c>
      <c r="AA58" s="13">
        <f t="shared" si="2"/>
        <v>-12055.111417717715</v>
      </c>
      <c r="AB58" s="13">
        <f t="shared" si="2"/>
        <v>-11415.593296240731</v>
      </c>
      <c r="AC58" s="13">
        <f t="shared" si="2"/>
        <v>-39451.814143240343</v>
      </c>
      <c r="AD58" s="13">
        <f t="shared" si="2"/>
        <v>-38966.441721033196</v>
      </c>
      <c r="AE58" s="13">
        <f t="shared" si="2"/>
        <v>-38506.932915976744</v>
      </c>
      <c r="AF58" s="13">
        <f t="shared" si="2"/>
        <v>-38074.829271919276</v>
      </c>
      <c r="AG58" s="13">
        <f t="shared" si="2"/>
        <v>-37730.720486352227</v>
      </c>
      <c r="AH58" s="13">
        <f t="shared" si="2"/>
        <v>-37274.518673070364</v>
      </c>
      <c r="AI58" s="13">
        <f t="shared" si="2"/>
        <v>-36801.544862903953</v>
      </c>
      <c r="AJ58" s="13">
        <f t="shared" si="2"/>
        <v>-36313.280600186445</v>
      </c>
      <c r="AK58" s="13">
        <f t="shared" si="2"/>
        <v>-35862.272132761551</v>
      </c>
      <c r="AL58" s="13">
        <f t="shared" si="2"/>
        <v>-35447.704951329688</v>
      </c>
      <c r="AM58" s="13">
        <f t="shared" si="2"/>
        <v>-35000.715004578939</v>
      </c>
      <c r="AN58" s="13">
        <f t="shared" si="2"/>
        <v>-34620.282639729565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-45512.503110031605</v>
      </c>
      <c r="F59" s="12">
        <v>-86613.021472718174</v>
      </c>
      <c r="G59" s="12">
        <v>-121348.46664711865</v>
      </c>
      <c r="H59" s="12">
        <v>-150562.2319755952</v>
      </c>
      <c r="I59" s="12">
        <v>-176389.25327255201</v>
      </c>
      <c r="J59" s="12">
        <v>-198835.72884393352</v>
      </c>
      <c r="K59" s="12">
        <v>-217114.93676211129</v>
      </c>
      <c r="L59" s="12">
        <v>-232939.22144888793</v>
      </c>
      <c r="M59" s="12">
        <v>-245834.23923359808</v>
      </c>
      <c r="N59" s="12">
        <v>-256215.34964159536</v>
      </c>
      <c r="O59" s="12">
        <v>-263959.03666225512</v>
      </c>
      <c r="P59" s="12">
        <v>-269542.24505844235</v>
      </c>
      <c r="Q59" s="12">
        <v>-289897.09730465634</v>
      </c>
      <c r="R59" s="12">
        <v>-308824.21906824555</v>
      </c>
      <c r="S59" s="12">
        <v>-326170.89386750007</v>
      </c>
      <c r="T59" s="12">
        <v>-342184.91687913024</v>
      </c>
      <c r="U59" s="12">
        <v>-357289.56878139521</v>
      </c>
      <c r="V59" s="12">
        <v>-373203.67444415321</v>
      </c>
      <c r="W59" s="12">
        <v>-388147.5209995234</v>
      </c>
      <c r="X59" s="12">
        <v>-402118.27147318685</v>
      </c>
      <c r="Y59" s="12">
        <v>-415458.5151475778</v>
      </c>
      <c r="Z59" s="12">
        <v>-428167.90300089901</v>
      </c>
      <c r="AA59" s="12">
        <v>-440223.01441861672</v>
      </c>
      <c r="AB59" s="12">
        <v>-451638.60771485744</v>
      </c>
      <c r="AC59" s="12">
        <v>-491090.42185809778</v>
      </c>
      <c r="AD59" s="12">
        <v>-530056.86357913096</v>
      </c>
      <c r="AE59" s="12">
        <v>-568563.7964951077</v>
      </c>
      <c r="AF59" s="12">
        <v>-606638.62576702703</v>
      </c>
      <c r="AG59" s="12">
        <v>-644369.34625337925</v>
      </c>
      <c r="AH59" s="12">
        <v>-681643.86492644961</v>
      </c>
      <c r="AI59" s="12">
        <v>-718445.40978935361</v>
      </c>
      <c r="AJ59" s="12">
        <v>-754758.69038954005</v>
      </c>
      <c r="AK59" s="12">
        <v>-790620.96252230159</v>
      </c>
      <c r="AL59" s="12">
        <v>-826068.66747363133</v>
      </c>
      <c r="AM59" s="12">
        <v>-861069.38247821026</v>
      </c>
      <c r="AN59" s="12">
        <v>-895689.66511793982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16461.351073023994</v>
      </c>
      <c r="F63" s="12">
        <v>16461.351073023994</v>
      </c>
      <c r="G63" s="12">
        <v>16461.351073023994</v>
      </c>
      <c r="H63" s="12">
        <v>16461.351073023994</v>
      </c>
      <c r="I63" s="12">
        <v>16461.351073023994</v>
      </c>
      <c r="J63" s="12">
        <v>16461.351073023994</v>
      </c>
      <c r="K63" s="12">
        <v>16461.351073023994</v>
      </c>
      <c r="L63" s="12">
        <v>16461.351073023994</v>
      </c>
      <c r="M63" s="12">
        <v>16461.351073023994</v>
      </c>
      <c r="N63" s="12">
        <v>16461.351073023994</v>
      </c>
      <c r="O63" s="12">
        <v>16461.351073023994</v>
      </c>
      <c r="P63" s="12">
        <v>16461.351073023994</v>
      </c>
      <c r="Q63" s="12">
        <v>16955.191605214713</v>
      </c>
      <c r="R63" s="12">
        <v>16955.191605214713</v>
      </c>
      <c r="S63" s="12">
        <v>16955.191605214713</v>
      </c>
      <c r="T63" s="12">
        <v>16955.191605214713</v>
      </c>
      <c r="U63" s="12">
        <v>16955.191605214713</v>
      </c>
      <c r="V63" s="12">
        <v>16955.191605214713</v>
      </c>
      <c r="W63" s="12">
        <v>16955.191605214713</v>
      </c>
      <c r="X63" s="12">
        <v>16955.191605214713</v>
      </c>
      <c r="Y63" s="12">
        <v>16955.191605214713</v>
      </c>
      <c r="Z63" s="12">
        <v>16955.191605214713</v>
      </c>
      <c r="AA63" s="12">
        <v>16955.191605214713</v>
      </c>
      <c r="AB63" s="12">
        <v>16955.191605214713</v>
      </c>
      <c r="AC63" s="12">
        <v>16955.191605214713</v>
      </c>
      <c r="AD63" s="12">
        <v>16955.191605214713</v>
      </c>
      <c r="AE63" s="12">
        <v>16955.191605214713</v>
      </c>
      <c r="AF63" s="12">
        <v>16955.191605214713</v>
      </c>
      <c r="AG63" s="12">
        <v>16955.191605214713</v>
      </c>
      <c r="AH63" s="12">
        <v>16955.191605214713</v>
      </c>
      <c r="AI63" s="12">
        <v>16955.191605214713</v>
      </c>
      <c r="AJ63" s="12">
        <v>16955.191605214713</v>
      </c>
      <c r="AK63" s="12">
        <v>16955.191605214713</v>
      </c>
      <c r="AL63" s="12">
        <v>16955.191605214713</v>
      </c>
      <c r="AM63" s="12">
        <v>16955.191605214713</v>
      </c>
      <c r="AN63" s="12">
        <v>16955.191605214713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4605.2201338880004</v>
      </c>
      <c r="F64" s="12">
        <v>4605.2201338880004</v>
      </c>
      <c r="G64" s="12">
        <v>4605.2201338880004</v>
      </c>
      <c r="H64" s="12">
        <v>4605.2201338880004</v>
      </c>
      <c r="I64" s="12">
        <v>4605.2201338880004</v>
      </c>
      <c r="J64" s="12">
        <v>4605.2201338880004</v>
      </c>
      <c r="K64" s="12">
        <v>4605.2201338880004</v>
      </c>
      <c r="L64" s="12">
        <v>4605.2201338880004</v>
      </c>
      <c r="M64" s="12">
        <v>4605.2201338880004</v>
      </c>
      <c r="N64" s="12">
        <v>4605.2201338880004</v>
      </c>
      <c r="O64" s="12">
        <v>4605.2201338880004</v>
      </c>
      <c r="P64" s="12">
        <v>4605.2201338880004</v>
      </c>
      <c r="Q64" s="12">
        <v>4743.3767379046403</v>
      </c>
      <c r="R64" s="12">
        <v>4743.3767379046403</v>
      </c>
      <c r="S64" s="12">
        <v>4743.3767379046403</v>
      </c>
      <c r="T64" s="12">
        <v>4743.3767379046403</v>
      </c>
      <c r="U64" s="12">
        <v>4743.3767379046403</v>
      </c>
      <c r="V64" s="12">
        <v>4743.3767379046403</v>
      </c>
      <c r="W64" s="12">
        <v>4743.3767379046403</v>
      </c>
      <c r="X64" s="12">
        <v>4743.3767379046403</v>
      </c>
      <c r="Y64" s="12">
        <v>4743.3767379046403</v>
      </c>
      <c r="Z64" s="12">
        <v>4743.3767379046403</v>
      </c>
      <c r="AA64" s="12">
        <v>4743.3767379046403</v>
      </c>
      <c r="AB64" s="12">
        <v>4743.3767379046403</v>
      </c>
      <c r="AC64" s="12">
        <v>4743.3767379046403</v>
      </c>
      <c r="AD64" s="12">
        <v>4743.3767379046403</v>
      </c>
      <c r="AE64" s="12">
        <v>4743.3767379046403</v>
      </c>
      <c r="AF64" s="12">
        <v>4743.3767379046403</v>
      </c>
      <c r="AG64" s="12">
        <v>4743.3767379046403</v>
      </c>
      <c r="AH64" s="12">
        <v>4743.3767379046403</v>
      </c>
      <c r="AI64" s="12">
        <v>4743.3767379046403</v>
      </c>
      <c r="AJ64" s="12">
        <v>4743.3767379046403</v>
      </c>
      <c r="AK64" s="12">
        <v>4743.3767379046403</v>
      </c>
      <c r="AL64" s="12">
        <v>4743.3767379046403</v>
      </c>
      <c r="AM64" s="12">
        <v>4743.3767379046403</v>
      </c>
      <c r="AN64" s="12">
        <v>4743.3767379046403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15729.564291583998</v>
      </c>
      <c r="F65" s="12">
        <v>15729.564291583998</v>
      </c>
      <c r="G65" s="12">
        <v>15729.564291583998</v>
      </c>
      <c r="H65" s="12">
        <v>15729.564291583998</v>
      </c>
      <c r="I65" s="12">
        <v>15729.564291583998</v>
      </c>
      <c r="J65" s="12">
        <v>15729.564291583998</v>
      </c>
      <c r="K65" s="12">
        <v>15729.564291583998</v>
      </c>
      <c r="L65" s="12">
        <v>15729.564291583998</v>
      </c>
      <c r="M65" s="12">
        <v>15729.564291583998</v>
      </c>
      <c r="N65" s="12">
        <v>15729.564291583998</v>
      </c>
      <c r="O65" s="12">
        <v>15729.564291583998</v>
      </c>
      <c r="P65" s="12">
        <v>15729.564291583998</v>
      </c>
      <c r="Q65" s="12">
        <v>16201.451220331517</v>
      </c>
      <c r="R65" s="12">
        <v>16201.451220331517</v>
      </c>
      <c r="S65" s="12">
        <v>16201.451220331517</v>
      </c>
      <c r="T65" s="12">
        <v>16201.451220331517</v>
      </c>
      <c r="U65" s="12">
        <v>16201.451220331517</v>
      </c>
      <c r="V65" s="12">
        <v>16201.451220331517</v>
      </c>
      <c r="W65" s="12">
        <v>16201.451220331517</v>
      </c>
      <c r="X65" s="12">
        <v>16201.451220331517</v>
      </c>
      <c r="Y65" s="12">
        <v>16201.451220331517</v>
      </c>
      <c r="Z65" s="12">
        <v>16201.451220331517</v>
      </c>
      <c r="AA65" s="12">
        <v>16201.451220331517</v>
      </c>
      <c r="AB65" s="12">
        <v>16201.451220331517</v>
      </c>
      <c r="AC65" s="12">
        <v>16201.451220331517</v>
      </c>
      <c r="AD65" s="12">
        <v>16201.451220331517</v>
      </c>
      <c r="AE65" s="12">
        <v>16201.451220331517</v>
      </c>
      <c r="AF65" s="12">
        <v>16201.451220331517</v>
      </c>
      <c r="AG65" s="12">
        <v>16201.451220331517</v>
      </c>
      <c r="AH65" s="12">
        <v>16201.451220331517</v>
      </c>
      <c r="AI65" s="12">
        <v>16201.451220331517</v>
      </c>
      <c r="AJ65" s="12">
        <v>16201.451220331517</v>
      </c>
      <c r="AK65" s="12">
        <v>16201.451220331517</v>
      </c>
      <c r="AL65" s="12">
        <v>16201.451220331517</v>
      </c>
      <c r="AM65" s="12">
        <v>16201.451220331517</v>
      </c>
      <c r="AN65" s="12">
        <v>16201.451220331517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36796.135498495991</v>
      </c>
      <c r="F67" s="13">
        <v>36796.135498495991</v>
      </c>
      <c r="G67" s="13">
        <v>36796.135498495991</v>
      </c>
      <c r="H67" s="13">
        <v>36796.135498495991</v>
      </c>
      <c r="I67" s="13">
        <v>36796.135498495991</v>
      </c>
      <c r="J67" s="13">
        <v>36796.135498495991</v>
      </c>
      <c r="K67" s="13">
        <v>36796.135498495991</v>
      </c>
      <c r="L67" s="13">
        <v>36796.135498495991</v>
      </c>
      <c r="M67" s="13">
        <v>36796.135498495991</v>
      </c>
      <c r="N67" s="13">
        <v>36796.135498495991</v>
      </c>
      <c r="O67" s="13">
        <v>36796.135498495991</v>
      </c>
      <c r="P67" s="13">
        <v>36796.135498495991</v>
      </c>
      <c r="Q67" s="13">
        <v>37900.019563450871</v>
      </c>
      <c r="R67" s="13">
        <v>37900.019563450871</v>
      </c>
      <c r="S67" s="13">
        <v>37900.019563450871</v>
      </c>
      <c r="T67" s="13">
        <v>37900.019563450871</v>
      </c>
      <c r="U67" s="13">
        <v>37900.019563450871</v>
      </c>
      <c r="V67" s="13">
        <v>37900.019563450871</v>
      </c>
      <c r="W67" s="13">
        <v>37900.019563450871</v>
      </c>
      <c r="X67" s="13">
        <v>37900.019563450871</v>
      </c>
      <c r="Y67" s="13">
        <v>37900.019563450871</v>
      </c>
      <c r="Z67" s="13">
        <v>37900.019563450871</v>
      </c>
      <c r="AA67" s="13">
        <v>37900.019563450871</v>
      </c>
      <c r="AB67" s="13">
        <v>37900.019563450871</v>
      </c>
      <c r="AC67" s="13">
        <v>37900.019563450871</v>
      </c>
      <c r="AD67" s="13">
        <v>37900.019563450871</v>
      </c>
      <c r="AE67" s="13">
        <v>37900.019563450871</v>
      </c>
      <c r="AF67" s="13">
        <v>37900.019563450871</v>
      </c>
      <c r="AG67" s="13">
        <v>37900.019563450871</v>
      </c>
      <c r="AH67" s="13">
        <v>37900.019563450871</v>
      </c>
      <c r="AI67" s="13">
        <v>37900.019563450871</v>
      </c>
      <c r="AJ67" s="13">
        <v>37900.019563450871</v>
      </c>
      <c r="AK67" s="13">
        <v>37900.019563450871</v>
      </c>
      <c r="AL67" s="13">
        <v>37900.019563450871</v>
      </c>
      <c r="AM67" s="13">
        <v>37900.019563450871</v>
      </c>
      <c r="AN67" s="13">
        <v>37900.019563450871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1</v>
      </c>
      <c r="F69" s="108">
        <v>1</v>
      </c>
      <c r="G69" s="108">
        <v>1</v>
      </c>
      <c r="H69" s="108">
        <v>1</v>
      </c>
      <c r="I69" s="108">
        <v>1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1</v>
      </c>
      <c r="F70" s="108">
        <v>1</v>
      </c>
      <c r="G70" s="108">
        <v>1</v>
      </c>
      <c r="H70" s="108">
        <v>1</v>
      </c>
      <c r="I70" s="108">
        <v>1</v>
      </c>
      <c r="J70" s="108">
        <v>1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32122.059684929482</v>
      </c>
      <c r="F72" s="12">
        <v>32122.059684929482</v>
      </c>
      <c r="G72" s="12">
        <v>32122.059684929482</v>
      </c>
      <c r="H72" s="12">
        <v>32122.059684929482</v>
      </c>
      <c r="I72" s="12">
        <v>32122.059684929482</v>
      </c>
      <c r="J72" s="12">
        <v>32122.059684929482</v>
      </c>
      <c r="K72" s="12">
        <v>32122.059684929482</v>
      </c>
      <c r="L72" s="12">
        <v>32122.059684929482</v>
      </c>
      <c r="M72" s="12">
        <v>32122.059684929482</v>
      </c>
      <c r="N72" s="12">
        <v>32122.059684929482</v>
      </c>
      <c r="O72" s="12">
        <v>32122.059684929482</v>
      </c>
      <c r="P72" s="12">
        <v>32122.059684929482</v>
      </c>
      <c r="Q72" s="12">
        <v>35334.265653422437</v>
      </c>
      <c r="R72" s="12">
        <v>35334.265653422437</v>
      </c>
      <c r="S72" s="12">
        <v>35334.265653422437</v>
      </c>
      <c r="T72" s="12">
        <v>35334.265653422437</v>
      </c>
      <c r="U72" s="12">
        <v>35334.265653422437</v>
      </c>
      <c r="V72" s="12">
        <v>35334.265653422437</v>
      </c>
      <c r="W72" s="12">
        <v>35334.265653422437</v>
      </c>
      <c r="X72" s="12">
        <v>35334.265653422437</v>
      </c>
      <c r="Y72" s="12">
        <v>35334.265653422437</v>
      </c>
      <c r="Z72" s="12">
        <v>35334.265653422437</v>
      </c>
      <c r="AA72" s="12">
        <v>35334.265653422437</v>
      </c>
      <c r="AB72" s="12">
        <v>35334.265653422437</v>
      </c>
      <c r="AC72" s="12">
        <v>38867.692218764678</v>
      </c>
      <c r="AD72" s="12">
        <v>38867.692218764678</v>
      </c>
      <c r="AE72" s="12">
        <v>38867.692218764678</v>
      </c>
      <c r="AF72" s="12">
        <v>38867.692218764678</v>
      </c>
      <c r="AG72" s="12">
        <v>38867.692218764678</v>
      </c>
      <c r="AH72" s="12">
        <v>38867.692218764678</v>
      </c>
      <c r="AI72" s="12">
        <v>38867.692218764678</v>
      </c>
      <c r="AJ72" s="12">
        <v>38867.692218764678</v>
      </c>
      <c r="AK72" s="12">
        <v>38867.692218764678</v>
      </c>
      <c r="AL72" s="12">
        <v>38867.692218764678</v>
      </c>
      <c r="AM72" s="12">
        <v>38867.692218764678</v>
      </c>
      <c r="AN72" s="12">
        <v>38867.692218764678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4674.0758135665092</v>
      </c>
      <c r="F75" s="74">
        <v>4674.0758135665092</v>
      </c>
      <c r="G75" s="74">
        <v>4674.0758135665092</v>
      </c>
      <c r="H75" s="74">
        <v>4674.0758135665092</v>
      </c>
      <c r="I75" s="74">
        <v>4674.0758135665092</v>
      </c>
      <c r="J75" s="74">
        <v>4674.0758135665092</v>
      </c>
      <c r="K75" s="74">
        <v>4674.0758135665092</v>
      </c>
      <c r="L75" s="74">
        <v>4674.0758135665092</v>
      </c>
      <c r="M75" s="74">
        <v>4674.0758135665092</v>
      </c>
      <c r="N75" s="74">
        <v>4674.0758135665092</v>
      </c>
      <c r="O75" s="74">
        <v>4674.0758135665092</v>
      </c>
      <c r="P75" s="74">
        <v>4674.0758135665092</v>
      </c>
      <c r="Q75" s="74">
        <v>2565.7539100284339</v>
      </c>
      <c r="R75" s="74">
        <v>2565.7539100284339</v>
      </c>
      <c r="S75" s="74">
        <v>2565.7539100284339</v>
      </c>
      <c r="T75" s="74">
        <v>2565.7539100284339</v>
      </c>
      <c r="U75" s="74">
        <v>2565.7539100284339</v>
      </c>
      <c r="V75" s="74">
        <v>2565.7539100284339</v>
      </c>
      <c r="W75" s="74">
        <v>2565.7539100284339</v>
      </c>
      <c r="X75" s="74">
        <v>2565.7539100284339</v>
      </c>
      <c r="Y75" s="74">
        <v>2565.7539100284339</v>
      </c>
      <c r="Z75" s="74">
        <v>2565.7539100284339</v>
      </c>
      <c r="AA75" s="74">
        <v>2565.7539100284339</v>
      </c>
      <c r="AB75" s="74">
        <v>2565.7539100284339</v>
      </c>
      <c r="AC75" s="74">
        <v>-967.6726553138069</v>
      </c>
      <c r="AD75" s="74">
        <v>-967.6726553138069</v>
      </c>
      <c r="AE75" s="74">
        <v>-967.6726553138069</v>
      </c>
      <c r="AF75" s="74">
        <v>-967.6726553138069</v>
      </c>
      <c r="AG75" s="74">
        <v>-967.6726553138069</v>
      </c>
      <c r="AH75" s="74">
        <v>-967.6726553138069</v>
      </c>
      <c r="AI75" s="74">
        <v>-967.6726553138069</v>
      </c>
      <c r="AJ75" s="74">
        <v>-967.6726553138069</v>
      </c>
      <c r="AK75" s="74">
        <v>-967.6726553138069</v>
      </c>
      <c r="AL75" s="74">
        <v>-967.6726553138069</v>
      </c>
      <c r="AM75" s="74">
        <v>-967.6726553138069</v>
      </c>
      <c r="AN75" s="74">
        <v>-967.6726553138069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C249-6B52-4A61-B8D4-D482FF6ACBC6}">
  <dimension ref="A1:AX75"/>
  <sheetViews>
    <sheetView workbookViewId="0">
      <pane xSplit="4" ySplit="25" topLeftCell="E47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55" sqref="E5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506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8">
        <v>14.79</v>
      </c>
      <c r="G7" s="108">
        <v>14.79</v>
      </c>
      <c r="H7" s="108">
        <v>14.79</v>
      </c>
      <c r="I7" s="108">
        <v>14.79</v>
      </c>
      <c r="J7" s="108">
        <v>14.79</v>
      </c>
      <c r="K7" s="108">
        <v>14.79</v>
      </c>
      <c r="L7" s="108">
        <v>14.79</v>
      </c>
      <c r="M7" s="108">
        <v>14.79</v>
      </c>
      <c r="N7" s="108">
        <v>14.79</v>
      </c>
      <c r="O7" s="108">
        <v>14.79</v>
      </c>
      <c r="P7" s="108">
        <v>14.79</v>
      </c>
      <c r="Q7" s="108">
        <v>14.79</v>
      </c>
      <c r="R7" s="108">
        <v>14.79</v>
      </c>
      <c r="S7" s="108">
        <v>14.79</v>
      </c>
      <c r="T7" s="108">
        <v>14.79</v>
      </c>
      <c r="U7" s="108">
        <v>14.79</v>
      </c>
      <c r="V7" s="108">
        <v>14.79</v>
      </c>
      <c r="W7" s="108">
        <v>14.79</v>
      </c>
      <c r="X7" s="108">
        <v>14.79</v>
      </c>
      <c r="Y7" s="108">
        <v>14.79</v>
      </c>
      <c r="Z7" s="108">
        <v>14.79</v>
      </c>
      <c r="AA7" s="108">
        <v>14.79</v>
      </c>
      <c r="AB7" s="108">
        <v>14.79</v>
      </c>
      <c r="AC7" s="108">
        <v>14.79</v>
      </c>
      <c r="AD7" s="108">
        <v>14.79</v>
      </c>
      <c r="AE7" s="108">
        <v>14.79</v>
      </c>
      <c r="AF7" s="108">
        <v>14.79</v>
      </c>
      <c r="AG7" s="108">
        <v>14.79</v>
      </c>
      <c r="AH7" s="108">
        <v>14.79</v>
      </c>
      <c r="AI7" s="108">
        <v>14.79</v>
      </c>
      <c r="AJ7" s="108">
        <v>14.79</v>
      </c>
      <c r="AK7" s="108">
        <v>14.79</v>
      </c>
      <c r="AL7" s="108">
        <v>14.79</v>
      </c>
      <c r="AM7" s="108">
        <v>14.79</v>
      </c>
      <c r="AN7" s="108">
        <v>14.79</v>
      </c>
    </row>
    <row r="8" spans="1:40" hidden="1" outlineLevel="1" x14ac:dyDescent="0.25">
      <c r="B8" s="39" t="str">
        <v>Secondary Direct Staff</v>
      </c>
      <c r="C8" s="3"/>
      <c r="D8" s="3"/>
      <c r="E8" s="108">
        <v>3</v>
      </c>
      <c r="F8" s="108">
        <v>3</v>
      </c>
      <c r="G8" s="108">
        <v>3</v>
      </c>
      <c r="H8" s="108">
        <v>3</v>
      </c>
      <c r="I8" s="108">
        <v>3</v>
      </c>
      <c r="J8" s="108">
        <v>3</v>
      </c>
      <c r="K8" s="108">
        <v>3</v>
      </c>
      <c r="L8" s="108">
        <v>3</v>
      </c>
      <c r="M8" s="108">
        <v>3</v>
      </c>
      <c r="N8" s="108">
        <v>3</v>
      </c>
      <c r="O8" s="108">
        <v>3</v>
      </c>
      <c r="P8" s="108">
        <v>3</v>
      </c>
      <c r="Q8" s="108">
        <v>3</v>
      </c>
      <c r="R8" s="108">
        <v>3</v>
      </c>
      <c r="S8" s="108">
        <v>3</v>
      </c>
      <c r="T8" s="108">
        <v>3</v>
      </c>
      <c r="U8" s="108">
        <v>3</v>
      </c>
      <c r="V8" s="108">
        <v>3</v>
      </c>
      <c r="W8" s="108">
        <v>3</v>
      </c>
      <c r="X8" s="108">
        <v>3</v>
      </c>
      <c r="Y8" s="108">
        <v>3</v>
      </c>
      <c r="Z8" s="108">
        <v>3</v>
      </c>
      <c r="AA8" s="108">
        <v>3</v>
      </c>
      <c r="AB8" s="108">
        <v>3</v>
      </c>
      <c r="AC8" s="108">
        <v>3</v>
      </c>
      <c r="AD8" s="108">
        <v>3</v>
      </c>
      <c r="AE8" s="108">
        <v>3</v>
      </c>
      <c r="AF8" s="108">
        <v>3</v>
      </c>
      <c r="AG8" s="108">
        <v>3</v>
      </c>
      <c r="AH8" s="108">
        <v>3</v>
      </c>
      <c r="AI8" s="108">
        <v>3</v>
      </c>
      <c r="AJ8" s="108">
        <v>3</v>
      </c>
      <c r="AK8" s="108">
        <v>3</v>
      </c>
      <c r="AL8" s="108">
        <v>3</v>
      </c>
      <c r="AM8" s="108">
        <v>3</v>
      </c>
      <c r="AN8" s="108">
        <v>3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0.16</v>
      </c>
      <c r="F12" s="108">
        <v>0.16</v>
      </c>
      <c r="G12" s="108">
        <v>0.16</v>
      </c>
      <c r="H12" s="108">
        <v>0.16</v>
      </c>
      <c r="I12" s="108">
        <v>0.16</v>
      </c>
      <c r="J12" s="108">
        <v>0.16</v>
      </c>
      <c r="K12" s="108">
        <v>0.16</v>
      </c>
      <c r="L12" s="108">
        <v>0.16</v>
      </c>
      <c r="M12" s="108">
        <v>0.16</v>
      </c>
      <c r="N12" s="108">
        <v>0.16</v>
      </c>
      <c r="O12" s="108">
        <v>0.16</v>
      </c>
      <c r="P12" s="108">
        <v>0.16</v>
      </c>
      <c r="Q12" s="108">
        <v>0.16</v>
      </c>
      <c r="R12" s="108">
        <v>0.16</v>
      </c>
      <c r="S12" s="108">
        <v>0.16</v>
      </c>
      <c r="T12" s="108">
        <v>0.16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0.4</v>
      </c>
      <c r="F13" s="108">
        <v>0.4</v>
      </c>
      <c r="G13" s="108">
        <v>0.4</v>
      </c>
      <c r="H13" s="108">
        <v>0.4</v>
      </c>
      <c r="I13" s="108">
        <v>0.4</v>
      </c>
      <c r="J13" s="108">
        <v>0.4</v>
      </c>
      <c r="K13" s="108">
        <v>0.4</v>
      </c>
      <c r="L13" s="108">
        <v>0.4</v>
      </c>
      <c r="M13" s="108">
        <v>0.4</v>
      </c>
      <c r="N13" s="108">
        <v>0.4</v>
      </c>
      <c r="O13" s="108">
        <v>0.4</v>
      </c>
      <c r="P13" s="108">
        <v>0.4</v>
      </c>
      <c r="Q13" s="108">
        <v>0.4</v>
      </c>
      <c r="R13" s="108">
        <v>0.4</v>
      </c>
      <c r="S13" s="108">
        <v>0.4</v>
      </c>
      <c r="T13" s="108">
        <v>0.4</v>
      </c>
      <c r="U13" s="108">
        <v>0.4</v>
      </c>
      <c r="V13" s="108">
        <v>0.4</v>
      </c>
      <c r="W13" s="108">
        <v>0.4</v>
      </c>
      <c r="X13" s="108">
        <v>0.4</v>
      </c>
      <c r="Y13" s="108">
        <v>0.4</v>
      </c>
      <c r="Z13" s="108">
        <v>0.4</v>
      </c>
      <c r="AA13" s="108">
        <v>0.4</v>
      </c>
      <c r="AB13" s="108">
        <v>0.4</v>
      </c>
      <c r="AC13" s="108">
        <v>0.4</v>
      </c>
      <c r="AD13" s="108">
        <v>0.4</v>
      </c>
      <c r="AE13" s="108">
        <v>0.4</v>
      </c>
      <c r="AF13" s="108">
        <v>0.4</v>
      </c>
      <c r="AG13" s="108">
        <v>0.4</v>
      </c>
      <c r="AH13" s="108">
        <v>0.4</v>
      </c>
      <c r="AI13" s="108">
        <v>0.4</v>
      </c>
      <c r="AJ13" s="108">
        <v>0.4</v>
      </c>
      <c r="AK13" s="108">
        <v>0.4</v>
      </c>
      <c r="AL13" s="108">
        <v>0.4</v>
      </c>
      <c r="AM13" s="108">
        <v>0.4</v>
      </c>
      <c r="AN13" s="108">
        <v>0.4</v>
      </c>
    </row>
    <row r="14" spans="1:40" hidden="1" outlineLevel="1" x14ac:dyDescent="0.25">
      <c r="B14" s="39" t="str">
        <v>Recruiter</v>
      </c>
      <c r="C14" s="3"/>
      <c r="D14" s="3"/>
      <c r="E14" s="108">
        <v>0.3</v>
      </c>
      <c r="F14" s="108">
        <v>0.3</v>
      </c>
      <c r="G14" s="108">
        <v>0.3</v>
      </c>
      <c r="H14" s="108">
        <v>0.3</v>
      </c>
      <c r="I14" s="108">
        <v>0.3</v>
      </c>
      <c r="J14" s="108">
        <v>0.3</v>
      </c>
      <c r="K14" s="108">
        <v>0.3</v>
      </c>
      <c r="L14" s="108">
        <v>0.3</v>
      </c>
      <c r="M14" s="108">
        <v>0.3</v>
      </c>
      <c r="N14" s="108">
        <v>0.3</v>
      </c>
      <c r="O14" s="108">
        <v>0.3</v>
      </c>
      <c r="P14" s="108">
        <v>0.3</v>
      </c>
      <c r="Q14" s="108">
        <v>0.3</v>
      </c>
      <c r="R14" s="108">
        <v>0.3</v>
      </c>
      <c r="S14" s="108">
        <v>0.3</v>
      </c>
      <c r="T14" s="108">
        <v>0.3</v>
      </c>
      <c r="U14" s="108">
        <v>0.3</v>
      </c>
      <c r="V14" s="108">
        <v>0.3</v>
      </c>
      <c r="W14" s="108">
        <v>0.3</v>
      </c>
      <c r="X14" s="108">
        <v>0.3</v>
      </c>
      <c r="Y14" s="108">
        <v>0.3</v>
      </c>
      <c r="Z14" s="108">
        <v>0.3</v>
      </c>
      <c r="AA14" s="108">
        <v>0.3</v>
      </c>
      <c r="AB14" s="108">
        <v>0.3</v>
      </c>
      <c r="AC14" s="108">
        <v>0.3</v>
      </c>
      <c r="AD14" s="108">
        <v>0.3</v>
      </c>
      <c r="AE14" s="108">
        <v>0.3</v>
      </c>
      <c r="AF14" s="108">
        <v>0.3</v>
      </c>
      <c r="AG14" s="108">
        <v>0.3</v>
      </c>
      <c r="AH14" s="108">
        <v>0.3</v>
      </c>
      <c r="AI14" s="108">
        <v>0.3</v>
      </c>
      <c r="AJ14" s="108">
        <v>0.3</v>
      </c>
      <c r="AK14" s="108">
        <v>0.3</v>
      </c>
      <c r="AL14" s="108">
        <v>0.3</v>
      </c>
      <c r="AM14" s="108">
        <v>0.3</v>
      </c>
      <c r="AN14" s="108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0.15000000000000002</v>
      </c>
      <c r="F15" s="108">
        <v>0.15000000000000002</v>
      </c>
      <c r="G15" s="108">
        <v>0.15000000000000002</v>
      </c>
      <c r="H15" s="108">
        <v>0.15000000000000002</v>
      </c>
      <c r="I15" s="108">
        <v>0.15000000000000002</v>
      </c>
      <c r="J15" s="108">
        <v>0.15000000000000002</v>
      </c>
      <c r="K15" s="108">
        <v>0.15000000000000002</v>
      </c>
      <c r="L15" s="108">
        <v>0.15000000000000002</v>
      </c>
      <c r="M15" s="108">
        <v>0.15000000000000002</v>
      </c>
      <c r="N15" s="108">
        <v>0.15000000000000002</v>
      </c>
      <c r="O15" s="108">
        <v>0.15000000000000002</v>
      </c>
      <c r="P15" s="108">
        <v>0.15000000000000002</v>
      </c>
      <c r="Q15" s="108">
        <v>0.15000000000000002</v>
      </c>
      <c r="R15" s="108">
        <v>0.15000000000000002</v>
      </c>
      <c r="S15" s="108">
        <v>0.15000000000000002</v>
      </c>
      <c r="T15" s="108">
        <v>0.15000000000000002</v>
      </c>
      <c r="U15" s="108">
        <v>0.15000000000000002</v>
      </c>
      <c r="V15" s="108">
        <v>0.15000000000000002</v>
      </c>
      <c r="W15" s="108">
        <v>0.15000000000000002</v>
      </c>
      <c r="X15" s="108">
        <v>0.15000000000000002</v>
      </c>
      <c r="Y15" s="108">
        <v>0.15000000000000002</v>
      </c>
      <c r="Z15" s="108">
        <v>0.15000000000000002</v>
      </c>
      <c r="AA15" s="108">
        <v>0.15000000000000002</v>
      </c>
      <c r="AB15" s="108">
        <v>0.15000000000000002</v>
      </c>
      <c r="AC15" s="108">
        <v>0.15000000000000002</v>
      </c>
      <c r="AD15" s="108">
        <v>0.15000000000000002</v>
      </c>
      <c r="AE15" s="108">
        <v>0.15000000000000002</v>
      </c>
      <c r="AF15" s="108">
        <v>0.15000000000000002</v>
      </c>
      <c r="AG15" s="108">
        <v>0.15000000000000002</v>
      </c>
      <c r="AH15" s="108">
        <v>0.15000000000000002</v>
      </c>
      <c r="AI15" s="108">
        <v>0.15000000000000002</v>
      </c>
      <c r="AJ15" s="108">
        <v>0.15000000000000002</v>
      </c>
      <c r="AK15" s="108">
        <v>0.15000000000000002</v>
      </c>
      <c r="AL15" s="108">
        <v>0.15000000000000002</v>
      </c>
      <c r="AM15" s="108">
        <v>0.15000000000000002</v>
      </c>
      <c r="AN15" s="108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0.15000000000000002</v>
      </c>
      <c r="F16" s="108">
        <v>0.15000000000000002</v>
      </c>
      <c r="G16" s="108">
        <v>0.15000000000000002</v>
      </c>
      <c r="H16" s="108">
        <v>0.15000000000000002</v>
      </c>
      <c r="I16" s="108">
        <v>0.15000000000000002</v>
      </c>
      <c r="J16" s="108">
        <v>0.15000000000000002</v>
      </c>
      <c r="K16" s="108">
        <v>0.15000000000000002</v>
      </c>
      <c r="L16" s="108">
        <v>0.15000000000000002</v>
      </c>
      <c r="M16" s="108">
        <v>0.15000000000000002</v>
      </c>
      <c r="N16" s="108">
        <v>0.15000000000000002</v>
      </c>
      <c r="O16" s="108">
        <v>0.15000000000000002</v>
      </c>
      <c r="P16" s="108">
        <v>0.15000000000000002</v>
      </c>
      <c r="Q16" s="108">
        <v>0.15000000000000002</v>
      </c>
      <c r="R16" s="108">
        <v>0.15000000000000002</v>
      </c>
      <c r="S16" s="108">
        <v>0.15000000000000002</v>
      </c>
      <c r="T16" s="108">
        <v>0.15000000000000002</v>
      </c>
      <c r="U16" s="108">
        <v>0.15000000000000002</v>
      </c>
      <c r="V16" s="108">
        <v>0.15000000000000002</v>
      </c>
      <c r="W16" s="108">
        <v>0.15000000000000002</v>
      </c>
      <c r="X16" s="108">
        <v>0.15000000000000002</v>
      </c>
      <c r="Y16" s="108">
        <v>0.15000000000000002</v>
      </c>
      <c r="Z16" s="108">
        <v>0.15000000000000002</v>
      </c>
      <c r="AA16" s="108">
        <v>0.15000000000000002</v>
      </c>
      <c r="AB16" s="108">
        <v>0.15000000000000002</v>
      </c>
      <c r="AC16" s="108">
        <v>0.15000000000000002</v>
      </c>
      <c r="AD16" s="108">
        <v>0.15000000000000002</v>
      </c>
      <c r="AE16" s="108">
        <v>0.15000000000000002</v>
      </c>
      <c r="AF16" s="108">
        <v>0.15000000000000002</v>
      </c>
      <c r="AG16" s="108">
        <v>0.15000000000000002</v>
      </c>
      <c r="AH16" s="108">
        <v>0.15000000000000002</v>
      </c>
      <c r="AI16" s="108">
        <v>0.15000000000000002</v>
      </c>
      <c r="AJ16" s="108">
        <v>0.15000000000000002</v>
      </c>
      <c r="AK16" s="108">
        <v>0.15000000000000002</v>
      </c>
      <c r="AL16" s="108">
        <v>0.15000000000000002</v>
      </c>
      <c r="AM16" s="108">
        <v>0.15000000000000002</v>
      </c>
      <c r="AN16" s="108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18</v>
      </c>
      <c r="F21" s="120">
        <v>18</v>
      </c>
      <c r="G21" s="120">
        <v>18</v>
      </c>
      <c r="H21" s="120">
        <v>18</v>
      </c>
      <c r="I21" s="120">
        <v>18</v>
      </c>
      <c r="J21" s="120">
        <v>18</v>
      </c>
      <c r="K21" s="120">
        <v>18</v>
      </c>
      <c r="L21" s="120">
        <v>18</v>
      </c>
      <c r="M21" s="120">
        <v>18</v>
      </c>
      <c r="N21" s="120">
        <v>18</v>
      </c>
      <c r="O21" s="120">
        <v>18</v>
      </c>
      <c r="P21" s="120">
        <v>18</v>
      </c>
      <c r="Q21" s="120">
        <v>18</v>
      </c>
      <c r="R21" s="120">
        <v>18</v>
      </c>
      <c r="S21" s="120">
        <v>18</v>
      </c>
      <c r="T21" s="120">
        <v>18</v>
      </c>
      <c r="U21" s="120">
        <v>18</v>
      </c>
      <c r="V21" s="120">
        <v>18</v>
      </c>
      <c r="W21" s="120">
        <v>18</v>
      </c>
      <c r="X21" s="120">
        <v>18</v>
      </c>
      <c r="Y21" s="120">
        <v>18</v>
      </c>
      <c r="Z21" s="120">
        <v>18</v>
      </c>
      <c r="AA21" s="120">
        <v>18</v>
      </c>
      <c r="AB21" s="120">
        <v>18</v>
      </c>
      <c r="AC21" s="120">
        <v>18</v>
      </c>
      <c r="AD21" s="120">
        <v>18</v>
      </c>
      <c r="AE21" s="120">
        <v>18</v>
      </c>
      <c r="AF21" s="120">
        <v>18</v>
      </c>
      <c r="AG21" s="120">
        <v>18</v>
      </c>
      <c r="AH21" s="120">
        <v>18</v>
      </c>
      <c r="AI21" s="120">
        <v>18</v>
      </c>
      <c r="AJ21" s="120">
        <v>18</v>
      </c>
      <c r="AK21" s="120">
        <v>18</v>
      </c>
      <c r="AL21" s="120">
        <v>18</v>
      </c>
      <c r="AM21" s="120">
        <v>18</v>
      </c>
      <c r="AN21" s="120">
        <v>18</v>
      </c>
    </row>
    <row r="22" spans="2:50" x14ac:dyDescent="0.25">
      <c r="B22" s="2" t="s">
        <v>464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38911.558670678554</v>
      </c>
      <c r="F49" s="12">
        <f>'Corp.'!F$50*(F$37-(F31-F32-F34)*$C$35)/(SUM('MDA1:NCA9'!F$37)-SUM('MDA1:NCA9'!F$31)-SUM('MDA1:NCA9'!F$32)-SUM('MDA1:NCA9'!F$34))</f>
        <v>36582.26049870639</v>
      </c>
      <c r="G49" s="12">
        <f>'Corp.'!G$50*(G$37-(G31-G32-G34)*$C$35)/(SUM('MDA1:NCA9'!G$37)-SUM('MDA1:NCA9'!G$31)-SUM('MDA1:NCA9'!G$32)-SUM('MDA1:NCA9'!G$34))</f>
        <v>33348.378289856781</v>
      </c>
      <c r="H49" s="12">
        <f>'Corp.'!H$50*(H$37-(H31-H32-H34)*$C$35)/(SUM('MDA1:NCA9'!H$37)-SUM('MDA1:NCA9'!H$31)-SUM('MDA1:NCA9'!H$32)-SUM('MDA1:NCA9'!H$34))</f>
        <v>30553.32702334796</v>
      </c>
      <c r="I49" s="12">
        <f>'Corp.'!I$50*(I$37-(I31-I32-I34)*$C$35)/(SUM('MDA1:NCA9'!I$37)-SUM('MDA1:NCA9'!I$31)-SUM('MDA1:NCA9'!I$32)-SUM('MDA1:NCA9'!I$34))</f>
        <v>28799.17956977816</v>
      </c>
      <c r="J49" s="12">
        <f>'Corp.'!J$50*(J$37-(J31-J32-J34)*$C$35)/(SUM('MDA1:NCA9'!J$37)-SUM('MDA1:NCA9'!J$31)-SUM('MDA1:NCA9'!J$32)-SUM('MDA1:NCA9'!J$34))</f>
        <v>26972.767153588717</v>
      </c>
      <c r="K49" s="12">
        <f>'Corp.'!K$50*(K$37-(K31-K32-K34)*$C$35)/(SUM('MDA1:NCA9'!K$37)-SUM('MDA1:NCA9'!K$31)-SUM('MDA1:NCA9'!K$32)-SUM('MDA1:NCA9'!K$34))</f>
        <v>24838.069611150539</v>
      </c>
      <c r="L49" s="12">
        <f>'Corp.'!L$50*(L$37-(L31-L32-L34)*$C$35)/(SUM('MDA1:NCA9'!L$37)-SUM('MDA1:NCA9'!L$31)-SUM('MDA1:NCA9'!L$32)-SUM('MDA1:NCA9'!L$34))</f>
        <v>23510.610055302728</v>
      </c>
      <c r="M49" s="12">
        <f>'Corp.'!M$50*(M$37-(M31-M32-M34)*$C$35)/(SUM('MDA1:NCA9'!M$37)-SUM('MDA1:NCA9'!M$31)-SUM('MDA1:NCA9'!M$32)-SUM('MDA1:NCA9'!M$34))</f>
        <v>22082.424220906552</v>
      </c>
      <c r="N49" s="12">
        <f>'Corp.'!N$50*(N$37-(N31-N32-N34)*$C$35)/(SUM('MDA1:NCA9'!N$37)-SUM('MDA1:NCA9'!N$31)-SUM('MDA1:NCA9'!N$32)-SUM('MDA1:NCA9'!N$34))</f>
        <v>20856.750008060801</v>
      </c>
      <c r="O49" s="12">
        <f>'Corp.'!O$50*(O$37-(O31-O32-O34)*$C$35)/(SUM('MDA1:NCA9'!O$37)-SUM('MDA1:NCA9'!O$31)-SUM('MDA1:NCA9'!O$32)-SUM('MDA1:NCA9'!O$34))</f>
        <v>19570.854646855081</v>
      </c>
      <c r="P49" s="12">
        <f>'Corp.'!P$50*(P$37-(P31-P32-P34)*$C$35)/(SUM('MDA1:NCA9'!P$37)-SUM('MDA1:NCA9'!P$31)-SUM('MDA1:NCA9'!P$32)-SUM('MDA1:NCA9'!P$34))</f>
        <v>18517.497247155305</v>
      </c>
      <c r="Q49" s="12">
        <f>'Corp.'!Q$50*(Q$37-(Q31-Q32-Q34)*$C$35)/(SUM('MDA1:NCA9'!Q$37)-SUM('MDA1:NCA9'!Q$31)-SUM('MDA1:NCA9'!Q$32)-SUM('MDA1:NCA9'!Q$34))</f>
        <v>19355.633491318436</v>
      </c>
      <c r="R49" s="12">
        <f>'Corp.'!R$50*(R$37-(R31-R32-R34)*$C$35)/(SUM('MDA1:NCA9'!R$37)-SUM('MDA1:NCA9'!R$31)-SUM('MDA1:NCA9'!R$32)-SUM('MDA1:NCA9'!R$34))</f>
        <v>18659.532890454138</v>
      </c>
      <c r="S49" s="12">
        <f>'Corp.'!S$50*(S$37-(S31-S32-S34)*$C$35)/(SUM('MDA1:NCA9'!S$37)-SUM('MDA1:NCA9'!S$31)-SUM('MDA1:NCA9'!S$32)-SUM('MDA1:NCA9'!S$34))</f>
        <v>17888.974234674115</v>
      </c>
      <c r="T49" s="12">
        <f>'Corp.'!T$50*(T$37-(T31-T32-T34)*$C$35)/(SUM('MDA1:NCA9'!T$37)-SUM('MDA1:NCA9'!T$31)-SUM('MDA1:NCA9'!T$32)-SUM('MDA1:NCA9'!T$34))</f>
        <v>17239.229957727144</v>
      </c>
      <c r="U49" s="12">
        <f>'Corp.'!U$50*(U$37-(U31-U32-U34)*$C$35)/(SUM('MDA1:NCA9'!U$37)-SUM('MDA1:NCA9'!U$31)-SUM('MDA1:NCA9'!U$32)-SUM('MDA1:NCA9'!U$34))</f>
        <v>16795.859319261832</v>
      </c>
      <c r="V49" s="12">
        <f>'Corp.'!V$50*(V$37-(V31-V32-V34)*$C$35)/(SUM('MDA1:NCA9'!V$37)-SUM('MDA1:NCA9'!V$31)-SUM('MDA1:NCA9'!V$32)-SUM('MDA1:NCA9'!V$34))</f>
        <v>16436.05042639231</v>
      </c>
      <c r="W49" s="12">
        <f>'Corp.'!W$50*(W$37-(W31-W32-W34)*$C$35)/(SUM('MDA1:NCA9'!W$37)-SUM('MDA1:NCA9'!W$31)-SUM('MDA1:NCA9'!W$32)-SUM('MDA1:NCA9'!W$34))</f>
        <v>15962.99339226285</v>
      </c>
      <c r="X49" s="12">
        <f>'Corp.'!X$50*(X$37-(X31-X32-X34)*$C$35)/(SUM('MDA1:NCA9'!X$37)-SUM('MDA1:NCA9'!X$31)-SUM('MDA1:NCA9'!X$32)-SUM('MDA1:NCA9'!X$34))</f>
        <v>15488.553170233359</v>
      </c>
      <c r="Y49" s="12">
        <f>'Corp.'!Y$50*(Y$37-(Y31-Y32-Y34)*$C$35)/(SUM('MDA1:NCA9'!Y$37)-SUM('MDA1:NCA9'!Y$31)-SUM('MDA1:NCA9'!Y$32)-SUM('MDA1:NCA9'!Y$34))</f>
        <v>15181.144897338801</v>
      </c>
      <c r="Z49" s="12">
        <f>'Corp.'!Z$50*(Z$37-(Z31-Z32-Z34)*$C$35)/(SUM('MDA1:NCA9'!Z$37)-SUM('MDA1:NCA9'!Z$31)-SUM('MDA1:NCA9'!Z$32)-SUM('MDA1:NCA9'!Z$34))</f>
        <v>14873.566456274732</v>
      </c>
      <c r="AA49" s="12">
        <f>'Corp.'!AA$50*(AA$37-(AA31-AA32-AA34)*$C$35)/(SUM('MDA1:NCA9'!AA$37)-SUM('MDA1:NCA9'!AA$31)-SUM('MDA1:NCA9'!AA$32)-SUM('MDA1:NCA9'!AA$34))</f>
        <v>14554.569120644794</v>
      </c>
      <c r="AB49" s="12">
        <f>'Corp.'!AB$50*(AB$37-(AB31-AB32-AB34)*$C$35)/(SUM('MDA1:NCA9'!AB$37)-SUM('MDA1:NCA9'!AB$31)-SUM('MDA1:NCA9'!AB$32)-SUM('MDA1:NCA9'!AB$34))</f>
        <v>14242.767310680414</v>
      </c>
      <c r="AC49" s="12">
        <f>'Corp.'!AC$50*(AC$37-(AC31-AC32-AC34)*$C$35)/(SUM('MDA1:NCA9'!AC$37)-SUM('MDA1:NCA9'!AC$31)-SUM('MDA1:NCA9'!AC$32)-SUM('MDA1:NCA9'!AC$34))</f>
        <v>15412.637385703656</v>
      </c>
      <c r="AD49" s="12">
        <f>'Corp.'!AD$50*(AD$37-(AD31-AD32-AD34)*$C$35)/(SUM('MDA1:NCA9'!AD$37)-SUM('MDA1:NCA9'!AD$31)-SUM('MDA1:NCA9'!AD$32)-SUM('MDA1:NCA9'!AD$34))</f>
        <v>15175.990456291433</v>
      </c>
      <c r="AE49" s="12">
        <f>'Corp.'!AE$50*(AE$37-(AE31-AE32-AE34)*$C$35)/(SUM('MDA1:NCA9'!AE$37)-SUM('MDA1:NCA9'!AE$31)-SUM('MDA1:NCA9'!AE$32)-SUM('MDA1:NCA9'!AE$34))</f>
        <v>14951.953525515712</v>
      </c>
      <c r="AF49" s="12">
        <f>'Corp.'!AF$50*(AF$37-(AF31-AF32-AF34)*$C$35)/(SUM('MDA1:NCA9'!AF$37)-SUM('MDA1:NCA9'!AF$31)-SUM('MDA1:NCA9'!AF$32)-SUM('MDA1:NCA9'!AF$34))</f>
        <v>14741.27818452903</v>
      </c>
      <c r="AG49" s="12">
        <f>'Corp.'!AG$50*(AG$37-(AG31-AG32-AG34)*$C$35)/(SUM('MDA1:NCA9'!AG$37)-SUM('MDA1:NCA9'!AG$31)-SUM('MDA1:NCA9'!AG$32)-SUM('MDA1:NCA9'!AG$34))</f>
        <v>14573.505390356051</v>
      </c>
      <c r="AH49" s="12">
        <f>'Corp.'!AH$50*(AH$37-(AH31-AH32-AH34)*$C$35)/(SUM('MDA1:NCA9'!AH$37)-SUM('MDA1:NCA9'!AH$31)-SUM('MDA1:NCA9'!AH$32)-SUM('MDA1:NCA9'!AH$34))</f>
        <v>14351.080807981718</v>
      </c>
      <c r="AI49" s="12">
        <f>'Corp.'!AI$50*(AI$37-(AI31-AI32-AI34)*$C$35)/(SUM('MDA1:NCA9'!AI$37)-SUM('MDA1:NCA9'!AI$31)-SUM('MDA1:NCA9'!AI$32)-SUM('MDA1:NCA9'!AI$34))</f>
        <v>14120.478913957153</v>
      </c>
      <c r="AJ49" s="12">
        <f>'Corp.'!AJ$50*(AJ$37-(AJ31-AJ32-AJ34)*$C$35)/(SUM('MDA1:NCA9'!AJ$37)-SUM('MDA1:NCA9'!AJ$31)-SUM('MDA1:NCA9'!AJ$32)-SUM('MDA1:NCA9'!AJ$34))</f>
        <v>13882.422046225791</v>
      </c>
      <c r="AK49" s="12">
        <f>'Corp.'!AK$50*(AK$37-(AK31-AK32-AK34)*$C$35)/(SUM('MDA1:NCA9'!AK$37)-SUM('MDA1:NCA9'!AK$31)-SUM('MDA1:NCA9'!AK$32)-SUM('MDA1:NCA9'!AK$34))</f>
        <v>13662.529518196157</v>
      </c>
      <c r="AL49" s="12">
        <f>'Corp.'!AL$50*(AL$37-(AL31-AL32-AL34)*$C$35)/(SUM('MDA1:NCA9'!AL$37)-SUM('MDA1:NCA9'!AL$31)-SUM('MDA1:NCA9'!AL$32)-SUM('MDA1:NCA9'!AL$34))</f>
        <v>13460.404209809662</v>
      </c>
      <c r="AM49" s="12">
        <f>'Corp.'!AM$50*(AM$37-(AM31-AM32-AM34)*$C$35)/(SUM('MDA1:NCA9'!AM$37)-SUM('MDA1:NCA9'!AM$31)-SUM('MDA1:NCA9'!AM$32)-SUM('MDA1:NCA9'!AM$34))</f>
        <v>13242.470941381116</v>
      </c>
      <c r="AN49" s="12">
        <f>'Corp.'!AN$50*(AN$37-(AN31-AN32-AN34)*$C$35)/(SUM('MDA1:NCA9'!AN$37)-SUM('MDA1:NCA9'!AN$31)-SUM('MDA1:NCA9'!AN$32)-SUM('MDA1:NCA9'!AN$34))</f>
        <v>13056.988316346014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118642.19397909653</v>
      </c>
      <c r="F50" s="13">
        <v>116312.89580712435</v>
      </c>
      <c r="G50" s="13">
        <v>113079.01359827476</v>
      </c>
      <c r="H50" s="13">
        <v>110283.96233176593</v>
      </c>
      <c r="I50" s="13">
        <v>108529.81487819614</v>
      </c>
      <c r="J50" s="13">
        <v>106703.40246200669</v>
      </c>
      <c r="K50" s="13">
        <v>104568.70491956851</v>
      </c>
      <c r="L50" s="13">
        <v>103241.24536372069</v>
      </c>
      <c r="M50" s="13">
        <v>101813.05952932453</v>
      </c>
      <c r="N50" s="13">
        <v>100587.38531647877</v>
      </c>
      <c r="O50" s="13">
        <v>99301.489955273049</v>
      </c>
      <c r="P50" s="13">
        <v>98248.132555573276</v>
      </c>
      <c r="Q50" s="13">
        <v>106531.53233057821</v>
      </c>
      <c r="R50" s="13">
        <v>105835.43172971391</v>
      </c>
      <c r="S50" s="13">
        <v>105064.87307393388</v>
      </c>
      <c r="T50" s="13">
        <v>104415.12879698692</v>
      </c>
      <c r="U50" s="13">
        <v>103971.7581585216</v>
      </c>
      <c r="V50" s="13">
        <v>103611.94926565207</v>
      </c>
      <c r="W50" s="13">
        <v>103138.89223152262</v>
      </c>
      <c r="X50" s="13">
        <v>102664.45200949312</v>
      </c>
      <c r="Y50" s="13">
        <v>102357.04373659857</v>
      </c>
      <c r="Z50" s="13">
        <v>102049.46529553449</v>
      </c>
      <c r="AA50" s="13">
        <v>101730.46795990456</v>
      </c>
      <c r="AB50" s="13">
        <v>101418.66614994018</v>
      </c>
      <c r="AC50" s="13">
        <v>110767.77010888942</v>
      </c>
      <c r="AD50" s="13">
        <v>110531.1231794772</v>
      </c>
      <c r="AE50" s="13">
        <v>110307.08624870148</v>
      </c>
      <c r="AF50" s="13">
        <v>110096.4109077148</v>
      </c>
      <c r="AG50" s="13">
        <v>109928.63811354182</v>
      </c>
      <c r="AH50" s="13">
        <v>109706.21353116749</v>
      </c>
      <c r="AI50" s="13">
        <v>109475.61163714292</v>
      </c>
      <c r="AJ50" s="13">
        <v>109237.55476941157</v>
      </c>
      <c r="AK50" s="13">
        <v>109017.66224138193</v>
      </c>
      <c r="AL50" s="13">
        <v>108815.53693299543</v>
      </c>
      <c r="AM50" s="13">
        <v>108597.60366456689</v>
      </c>
      <c r="AN50" s="13">
        <v>108412.12103953179</v>
      </c>
    </row>
    <row r="52" spans="2:40" x14ac:dyDescent="0.25">
      <c r="B52" s="1" t="s">
        <v>50</v>
      </c>
      <c r="E52" s="74">
        <f>E37-E50</f>
        <v>49016.491750823465</v>
      </c>
      <c r="F52" s="74">
        <f t="shared" ref="F52:AN52" si="0">F37-F50</f>
        <v>51345.789922795637</v>
      </c>
      <c r="G52" s="74">
        <f t="shared" si="0"/>
        <v>54579.672131645231</v>
      </c>
      <c r="H52" s="74">
        <f t="shared" si="0"/>
        <v>57374.723398154063</v>
      </c>
      <c r="I52" s="74">
        <f t="shared" si="0"/>
        <v>59128.870851723856</v>
      </c>
      <c r="J52" s="74">
        <f t="shared" si="0"/>
        <v>60955.283267913299</v>
      </c>
      <c r="K52" s="74">
        <f t="shared" si="0"/>
        <v>63089.980810351481</v>
      </c>
      <c r="L52" s="74">
        <f t="shared" si="0"/>
        <v>64417.440366199298</v>
      </c>
      <c r="M52" s="74">
        <f t="shared" si="0"/>
        <v>65845.626200595463</v>
      </c>
      <c r="N52" s="74">
        <f t="shared" si="0"/>
        <v>67071.300413441219</v>
      </c>
      <c r="O52" s="74">
        <f t="shared" si="0"/>
        <v>68357.195774646942</v>
      </c>
      <c r="P52" s="74">
        <f t="shared" si="0"/>
        <v>69410.553174346715</v>
      </c>
      <c r="Q52" s="74">
        <f t="shared" si="0"/>
        <v>66156.913971239366</v>
      </c>
      <c r="R52" s="74">
        <f t="shared" si="0"/>
        <v>66853.014572103668</v>
      </c>
      <c r="S52" s="74">
        <f t="shared" si="0"/>
        <v>67623.573227883695</v>
      </c>
      <c r="T52" s="74">
        <f t="shared" si="0"/>
        <v>68273.317504830658</v>
      </c>
      <c r="U52" s="74">
        <f t="shared" si="0"/>
        <v>68716.688143295978</v>
      </c>
      <c r="V52" s="74">
        <f t="shared" si="0"/>
        <v>69076.4970361655</v>
      </c>
      <c r="W52" s="74">
        <f t="shared" si="0"/>
        <v>69549.554070294951</v>
      </c>
      <c r="X52" s="74">
        <f t="shared" si="0"/>
        <v>70023.994292324453</v>
      </c>
      <c r="Y52" s="74">
        <f t="shared" si="0"/>
        <v>70331.402565219003</v>
      </c>
      <c r="Z52" s="74">
        <f t="shared" si="0"/>
        <v>70638.98100628308</v>
      </c>
      <c r="AA52" s="74">
        <f t="shared" si="0"/>
        <v>70957.978341913011</v>
      </c>
      <c r="AB52" s="74">
        <f t="shared" si="0"/>
        <v>71269.780151877392</v>
      </c>
      <c r="AC52" s="74">
        <f t="shared" si="0"/>
        <v>61920.676192928149</v>
      </c>
      <c r="AD52" s="74">
        <f t="shared" si="0"/>
        <v>62157.323122340371</v>
      </c>
      <c r="AE52" s="74">
        <f t="shared" si="0"/>
        <v>62381.360053116092</v>
      </c>
      <c r="AF52" s="74">
        <f t="shared" si="0"/>
        <v>62592.035394102772</v>
      </c>
      <c r="AG52" s="74">
        <f t="shared" si="0"/>
        <v>62759.808188275754</v>
      </c>
      <c r="AH52" s="74">
        <f t="shared" si="0"/>
        <v>62982.23277065008</v>
      </c>
      <c r="AI52" s="74">
        <f t="shared" si="0"/>
        <v>63212.83466467465</v>
      </c>
      <c r="AJ52" s="74">
        <f t="shared" si="0"/>
        <v>63450.891532406007</v>
      </c>
      <c r="AK52" s="74">
        <f t="shared" si="0"/>
        <v>63670.784060435646</v>
      </c>
      <c r="AL52" s="74">
        <f t="shared" si="0"/>
        <v>63872.909368822147</v>
      </c>
      <c r="AM52" s="74">
        <f t="shared" si="0"/>
        <v>64090.84263725068</v>
      </c>
      <c r="AN52" s="74">
        <f t="shared" si="0"/>
        <v>64276.325262285784</v>
      </c>
    </row>
    <row r="53" spans="2:40" x14ac:dyDescent="0.25">
      <c r="E53" s="107">
        <f>IFERROR(E52/E37,"")</f>
        <v>0.29235879750234789</v>
      </c>
      <c r="F53" s="107">
        <f t="shared" ref="F53:AN53" si="1">IFERROR(F52/F37,"")</f>
        <v>0.30625189323926916</v>
      </c>
      <c r="G53" s="107">
        <f t="shared" si="1"/>
        <v>0.32554037921761586</v>
      </c>
      <c r="H53" s="107">
        <f t="shared" si="1"/>
        <v>0.34221145864508645</v>
      </c>
      <c r="I53" s="107">
        <f t="shared" si="1"/>
        <v>0.35267406871466278</v>
      </c>
      <c r="J53" s="107">
        <f t="shared" si="1"/>
        <v>0.36356770305420183</v>
      </c>
      <c r="K53" s="107">
        <f t="shared" si="1"/>
        <v>0.37630010360443011</v>
      </c>
      <c r="L53" s="107">
        <f t="shared" si="1"/>
        <v>0.38421773429602585</v>
      </c>
      <c r="M53" s="107">
        <f t="shared" si="1"/>
        <v>0.3927361467372209</v>
      </c>
      <c r="N53" s="107">
        <f t="shared" si="1"/>
        <v>0.40004667889074252</v>
      </c>
      <c r="O53" s="107">
        <f t="shared" si="1"/>
        <v>0.40771640000067155</v>
      </c>
      <c r="P53" s="107">
        <f t="shared" si="1"/>
        <v>0.413999148759639</v>
      </c>
      <c r="Q53" s="107">
        <f t="shared" si="1"/>
        <v>0.38309982739443438</v>
      </c>
      <c r="R53" s="107">
        <f t="shared" si="1"/>
        <v>0.38713078960280173</v>
      </c>
      <c r="S53" s="107">
        <f t="shared" si="1"/>
        <v>0.39159292168101434</v>
      </c>
      <c r="T53" s="107">
        <f t="shared" si="1"/>
        <v>0.3953554448310076</v>
      </c>
      <c r="U53" s="107">
        <f t="shared" si="1"/>
        <v>0.39792290460009033</v>
      </c>
      <c r="V53" s="107">
        <f t="shared" si="1"/>
        <v>0.40000647707164216</v>
      </c>
      <c r="W53" s="107">
        <f t="shared" si="1"/>
        <v>0.40274584408929814</v>
      </c>
      <c r="X53" s="107">
        <f t="shared" si="1"/>
        <v>0.40549322083736555</v>
      </c>
      <c r="Y53" s="107">
        <f t="shared" si="1"/>
        <v>0.40727335308985724</v>
      </c>
      <c r="Z53" s="107">
        <f t="shared" si="1"/>
        <v>0.40905447074799234</v>
      </c>
      <c r="AA53" s="107">
        <f t="shared" si="1"/>
        <v>0.41090171265943093</v>
      </c>
      <c r="AB53" s="107">
        <f t="shared" si="1"/>
        <v>0.41270728689813491</v>
      </c>
      <c r="AC53" s="107">
        <f t="shared" si="1"/>
        <v>0.35856872604381307</v>
      </c>
      <c r="AD53" s="107">
        <f t="shared" si="1"/>
        <v>0.3599390952519454</v>
      </c>
      <c r="AE53" s="107">
        <f t="shared" si="1"/>
        <v>0.3612364427906693</v>
      </c>
      <c r="AF53" s="107">
        <f t="shared" si="1"/>
        <v>0.36245641636445702</v>
      </c>
      <c r="AG53" s="107">
        <f t="shared" si="1"/>
        <v>0.36342795092722541</v>
      </c>
      <c r="AH53" s="107">
        <f t="shared" si="1"/>
        <v>0.36471596171855292</v>
      </c>
      <c r="AI53" s="107">
        <f t="shared" si="1"/>
        <v>0.36605132548470515</v>
      </c>
      <c r="AJ53" s="107">
        <f t="shared" si="1"/>
        <v>0.36742985932891664</v>
      </c>
      <c r="AK53" s="107">
        <f t="shared" si="1"/>
        <v>0.36870320756233188</v>
      </c>
      <c r="AL53" s="107">
        <f t="shared" si="1"/>
        <v>0.36987366981800146</v>
      </c>
      <c r="AM53" s="107">
        <f t="shared" si="1"/>
        <v>0.37113567241919249</v>
      </c>
      <c r="AN53" s="107">
        <f t="shared" si="1"/>
        <v>0.37220976063416739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23867.688891335467</v>
      </c>
      <c r="F58" s="13">
        <f t="shared" ref="F58:AN58" si="2">F37-F50-F55+F56</f>
        <v>26196.987063307639</v>
      </c>
      <c r="G58" s="13">
        <f t="shared" si="2"/>
        <v>29430.869272157233</v>
      </c>
      <c r="H58" s="13">
        <f t="shared" si="2"/>
        <v>32225.920538666065</v>
      </c>
      <c r="I58" s="13">
        <f t="shared" si="2"/>
        <v>33980.067992235854</v>
      </c>
      <c r="J58" s="13">
        <f t="shared" si="2"/>
        <v>35806.480408425297</v>
      </c>
      <c r="K58" s="13">
        <f t="shared" si="2"/>
        <v>37941.177950863479</v>
      </c>
      <c r="L58" s="13">
        <f t="shared" si="2"/>
        <v>39268.637506711297</v>
      </c>
      <c r="M58" s="13">
        <f t="shared" si="2"/>
        <v>40696.823341107462</v>
      </c>
      <c r="N58" s="13">
        <f t="shared" si="2"/>
        <v>41922.497553953217</v>
      </c>
      <c r="O58" s="13">
        <f t="shared" si="2"/>
        <v>43208.39291515894</v>
      </c>
      <c r="P58" s="13">
        <f t="shared" si="2"/>
        <v>44261.750314858713</v>
      </c>
      <c r="Q58" s="13">
        <f t="shared" si="2"/>
        <v>41008.111111751365</v>
      </c>
      <c r="R58" s="13">
        <f t="shared" si="2"/>
        <v>41704.211712615666</v>
      </c>
      <c r="S58" s="13">
        <f t="shared" si="2"/>
        <v>42474.770368395693</v>
      </c>
      <c r="T58" s="13">
        <f t="shared" si="2"/>
        <v>43124.514645342657</v>
      </c>
      <c r="U58" s="13">
        <f t="shared" si="2"/>
        <v>43567.885283807977</v>
      </c>
      <c r="V58" s="13">
        <f t="shared" si="2"/>
        <v>43173.230090892859</v>
      </c>
      <c r="W58" s="13">
        <f t="shared" si="2"/>
        <v>43646.287125022311</v>
      </c>
      <c r="X58" s="13">
        <f t="shared" si="2"/>
        <v>44120.727347051812</v>
      </c>
      <c r="Y58" s="13">
        <f t="shared" si="2"/>
        <v>44428.135619946363</v>
      </c>
      <c r="Z58" s="13">
        <f t="shared" si="2"/>
        <v>44735.71406101044</v>
      </c>
      <c r="AA58" s="13">
        <f t="shared" si="2"/>
        <v>45054.71139664037</v>
      </c>
      <c r="AB58" s="13">
        <f t="shared" si="2"/>
        <v>45366.513206604752</v>
      </c>
      <c r="AC58" s="13">
        <f t="shared" si="2"/>
        <v>36017.409247655509</v>
      </c>
      <c r="AD58" s="13">
        <f t="shared" si="2"/>
        <v>36254.05617706773</v>
      </c>
      <c r="AE58" s="13">
        <f t="shared" si="2"/>
        <v>36478.093107843451</v>
      </c>
      <c r="AF58" s="13">
        <f t="shared" si="2"/>
        <v>36688.768448830131</v>
      </c>
      <c r="AG58" s="13">
        <f t="shared" si="2"/>
        <v>36856.541243003114</v>
      </c>
      <c r="AH58" s="13">
        <f t="shared" si="2"/>
        <v>37078.96582537744</v>
      </c>
      <c r="AI58" s="13">
        <f t="shared" si="2"/>
        <v>37309.56771940201</v>
      </c>
      <c r="AJ58" s="13">
        <f t="shared" si="2"/>
        <v>37547.624587133367</v>
      </c>
      <c r="AK58" s="13">
        <f t="shared" si="2"/>
        <v>37767.517115163006</v>
      </c>
      <c r="AL58" s="13">
        <f t="shared" si="2"/>
        <v>37969.642423549507</v>
      </c>
      <c r="AM58" s="13">
        <f t="shared" si="2"/>
        <v>38187.57569197804</v>
      </c>
      <c r="AN58" s="13">
        <f t="shared" si="2"/>
        <v>38373.058317013143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23867.688891335467</v>
      </c>
      <c r="F59" s="12">
        <v>50064.675954643106</v>
      </c>
      <c r="G59" s="12">
        <v>79495.545226800343</v>
      </c>
      <c r="H59" s="12">
        <v>111721.4657654664</v>
      </c>
      <c r="I59" s="12">
        <v>145701.53375770227</v>
      </c>
      <c r="J59" s="12">
        <v>181508.01416612757</v>
      </c>
      <c r="K59" s="12">
        <v>219449.19211699103</v>
      </c>
      <c r="L59" s="12">
        <v>258717.82962370233</v>
      </c>
      <c r="M59" s="12">
        <v>299414.65296480979</v>
      </c>
      <c r="N59" s="12">
        <v>341337.150518763</v>
      </c>
      <c r="O59" s="12">
        <v>384545.54343392194</v>
      </c>
      <c r="P59" s="12">
        <v>428807.29374878062</v>
      </c>
      <c r="Q59" s="12">
        <v>469815.40486053197</v>
      </c>
      <c r="R59" s="12">
        <v>511519.61657314765</v>
      </c>
      <c r="S59" s="12">
        <v>553994.38694154331</v>
      </c>
      <c r="T59" s="12">
        <v>597118.90158688603</v>
      </c>
      <c r="U59" s="12">
        <v>640686.78687069402</v>
      </c>
      <c r="V59" s="12">
        <v>683860.01696158689</v>
      </c>
      <c r="W59" s="12">
        <v>727506.30408660916</v>
      </c>
      <c r="X59" s="12">
        <v>771627.031433661</v>
      </c>
      <c r="Y59" s="12">
        <v>816055.16705360741</v>
      </c>
      <c r="Z59" s="12">
        <v>860790.8811146178</v>
      </c>
      <c r="AA59" s="12">
        <v>905845.5925112582</v>
      </c>
      <c r="AB59" s="12">
        <v>951212.10571786296</v>
      </c>
      <c r="AC59" s="12">
        <v>987229.51496551849</v>
      </c>
      <c r="AD59" s="12">
        <v>1023483.5711425862</v>
      </c>
      <c r="AE59" s="12">
        <v>1059961.6642504297</v>
      </c>
      <c r="AF59" s="12">
        <v>1096650.4326992598</v>
      </c>
      <c r="AG59" s="12">
        <v>1133506.9739422631</v>
      </c>
      <c r="AH59" s="12">
        <v>1170585.9397676405</v>
      </c>
      <c r="AI59" s="12">
        <v>1207895.5074870426</v>
      </c>
      <c r="AJ59" s="12">
        <v>1245443.1320741759</v>
      </c>
      <c r="AK59" s="12">
        <v>1283210.6491893388</v>
      </c>
      <c r="AL59" s="12">
        <v>1321180.2916128882</v>
      </c>
      <c r="AM59" s="12">
        <v>1359367.8673048662</v>
      </c>
      <c r="AN59" s="12">
        <v>1397740.9256218793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0A59-063A-4883-A367-631177276785}">
  <dimension ref="A1:AX103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6" width="12.140625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501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29</v>
      </c>
      <c r="F1" s="69">
        <v>31</v>
      </c>
      <c r="G1" s="69">
        <v>34</v>
      </c>
      <c r="H1" s="69">
        <v>34</v>
      </c>
      <c r="I1" s="69">
        <v>34</v>
      </c>
      <c r="J1" s="69">
        <v>34</v>
      </c>
      <c r="K1" s="69">
        <v>34</v>
      </c>
      <c r="L1" s="69">
        <v>34</v>
      </c>
      <c r="M1" s="69">
        <v>34</v>
      </c>
      <c r="N1" s="69">
        <v>34</v>
      </c>
      <c r="O1" s="69">
        <v>34</v>
      </c>
      <c r="P1" s="69">
        <v>34</v>
      </c>
      <c r="Q1" s="69">
        <v>34</v>
      </c>
      <c r="R1" s="69">
        <v>34</v>
      </c>
      <c r="S1" s="69">
        <v>34</v>
      </c>
      <c r="T1" s="69">
        <v>34</v>
      </c>
      <c r="U1" s="69">
        <v>34</v>
      </c>
      <c r="V1" s="69">
        <v>34</v>
      </c>
      <c r="W1" s="69">
        <v>34</v>
      </c>
      <c r="X1" s="69">
        <v>34</v>
      </c>
      <c r="Y1" s="69">
        <v>34</v>
      </c>
      <c r="Z1" s="69">
        <v>34</v>
      </c>
      <c r="AA1" s="69">
        <v>34</v>
      </c>
      <c r="AB1" s="69">
        <v>34</v>
      </c>
      <c r="AC1" s="69">
        <v>34</v>
      </c>
      <c r="AD1" s="69">
        <v>34</v>
      </c>
      <c r="AE1" s="69">
        <v>34</v>
      </c>
      <c r="AF1" s="69">
        <v>34</v>
      </c>
      <c r="AG1" s="69">
        <v>34</v>
      </c>
      <c r="AH1" s="69">
        <v>34</v>
      </c>
      <c r="AI1" s="69">
        <v>34</v>
      </c>
      <c r="AJ1" s="69">
        <v>34</v>
      </c>
      <c r="AK1" s="69">
        <v>34</v>
      </c>
      <c r="AL1" s="69">
        <v>34</v>
      </c>
      <c r="AM1" s="69">
        <v>34</v>
      </c>
      <c r="AN1" s="69">
        <v>34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4.2619047619047619</v>
      </c>
      <c r="F2" s="69">
        <v>4.4285714285714288</v>
      </c>
      <c r="G2" s="69">
        <v>2.1666666666666665</v>
      </c>
      <c r="H2" s="69">
        <v>2.3333333333333335</v>
      </c>
      <c r="I2" s="69">
        <v>2.5</v>
      </c>
      <c r="J2" s="69">
        <v>2.6666666666666665</v>
      </c>
      <c r="K2" s="69">
        <v>2.8333333333333335</v>
      </c>
      <c r="L2" s="69">
        <v>3</v>
      </c>
      <c r="M2" s="69">
        <v>3.1666666666666665</v>
      </c>
      <c r="N2" s="69">
        <v>3.3333333333333335</v>
      </c>
      <c r="O2" s="69">
        <v>3.5</v>
      </c>
      <c r="P2" s="69">
        <v>3.6666666666666665</v>
      </c>
      <c r="Q2" s="69">
        <v>3.8333333333333335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1.8333333333333333</v>
      </c>
      <c r="F3" s="69">
        <v>2</v>
      </c>
      <c r="G3" s="69">
        <v>2.1666666666666665</v>
      </c>
      <c r="H3" s="69">
        <v>2.3333333333333335</v>
      </c>
      <c r="I3" s="69">
        <v>2.5</v>
      </c>
      <c r="J3" s="69">
        <v>2.6666666666666665</v>
      </c>
      <c r="K3" s="69">
        <v>2.8333333333333335</v>
      </c>
      <c r="L3" s="69">
        <v>3</v>
      </c>
      <c r="M3" s="69">
        <v>3.1666666666666665</v>
      </c>
      <c r="N3" s="69">
        <v>3.3333333333333335</v>
      </c>
      <c r="O3" s="69">
        <v>3.5</v>
      </c>
      <c r="P3" s="69">
        <v>3.6666666666666665</v>
      </c>
      <c r="Q3" s="69">
        <v>3.8333333333333335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33.261904761904759</v>
      </c>
      <c r="F4" s="69">
        <v>35.428571428571431</v>
      </c>
      <c r="G4" s="69">
        <v>36.166666666666664</v>
      </c>
      <c r="H4" s="69">
        <v>36.333333333333336</v>
      </c>
      <c r="I4" s="69">
        <v>36.5</v>
      </c>
      <c r="J4" s="69">
        <v>36.666666666666664</v>
      </c>
      <c r="K4" s="69">
        <v>36.833333333333336</v>
      </c>
      <c r="L4" s="69">
        <v>37</v>
      </c>
      <c r="M4" s="69">
        <v>37.166666666666664</v>
      </c>
      <c r="N4" s="69">
        <v>37.333333333333336</v>
      </c>
      <c r="O4" s="69">
        <v>37.5</v>
      </c>
      <c r="P4" s="69">
        <v>37.666666666666664</v>
      </c>
      <c r="Q4" s="69">
        <v>37.833333333333336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36</v>
      </c>
      <c r="F6" s="66">
        <v>39</v>
      </c>
      <c r="G6" s="66">
        <v>42</v>
      </c>
      <c r="H6" s="66">
        <v>42</v>
      </c>
      <c r="I6" s="66">
        <v>42</v>
      </c>
      <c r="J6" s="66">
        <v>42</v>
      </c>
      <c r="K6" s="66">
        <v>42</v>
      </c>
      <c r="L6" s="66">
        <v>42</v>
      </c>
      <c r="M6" s="66">
        <v>42</v>
      </c>
      <c r="N6" s="66">
        <v>42</v>
      </c>
      <c r="O6" s="66">
        <v>42</v>
      </c>
      <c r="P6" s="66">
        <v>42</v>
      </c>
      <c r="Q6" s="66">
        <v>42</v>
      </c>
      <c r="R6" s="66">
        <v>42</v>
      </c>
      <c r="S6" s="66">
        <v>42</v>
      </c>
      <c r="T6" s="66">
        <v>42</v>
      </c>
      <c r="U6" s="66">
        <v>42</v>
      </c>
      <c r="V6" s="66">
        <v>42</v>
      </c>
      <c r="W6" s="66">
        <v>42</v>
      </c>
      <c r="X6" s="66">
        <v>42</v>
      </c>
      <c r="Y6" s="66">
        <v>42</v>
      </c>
      <c r="Z6" s="66">
        <v>42</v>
      </c>
      <c r="AA6" s="66">
        <v>42</v>
      </c>
      <c r="AB6" s="66">
        <v>42</v>
      </c>
      <c r="AC6" s="66">
        <v>42</v>
      </c>
      <c r="AD6" s="66">
        <v>42</v>
      </c>
      <c r="AE6" s="66">
        <v>42</v>
      </c>
      <c r="AF6" s="66">
        <v>42</v>
      </c>
      <c r="AG6" s="66">
        <v>42</v>
      </c>
      <c r="AH6" s="66">
        <v>42</v>
      </c>
      <c r="AI6" s="66">
        <v>42</v>
      </c>
      <c r="AJ6" s="66">
        <v>42</v>
      </c>
      <c r="AK6" s="66">
        <v>42</v>
      </c>
      <c r="AL6" s="66">
        <v>42</v>
      </c>
      <c r="AM6" s="66">
        <v>42</v>
      </c>
      <c r="AN6" s="66">
        <v>42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24.860000000000003</v>
      </c>
      <c r="F7" s="108">
        <v>26.580000000000002</v>
      </c>
      <c r="G7" s="108">
        <v>29.150000000000002</v>
      </c>
      <c r="H7" s="108">
        <v>29.150000000000002</v>
      </c>
      <c r="I7" s="108">
        <v>29.150000000000002</v>
      </c>
      <c r="J7" s="108">
        <v>29.150000000000002</v>
      </c>
      <c r="K7" s="108">
        <v>29.150000000000002</v>
      </c>
      <c r="L7" s="108">
        <v>29.150000000000002</v>
      </c>
      <c r="M7" s="108">
        <v>29.150000000000002</v>
      </c>
      <c r="N7" s="108">
        <v>29.150000000000002</v>
      </c>
      <c r="O7" s="108">
        <v>29.150000000000002</v>
      </c>
      <c r="P7" s="108">
        <v>29.150000000000002</v>
      </c>
      <c r="Q7" s="108">
        <v>29.150000000000002</v>
      </c>
      <c r="R7" s="108">
        <v>29.150000000000002</v>
      </c>
      <c r="S7" s="108">
        <v>29.150000000000002</v>
      </c>
      <c r="T7" s="108">
        <v>29.150000000000002</v>
      </c>
      <c r="U7" s="108">
        <v>29.150000000000002</v>
      </c>
      <c r="V7" s="108">
        <v>29.150000000000002</v>
      </c>
      <c r="W7" s="108">
        <v>29.150000000000002</v>
      </c>
      <c r="X7" s="108">
        <v>29.150000000000002</v>
      </c>
      <c r="Y7" s="108">
        <v>29.150000000000002</v>
      </c>
      <c r="Z7" s="108">
        <v>29.150000000000002</v>
      </c>
      <c r="AA7" s="108">
        <v>29.150000000000002</v>
      </c>
      <c r="AB7" s="108">
        <v>29.150000000000002</v>
      </c>
      <c r="AC7" s="108">
        <v>29.150000000000002</v>
      </c>
      <c r="AD7" s="108">
        <v>29.150000000000002</v>
      </c>
      <c r="AE7" s="108">
        <v>29.150000000000002</v>
      </c>
      <c r="AF7" s="108">
        <v>29.150000000000002</v>
      </c>
      <c r="AG7" s="108">
        <v>29.150000000000002</v>
      </c>
      <c r="AH7" s="108">
        <v>29.150000000000002</v>
      </c>
      <c r="AI7" s="108">
        <v>29.150000000000002</v>
      </c>
      <c r="AJ7" s="108">
        <v>29.150000000000002</v>
      </c>
      <c r="AK7" s="108">
        <v>29.150000000000002</v>
      </c>
      <c r="AL7" s="108">
        <v>29.150000000000002</v>
      </c>
      <c r="AM7" s="108">
        <v>29.150000000000002</v>
      </c>
      <c r="AN7" s="108">
        <v>29.150000000000002</v>
      </c>
    </row>
    <row r="8" spans="1:40" hidden="1" outlineLevel="1" x14ac:dyDescent="0.25">
      <c r="B8" s="39" t="str">
        <v>Secondary Direct Staff</v>
      </c>
      <c r="C8" s="3"/>
      <c r="D8" s="3"/>
      <c r="E8" s="108">
        <v>4.1499999999999995</v>
      </c>
      <c r="F8" s="108">
        <v>4.43</v>
      </c>
      <c r="G8" s="108">
        <v>4.8599999999999994</v>
      </c>
      <c r="H8" s="108">
        <v>4.8599999999999994</v>
      </c>
      <c r="I8" s="108">
        <v>4.8599999999999994</v>
      </c>
      <c r="J8" s="108">
        <v>4.8599999999999994</v>
      </c>
      <c r="K8" s="108">
        <v>4.8599999999999994</v>
      </c>
      <c r="L8" s="108">
        <v>4.8599999999999994</v>
      </c>
      <c r="M8" s="108">
        <v>4.8599999999999994</v>
      </c>
      <c r="N8" s="108">
        <v>4.8599999999999994</v>
      </c>
      <c r="O8" s="108">
        <v>4.8599999999999994</v>
      </c>
      <c r="P8" s="108">
        <v>4.8599999999999994</v>
      </c>
      <c r="Q8" s="108">
        <v>4.8599999999999994</v>
      </c>
      <c r="R8" s="108">
        <v>4.8599999999999994</v>
      </c>
      <c r="S8" s="108">
        <v>4.8599999999999994</v>
      </c>
      <c r="T8" s="108">
        <v>4.8599999999999994</v>
      </c>
      <c r="U8" s="108">
        <v>4.8599999999999994</v>
      </c>
      <c r="V8" s="108">
        <v>4.8599999999999994</v>
      </c>
      <c r="W8" s="108">
        <v>4.8599999999999994</v>
      </c>
      <c r="X8" s="108">
        <v>4.8599999999999994</v>
      </c>
      <c r="Y8" s="108">
        <v>4.8599999999999994</v>
      </c>
      <c r="Z8" s="108">
        <v>4.8599999999999994</v>
      </c>
      <c r="AA8" s="108">
        <v>4.8599999999999994</v>
      </c>
      <c r="AB8" s="108">
        <v>4.8599999999999994</v>
      </c>
      <c r="AC8" s="108">
        <v>4.8599999999999994</v>
      </c>
      <c r="AD8" s="108">
        <v>4.8599999999999994</v>
      </c>
      <c r="AE8" s="108">
        <v>4.8599999999999994</v>
      </c>
      <c r="AF8" s="108">
        <v>4.8599999999999994</v>
      </c>
      <c r="AG8" s="108">
        <v>4.8599999999999994</v>
      </c>
      <c r="AH8" s="108">
        <v>4.8599999999999994</v>
      </c>
      <c r="AI8" s="108">
        <v>4.8599999999999994</v>
      </c>
      <c r="AJ8" s="108">
        <v>4.8599999999999994</v>
      </c>
      <c r="AK8" s="108">
        <v>4.8599999999999994</v>
      </c>
      <c r="AL8" s="108">
        <v>4.8599999999999994</v>
      </c>
      <c r="AM8" s="108">
        <v>4.8599999999999994</v>
      </c>
      <c r="AN8" s="108">
        <v>4.8599999999999994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0.33</v>
      </c>
      <c r="F12" s="108">
        <v>0.35000000000000003</v>
      </c>
      <c r="G12" s="108">
        <v>0.17</v>
      </c>
      <c r="H12" s="108">
        <v>0.18000000000000002</v>
      </c>
      <c r="I12" s="108">
        <v>0.2</v>
      </c>
      <c r="J12" s="108">
        <v>0.21000000000000002</v>
      </c>
      <c r="K12" s="108">
        <v>0.22</v>
      </c>
      <c r="L12" s="108">
        <v>0.24000000000000002</v>
      </c>
      <c r="M12" s="108">
        <v>0.25</v>
      </c>
      <c r="N12" s="108">
        <v>0.26</v>
      </c>
      <c r="O12" s="108">
        <v>0.27</v>
      </c>
      <c r="P12" s="108">
        <v>0.29000000000000004</v>
      </c>
      <c r="Q12" s="108">
        <v>0.3</v>
      </c>
      <c r="R12" s="108">
        <v>0.31</v>
      </c>
      <c r="S12" s="108">
        <v>0.31</v>
      </c>
      <c r="T12" s="108">
        <v>0.31</v>
      </c>
      <c r="U12" s="108">
        <v>0.31</v>
      </c>
      <c r="V12" s="108">
        <v>0.31</v>
      </c>
      <c r="W12" s="108">
        <v>0.31</v>
      </c>
      <c r="X12" s="108">
        <v>0.31</v>
      </c>
      <c r="Y12" s="108">
        <v>0.31</v>
      </c>
      <c r="Z12" s="108">
        <v>0.31</v>
      </c>
      <c r="AA12" s="108">
        <v>0.31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0.59</v>
      </c>
      <c r="F13" s="108">
        <v>0.62</v>
      </c>
      <c r="G13" s="108">
        <v>0.41000000000000003</v>
      </c>
      <c r="H13" s="108">
        <v>0.43</v>
      </c>
      <c r="I13" s="108">
        <v>0.44</v>
      </c>
      <c r="J13" s="108">
        <v>0.46</v>
      </c>
      <c r="K13" s="108">
        <v>0.48</v>
      </c>
      <c r="L13" s="108">
        <v>0.49</v>
      </c>
      <c r="M13" s="108">
        <v>0.51</v>
      </c>
      <c r="N13" s="108">
        <v>0.53</v>
      </c>
      <c r="O13" s="108">
        <v>0.54</v>
      </c>
      <c r="P13" s="108">
        <v>0.56000000000000005</v>
      </c>
      <c r="Q13" s="108">
        <v>0.57999999999999996</v>
      </c>
      <c r="R13" s="108">
        <v>0.59</v>
      </c>
      <c r="S13" s="108">
        <v>0.59</v>
      </c>
      <c r="T13" s="108">
        <v>0.59</v>
      </c>
      <c r="U13" s="108">
        <v>0.59</v>
      </c>
      <c r="V13" s="108">
        <v>0.59</v>
      </c>
      <c r="W13" s="108">
        <v>0.59</v>
      </c>
      <c r="X13" s="108">
        <v>0.59</v>
      </c>
      <c r="Y13" s="108">
        <v>0.59</v>
      </c>
      <c r="Z13" s="108">
        <v>0.59</v>
      </c>
      <c r="AA13" s="108">
        <v>0.59</v>
      </c>
      <c r="AB13" s="108">
        <v>0.59</v>
      </c>
      <c r="AC13" s="108">
        <v>0.59</v>
      </c>
      <c r="AD13" s="108">
        <v>0.59</v>
      </c>
      <c r="AE13" s="108">
        <v>0.59</v>
      </c>
      <c r="AF13" s="108">
        <v>0.59</v>
      </c>
      <c r="AG13" s="108">
        <v>0.59</v>
      </c>
      <c r="AH13" s="108">
        <v>0.59</v>
      </c>
      <c r="AI13" s="108">
        <v>0.59</v>
      </c>
      <c r="AJ13" s="108">
        <v>0.59</v>
      </c>
      <c r="AK13" s="108">
        <v>0.59</v>
      </c>
      <c r="AL13" s="108">
        <v>0.59</v>
      </c>
      <c r="AM13" s="108">
        <v>0.59</v>
      </c>
      <c r="AN13" s="108">
        <v>0.59</v>
      </c>
    </row>
    <row r="14" spans="1:40" hidden="1" outlineLevel="1" x14ac:dyDescent="0.25">
      <c r="B14" s="39" t="str">
        <v>Recruiter</v>
      </c>
      <c r="C14" s="3"/>
      <c r="D14" s="3"/>
      <c r="E14" s="108">
        <v>0.38</v>
      </c>
      <c r="F14" s="108">
        <v>0.4</v>
      </c>
      <c r="G14" s="108">
        <v>0.3</v>
      </c>
      <c r="H14" s="108">
        <v>0.31</v>
      </c>
      <c r="I14" s="108">
        <v>0.32</v>
      </c>
      <c r="J14" s="108">
        <v>0.33</v>
      </c>
      <c r="K14" s="108">
        <v>0.33</v>
      </c>
      <c r="L14" s="108">
        <v>0.34</v>
      </c>
      <c r="M14" s="108">
        <v>0.35000000000000003</v>
      </c>
      <c r="N14" s="108">
        <v>0.36</v>
      </c>
      <c r="O14" s="108">
        <v>0.37</v>
      </c>
      <c r="P14" s="108">
        <v>0.38</v>
      </c>
      <c r="Q14" s="108">
        <v>0.38</v>
      </c>
      <c r="R14" s="108">
        <v>0.39</v>
      </c>
      <c r="S14" s="108">
        <v>0.39</v>
      </c>
      <c r="T14" s="108">
        <v>0.39</v>
      </c>
      <c r="U14" s="108">
        <v>0.39</v>
      </c>
      <c r="V14" s="108">
        <v>0.39</v>
      </c>
      <c r="W14" s="108">
        <v>0.39</v>
      </c>
      <c r="X14" s="108">
        <v>0.39</v>
      </c>
      <c r="Y14" s="108">
        <v>0.39</v>
      </c>
      <c r="Z14" s="108">
        <v>0.39</v>
      </c>
      <c r="AA14" s="108">
        <v>0.39</v>
      </c>
      <c r="AB14" s="108">
        <v>0.39</v>
      </c>
      <c r="AC14" s="108">
        <v>0.39</v>
      </c>
      <c r="AD14" s="108">
        <v>0.39</v>
      </c>
      <c r="AE14" s="108">
        <v>0.39</v>
      </c>
      <c r="AF14" s="108">
        <v>0.39</v>
      </c>
      <c r="AG14" s="108">
        <v>0.39</v>
      </c>
      <c r="AH14" s="108">
        <v>0.39</v>
      </c>
      <c r="AI14" s="108">
        <v>0.39</v>
      </c>
      <c r="AJ14" s="108">
        <v>0.39</v>
      </c>
      <c r="AK14" s="108">
        <v>0.39</v>
      </c>
      <c r="AL14" s="108">
        <v>0.39</v>
      </c>
      <c r="AM14" s="108">
        <v>0.39</v>
      </c>
      <c r="AN14" s="108">
        <v>0.39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0.12</v>
      </c>
      <c r="F15" s="108">
        <v>0.13</v>
      </c>
      <c r="G15" s="108">
        <v>0.14000000000000001</v>
      </c>
      <c r="H15" s="108">
        <v>0.14000000000000001</v>
      </c>
      <c r="I15" s="108">
        <v>0.14000000000000001</v>
      </c>
      <c r="J15" s="108">
        <v>0.14000000000000001</v>
      </c>
      <c r="K15" s="108">
        <v>0.14000000000000001</v>
      </c>
      <c r="L15" s="108">
        <v>0.14000000000000001</v>
      </c>
      <c r="M15" s="108">
        <v>0.14000000000000001</v>
      </c>
      <c r="N15" s="108">
        <v>0.14000000000000001</v>
      </c>
      <c r="O15" s="108">
        <v>0.14000000000000001</v>
      </c>
      <c r="P15" s="108">
        <v>0.14000000000000001</v>
      </c>
      <c r="Q15" s="108">
        <v>0.14000000000000001</v>
      </c>
      <c r="R15" s="108">
        <v>0.14000000000000001</v>
      </c>
      <c r="S15" s="108">
        <v>0.14000000000000001</v>
      </c>
      <c r="T15" s="108">
        <v>0.14000000000000001</v>
      </c>
      <c r="U15" s="108">
        <v>0.14000000000000001</v>
      </c>
      <c r="V15" s="108">
        <v>0.14000000000000001</v>
      </c>
      <c r="W15" s="108">
        <v>0.14000000000000001</v>
      </c>
      <c r="X15" s="108">
        <v>0.14000000000000001</v>
      </c>
      <c r="Y15" s="108">
        <v>0.14000000000000001</v>
      </c>
      <c r="Z15" s="108">
        <v>0.14000000000000001</v>
      </c>
      <c r="AA15" s="108">
        <v>0.14000000000000001</v>
      </c>
      <c r="AB15" s="108">
        <v>0.14000000000000001</v>
      </c>
      <c r="AC15" s="108">
        <v>0.14000000000000001</v>
      </c>
      <c r="AD15" s="108">
        <v>0.14000000000000001</v>
      </c>
      <c r="AE15" s="108">
        <v>0.14000000000000001</v>
      </c>
      <c r="AF15" s="108">
        <v>0.14000000000000001</v>
      </c>
      <c r="AG15" s="108">
        <v>0.14000000000000001</v>
      </c>
      <c r="AH15" s="108">
        <v>0.14000000000000001</v>
      </c>
      <c r="AI15" s="108">
        <v>0.14000000000000001</v>
      </c>
      <c r="AJ15" s="108">
        <v>0.14000000000000001</v>
      </c>
      <c r="AK15" s="108">
        <v>0.14000000000000001</v>
      </c>
      <c r="AL15" s="108">
        <v>0.14000000000000001</v>
      </c>
      <c r="AM15" s="108">
        <v>0.14000000000000001</v>
      </c>
      <c r="AN15" s="108">
        <v>0.14000000000000001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0.12</v>
      </c>
      <c r="F16" s="108">
        <v>0.13</v>
      </c>
      <c r="G16" s="108">
        <v>0.14000000000000001</v>
      </c>
      <c r="H16" s="108">
        <v>0.14000000000000001</v>
      </c>
      <c r="I16" s="108">
        <v>0.14000000000000001</v>
      </c>
      <c r="J16" s="108">
        <v>0.14000000000000001</v>
      </c>
      <c r="K16" s="108">
        <v>0.14000000000000001</v>
      </c>
      <c r="L16" s="108">
        <v>0.14000000000000001</v>
      </c>
      <c r="M16" s="108">
        <v>0.14000000000000001</v>
      </c>
      <c r="N16" s="108">
        <v>0.14000000000000001</v>
      </c>
      <c r="O16" s="108">
        <v>0.14000000000000001</v>
      </c>
      <c r="P16" s="108">
        <v>0.14000000000000001</v>
      </c>
      <c r="Q16" s="108">
        <v>0.14000000000000001</v>
      </c>
      <c r="R16" s="108">
        <v>0.14000000000000001</v>
      </c>
      <c r="S16" s="108">
        <v>0.14000000000000001</v>
      </c>
      <c r="T16" s="108">
        <v>0.14000000000000001</v>
      </c>
      <c r="U16" s="108">
        <v>0.14000000000000001</v>
      </c>
      <c r="V16" s="108">
        <v>0.14000000000000001</v>
      </c>
      <c r="W16" s="108">
        <v>0.14000000000000001</v>
      </c>
      <c r="X16" s="108">
        <v>0.14000000000000001</v>
      </c>
      <c r="Y16" s="108">
        <v>0.14000000000000001</v>
      </c>
      <c r="Z16" s="108">
        <v>0.14000000000000001</v>
      </c>
      <c r="AA16" s="108">
        <v>0.14000000000000001</v>
      </c>
      <c r="AB16" s="108">
        <v>0.14000000000000001</v>
      </c>
      <c r="AC16" s="108">
        <v>0.14000000000000001</v>
      </c>
      <c r="AD16" s="108">
        <v>0.14000000000000001</v>
      </c>
      <c r="AE16" s="108">
        <v>0.14000000000000001</v>
      </c>
      <c r="AF16" s="108">
        <v>0.14000000000000001</v>
      </c>
      <c r="AG16" s="108">
        <v>0.14000000000000001</v>
      </c>
      <c r="AH16" s="108">
        <v>0.14000000000000001</v>
      </c>
      <c r="AI16" s="108">
        <v>0.14000000000000001</v>
      </c>
      <c r="AJ16" s="108">
        <v>0.14000000000000001</v>
      </c>
      <c r="AK16" s="108">
        <v>0.14000000000000001</v>
      </c>
      <c r="AL16" s="108">
        <v>0.14000000000000001</v>
      </c>
      <c r="AM16" s="108">
        <v>0.14000000000000001</v>
      </c>
      <c r="AN16" s="108">
        <v>0.14000000000000001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2.9</v>
      </c>
      <c r="F17" s="108">
        <v>3.1</v>
      </c>
      <c r="G17" s="108">
        <v>3.4</v>
      </c>
      <c r="H17" s="108">
        <v>3.4</v>
      </c>
      <c r="I17" s="108">
        <v>3.4</v>
      </c>
      <c r="J17" s="108">
        <v>3.4</v>
      </c>
      <c r="K17" s="108">
        <v>3.4</v>
      </c>
      <c r="L17" s="108">
        <v>3.4</v>
      </c>
      <c r="M17" s="108">
        <v>3.4</v>
      </c>
      <c r="N17" s="108">
        <v>3.4</v>
      </c>
      <c r="O17" s="108">
        <v>3.4</v>
      </c>
      <c r="P17" s="108">
        <v>3.4</v>
      </c>
      <c r="Q17" s="108">
        <v>3.4</v>
      </c>
      <c r="R17" s="108">
        <v>3.4</v>
      </c>
      <c r="S17" s="108">
        <v>3.4</v>
      </c>
      <c r="T17" s="108">
        <v>3.4</v>
      </c>
      <c r="U17" s="108">
        <v>3.4</v>
      </c>
      <c r="V17" s="108">
        <v>3.4</v>
      </c>
      <c r="W17" s="108">
        <v>3.4</v>
      </c>
      <c r="X17" s="108">
        <v>3.4</v>
      </c>
      <c r="Y17" s="108">
        <v>3.4</v>
      </c>
      <c r="Z17" s="108">
        <v>3.4</v>
      </c>
      <c r="AA17" s="108">
        <v>3.4</v>
      </c>
      <c r="AB17" s="108">
        <v>3.4</v>
      </c>
      <c r="AC17" s="108">
        <v>3.4</v>
      </c>
      <c r="AD17" s="108">
        <v>3.4</v>
      </c>
      <c r="AE17" s="108">
        <v>3.4</v>
      </c>
      <c r="AF17" s="108">
        <v>3.4</v>
      </c>
      <c r="AG17" s="108">
        <v>3.4</v>
      </c>
      <c r="AH17" s="108">
        <v>3.4</v>
      </c>
      <c r="AI17" s="108">
        <v>3.4</v>
      </c>
      <c r="AJ17" s="108">
        <v>3.4</v>
      </c>
      <c r="AK17" s="108">
        <v>3.4</v>
      </c>
      <c r="AL17" s="108">
        <v>3.4</v>
      </c>
      <c r="AM17" s="108">
        <v>3.4</v>
      </c>
      <c r="AN17" s="108">
        <v>3.4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29</v>
      </c>
      <c r="F21" s="120">
        <v>31</v>
      </c>
      <c r="G21" s="120">
        <v>34</v>
      </c>
      <c r="H21" s="120">
        <v>34</v>
      </c>
      <c r="I21" s="120">
        <v>34</v>
      </c>
      <c r="J21" s="120">
        <v>34</v>
      </c>
      <c r="K21" s="120">
        <v>34</v>
      </c>
      <c r="L21" s="120">
        <v>34</v>
      </c>
      <c r="M21" s="120">
        <v>34</v>
      </c>
      <c r="N21" s="120">
        <v>34</v>
      </c>
      <c r="O21" s="120">
        <v>34</v>
      </c>
      <c r="P21" s="120">
        <v>34</v>
      </c>
      <c r="Q21" s="120">
        <v>34</v>
      </c>
      <c r="R21" s="120">
        <v>34</v>
      </c>
      <c r="S21" s="120">
        <v>34</v>
      </c>
      <c r="T21" s="120">
        <v>34</v>
      </c>
      <c r="U21" s="120">
        <v>34</v>
      </c>
      <c r="V21" s="120">
        <v>34</v>
      </c>
      <c r="W21" s="120">
        <v>34</v>
      </c>
      <c r="X21" s="120">
        <v>34</v>
      </c>
      <c r="Y21" s="120">
        <v>34</v>
      </c>
      <c r="Z21" s="120">
        <v>34</v>
      </c>
      <c r="AA21" s="120">
        <v>34</v>
      </c>
      <c r="AB21" s="120">
        <v>34</v>
      </c>
      <c r="AC21" s="120">
        <v>34</v>
      </c>
      <c r="AD21" s="120">
        <v>34</v>
      </c>
      <c r="AE21" s="120">
        <v>34</v>
      </c>
      <c r="AF21" s="120">
        <v>34</v>
      </c>
      <c r="AG21" s="120">
        <v>34</v>
      </c>
      <c r="AH21" s="120">
        <v>34</v>
      </c>
      <c r="AI21" s="120">
        <v>34</v>
      </c>
      <c r="AJ21" s="120">
        <v>34</v>
      </c>
      <c r="AK21" s="120">
        <v>34</v>
      </c>
      <c r="AL21" s="120">
        <v>34</v>
      </c>
      <c r="AM21" s="120">
        <v>34</v>
      </c>
      <c r="AN21" s="120">
        <v>34</v>
      </c>
    </row>
    <row r="22" spans="2:50" x14ac:dyDescent="0.25">
      <c r="B22" s="2" t="s">
        <v>464</v>
      </c>
      <c r="C22" s="3"/>
      <c r="D22" s="77">
        <f>MAX(_xlfn.ANCHORARRAY(E22))</f>
        <v>94.739054978770952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91.979665027932967</v>
      </c>
      <c r="F22" s="78">
        <v>91.979665027932967</v>
      </c>
      <c r="G22" s="78">
        <v>91.979665027932967</v>
      </c>
      <c r="H22" s="78">
        <v>91.979665027932967</v>
      </c>
      <c r="I22" s="78">
        <v>91.979665027932967</v>
      </c>
      <c r="J22" s="78">
        <v>91.979665027932967</v>
      </c>
      <c r="K22" s="78">
        <v>91.979665027932967</v>
      </c>
      <c r="L22" s="78">
        <v>91.979665027932967</v>
      </c>
      <c r="M22" s="78">
        <v>91.979665027932967</v>
      </c>
      <c r="N22" s="78">
        <v>91.979665027932967</v>
      </c>
      <c r="O22" s="78">
        <v>91.979665027932967</v>
      </c>
      <c r="P22" s="78">
        <v>91.979665027932967</v>
      </c>
      <c r="Q22" s="78">
        <v>94.739054978770952</v>
      </c>
      <c r="R22" s="78">
        <v>94.739054978770952</v>
      </c>
      <c r="S22" s="78">
        <v>94.739054978770952</v>
      </c>
      <c r="T22" s="78">
        <v>94.739054978770952</v>
      </c>
      <c r="U22" s="78">
        <v>94.739054978770952</v>
      </c>
      <c r="V22" s="78">
        <v>94.739054978770952</v>
      </c>
      <c r="W22" s="78">
        <v>94.739054978770952</v>
      </c>
      <c r="X22" s="78">
        <v>94.739054978770952</v>
      </c>
      <c r="Y22" s="78">
        <v>94.739054978770952</v>
      </c>
      <c r="Z22" s="78">
        <v>94.739054978770952</v>
      </c>
      <c r="AA22" s="78">
        <v>94.739054978770952</v>
      </c>
      <c r="AB22" s="78">
        <v>94.739054978770952</v>
      </c>
      <c r="AC22" s="78">
        <v>94.739054978770952</v>
      </c>
      <c r="AD22" s="78">
        <v>94.739054978770952</v>
      </c>
      <c r="AE22" s="78">
        <v>94.739054978770952</v>
      </c>
      <c r="AF22" s="78">
        <v>94.739054978770952</v>
      </c>
      <c r="AG22" s="78">
        <v>94.739054978770952</v>
      </c>
      <c r="AH22" s="78">
        <v>94.739054978770952</v>
      </c>
      <c r="AI22" s="78">
        <v>94.739054978770952</v>
      </c>
      <c r="AJ22" s="78">
        <v>94.739054978770952</v>
      </c>
      <c r="AK22" s="78">
        <v>94.739054978770952</v>
      </c>
      <c r="AL22" s="78">
        <v>94.739054978770952</v>
      </c>
      <c r="AM22" s="78">
        <v>94.739054978770952</v>
      </c>
      <c r="AN22" s="78">
        <v>94.739054978770952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3045.3866666666663</v>
      </c>
      <c r="F23" s="52">
        <v>3255.413333333333</v>
      </c>
      <c r="G23" s="52">
        <v>3570.4533333333329</v>
      </c>
      <c r="H23" s="52">
        <v>3570.4533333333329</v>
      </c>
      <c r="I23" s="52">
        <v>3570.4533333333329</v>
      </c>
      <c r="J23" s="52">
        <v>3570.4533333333329</v>
      </c>
      <c r="K23" s="52">
        <v>3570.4533333333329</v>
      </c>
      <c r="L23" s="52">
        <v>3570.4533333333329</v>
      </c>
      <c r="M23" s="52">
        <v>3570.4533333333329</v>
      </c>
      <c r="N23" s="52">
        <v>3570.4533333333329</v>
      </c>
      <c r="O23" s="52">
        <v>3570.4533333333329</v>
      </c>
      <c r="P23" s="52">
        <v>3570.4533333333329</v>
      </c>
      <c r="Q23" s="52">
        <v>3570.4533333333329</v>
      </c>
      <c r="R23" s="52">
        <v>3570.4533333333329</v>
      </c>
      <c r="S23" s="52">
        <v>3570.4533333333329</v>
      </c>
      <c r="T23" s="52">
        <v>3570.4533333333329</v>
      </c>
      <c r="U23" s="52">
        <v>3570.4533333333329</v>
      </c>
      <c r="V23" s="52">
        <v>3570.4533333333329</v>
      </c>
      <c r="W23" s="52">
        <v>3570.4533333333329</v>
      </c>
      <c r="X23" s="52">
        <v>3570.4533333333329</v>
      </c>
      <c r="Y23" s="52">
        <v>3570.4533333333329</v>
      </c>
      <c r="Z23" s="52">
        <v>3570.4533333333329</v>
      </c>
      <c r="AA23" s="52">
        <v>3570.4533333333329</v>
      </c>
      <c r="AB23" s="52">
        <v>3570.4533333333329</v>
      </c>
      <c r="AC23" s="52">
        <v>3570.4533333333329</v>
      </c>
      <c r="AD23" s="52">
        <v>3570.4533333333329</v>
      </c>
      <c r="AE23" s="52">
        <v>3570.4533333333329</v>
      </c>
      <c r="AF23" s="52">
        <v>3570.4533333333329</v>
      </c>
      <c r="AG23" s="52">
        <v>3570.4533333333329</v>
      </c>
      <c r="AH23" s="52">
        <v>3570.4533333333329</v>
      </c>
      <c r="AI23" s="52">
        <v>3570.4533333333329</v>
      </c>
      <c r="AJ23" s="52">
        <v>3570.4533333333329</v>
      </c>
      <c r="AK23" s="52">
        <v>3570.4533333333329</v>
      </c>
      <c r="AL23" s="52">
        <v>3570.4533333333329</v>
      </c>
      <c r="AM23" s="52">
        <v>3570.4533333333329</v>
      </c>
      <c r="AN23" s="52">
        <v>3570.4533333333329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208319.05105439998</v>
      </c>
      <c r="F26" s="12">
        <v>222685.88216159996</v>
      </c>
      <c r="G26" s="12">
        <v>244236.12882239997</v>
      </c>
      <c r="H26" s="12">
        <v>244236.12882239997</v>
      </c>
      <c r="I26" s="12">
        <v>244236.12882239997</v>
      </c>
      <c r="J26" s="12">
        <v>244236.12882239997</v>
      </c>
      <c r="K26" s="12">
        <v>244236.12882239997</v>
      </c>
      <c r="L26" s="12">
        <v>244236.12882239997</v>
      </c>
      <c r="M26" s="12">
        <v>244236.12882239997</v>
      </c>
      <c r="N26" s="12">
        <v>244236.12882239997</v>
      </c>
      <c r="O26" s="12">
        <v>244236.12882239997</v>
      </c>
      <c r="P26" s="12">
        <v>244236.12882239997</v>
      </c>
      <c r="Q26" s="12">
        <v>251563.21268707199</v>
      </c>
      <c r="R26" s="12">
        <v>251563.21268707199</v>
      </c>
      <c r="S26" s="12">
        <v>251563.21268707199</v>
      </c>
      <c r="T26" s="12">
        <v>251563.21268707199</v>
      </c>
      <c r="U26" s="12">
        <v>251563.21268707199</v>
      </c>
      <c r="V26" s="12">
        <v>251563.21268707199</v>
      </c>
      <c r="W26" s="12">
        <v>251563.21268707199</v>
      </c>
      <c r="X26" s="12">
        <v>251563.21268707199</v>
      </c>
      <c r="Y26" s="12">
        <v>251563.21268707199</v>
      </c>
      <c r="Z26" s="12">
        <v>251563.21268707199</v>
      </c>
      <c r="AA26" s="12">
        <v>251563.21268707199</v>
      </c>
      <c r="AB26" s="12">
        <v>251563.21268707199</v>
      </c>
      <c r="AC26" s="12">
        <v>251563.21268707199</v>
      </c>
      <c r="AD26" s="12">
        <v>251563.21268707199</v>
      </c>
      <c r="AE26" s="12">
        <v>251563.21268707199</v>
      </c>
      <c r="AF26" s="12">
        <v>251563.21268707199</v>
      </c>
      <c r="AG26" s="12">
        <v>251563.21268707199</v>
      </c>
      <c r="AH26" s="12">
        <v>251563.21268707199</v>
      </c>
      <c r="AI26" s="12">
        <v>251563.21268707199</v>
      </c>
      <c r="AJ26" s="12">
        <v>251563.21268707199</v>
      </c>
      <c r="AK26" s="12">
        <v>251563.21268707199</v>
      </c>
      <c r="AL26" s="12">
        <v>251563.21268707199</v>
      </c>
      <c r="AM26" s="12">
        <v>251563.21268707199</v>
      </c>
      <c r="AN26" s="12">
        <v>251563.21268707199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39940.988533333322</v>
      </c>
      <c r="F27" s="12">
        <v>42695.539466666662</v>
      </c>
      <c r="G27" s="12">
        <v>46827.36586666666</v>
      </c>
      <c r="H27" s="12">
        <v>46827.36586666666</v>
      </c>
      <c r="I27" s="12">
        <v>46827.36586666666</v>
      </c>
      <c r="J27" s="12">
        <v>46827.36586666666</v>
      </c>
      <c r="K27" s="12">
        <v>46827.36586666666</v>
      </c>
      <c r="L27" s="12">
        <v>46827.36586666666</v>
      </c>
      <c r="M27" s="12">
        <v>46827.36586666666</v>
      </c>
      <c r="N27" s="12">
        <v>46827.36586666666</v>
      </c>
      <c r="O27" s="12">
        <v>46827.36586666666</v>
      </c>
      <c r="P27" s="12">
        <v>46827.36586666666</v>
      </c>
      <c r="Q27" s="12">
        <v>48232.186842666662</v>
      </c>
      <c r="R27" s="12">
        <v>48232.186842666662</v>
      </c>
      <c r="S27" s="12">
        <v>48232.186842666662</v>
      </c>
      <c r="T27" s="12">
        <v>48232.186842666662</v>
      </c>
      <c r="U27" s="12">
        <v>48232.186842666662</v>
      </c>
      <c r="V27" s="12">
        <v>48232.186842666662</v>
      </c>
      <c r="W27" s="12">
        <v>48232.186842666662</v>
      </c>
      <c r="X27" s="12">
        <v>48232.186842666662</v>
      </c>
      <c r="Y27" s="12">
        <v>48232.186842666662</v>
      </c>
      <c r="Z27" s="12">
        <v>48232.186842666662</v>
      </c>
      <c r="AA27" s="12">
        <v>48232.186842666662</v>
      </c>
      <c r="AB27" s="12">
        <v>48232.186842666662</v>
      </c>
      <c r="AC27" s="12">
        <v>48232.186842666662</v>
      </c>
      <c r="AD27" s="12">
        <v>48232.186842666662</v>
      </c>
      <c r="AE27" s="12">
        <v>48232.186842666662</v>
      </c>
      <c r="AF27" s="12">
        <v>48232.186842666662</v>
      </c>
      <c r="AG27" s="12">
        <v>48232.186842666662</v>
      </c>
      <c r="AH27" s="12">
        <v>48232.186842666662</v>
      </c>
      <c r="AI27" s="12">
        <v>48232.186842666662</v>
      </c>
      <c r="AJ27" s="12">
        <v>48232.186842666662</v>
      </c>
      <c r="AK27" s="12">
        <v>48232.186842666662</v>
      </c>
      <c r="AL27" s="12">
        <v>48232.186842666662</v>
      </c>
      <c r="AM27" s="12">
        <v>48232.186842666662</v>
      </c>
      <c r="AN27" s="12">
        <v>48232.186842666662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43982.612107200002</v>
      </c>
      <c r="F28" s="12">
        <v>47015.8957008</v>
      </c>
      <c r="G28" s="12">
        <v>51565.8210912</v>
      </c>
      <c r="H28" s="12">
        <v>51565.8210912</v>
      </c>
      <c r="I28" s="12">
        <v>51565.8210912</v>
      </c>
      <c r="J28" s="12">
        <v>51565.8210912</v>
      </c>
      <c r="K28" s="12">
        <v>51565.8210912</v>
      </c>
      <c r="L28" s="12">
        <v>51565.8210912</v>
      </c>
      <c r="M28" s="12">
        <v>51565.8210912</v>
      </c>
      <c r="N28" s="12">
        <v>51565.8210912</v>
      </c>
      <c r="O28" s="12">
        <v>51565.8210912</v>
      </c>
      <c r="P28" s="12">
        <v>51565.8210912</v>
      </c>
      <c r="Q28" s="12">
        <v>53112.795723936004</v>
      </c>
      <c r="R28" s="12">
        <v>53112.795723936004</v>
      </c>
      <c r="S28" s="12">
        <v>53112.795723936004</v>
      </c>
      <c r="T28" s="12">
        <v>53112.795723936004</v>
      </c>
      <c r="U28" s="12">
        <v>53112.795723936004</v>
      </c>
      <c r="V28" s="12">
        <v>53112.795723936004</v>
      </c>
      <c r="W28" s="12">
        <v>53112.795723936004</v>
      </c>
      <c r="X28" s="12">
        <v>53112.795723936004</v>
      </c>
      <c r="Y28" s="12">
        <v>53112.795723936004</v>
      </c>
      <c r="Z28" s="12">
        <v>53112.795723936004</v>
      </c>
      <c r="AA28" s="12">
        <v>53112.795723936004</v>
      </c>
      <c r="AB28" s="12">
        <v>53112.795723936004</v>
      </c>
      <c r="AC28" s="12">
        <v>53112.795723936004</v>
      </c>
      <c r="AD28" s="12">
        <v>53112.795723936004</v>
      </c>
      <c r="AE28" s="12">
        <v>53112.795723936004</v>
      </c>
      <c r="AF28" s="12">
        <v>53112.795723936004</v>
      </c>
      <c r="AG28" s="12">
        <v>53112.795723936004</v>
      </c>
      <c r="AH28" s="12">
        <v>53112.795723936004</v>
      </c>
      <c r="AI28" s="12">
        <v>53112.795723936004</v>
      </c>
      <c r="AJ28" s="12">
        <v>53112.795723936004</v>
      </c>
      <c r="AK28" s="12">
        <v>53112.795723936004</v>
      </c>
      <c r="AL28" s="12">
        <v>53112.795723936004</v>
      </c>
      <c r="AM28" s="12">
        <v>53112.795723936004</v>
      </c>
      <c r="AN28" s="12">
        <v>53112.795723936004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2488.6308239999998</v>
      </c>
      <c r="F29" s="12">
        <v>2660.2605359999998</v>
      </c>
      <c r="G29" s="12">
        <v>2917.7051039999997</v>
      </c>
      <c r="H29" s="12">
        <v>2917.7051039999997</v>
      </c>
      <c r="I29" s="12">
        <v>2917.7051039999997</v>
      </c>
      <c r="J29" s="12">
        <v>2917.7051039999997</v>
      </c>
      <c r="K29" s="12">
        <v>2917.7051039999997</v>
      </c>
      <c r="L29" s="12">
        <v>2917.7051039999997</v>
      </c>
      <c r="M29" s="12">
        <v>2917.7051039999997</v>
      </c>
      <c r="N29" s="12">
        <v>2917.7051039999997</v>
      </c>
      <c r="O29" s="12">
        <v>2917.7051039999997</v>
      </c>
      <c r="P29" s="12">
        <v>2917.7051039999997</v>
      </c>
      <c r="Q29" s="12">
        <v>3005.2362571199997</v>
      </c>
      <c r="R29" s="12">
        <v>3005.2362571199997</v>
      </c>
      <c r="S29" s="12">
        <v>3005.2362571199997</v>
      </c>
      <c r="T29" s="12">
        <v>3005.2362571199997</v>
      </c>
      <c r="U29" s="12">
        <v>3005.2362571199997</v>
      </c>
      <c r="V29" s="12">
        <v>3005.2362571199997</v>
      </c>
      <c r="W29" s="12">
        <v>3005.2362571199997</v>
      </c>
      <c r="X29" s="12">
        <v>3005.2362571199997</v>
      </c>
      <c r="Y29" s="12">
        <v>3005.2362571199997</v>
      </c>
      <c r="Z29" s="12">
        <v>3005.2362571199997</v>
      </c>
      <c r="AA29" s="12">
        <v>3005.2362571199997</v>
      </c>
      <c r="AB29" s="12">
        <v>3005.2362571199997</v>
      </c>
      <c r="AC29" s="12">
        <v>3005.2362571199997</v>
      </c>
      <c r="AD29" s="12">
        <v>3005.2362571199997</v>
      </c>
      <c r="AE29" s="12">
        <v>3005.2362571199997</v>
      </c>
      <c r="AF29" s="12">
        <v>3005.2362571199997</v>
      </c>
      <c r="AG29" s="12">
        <v>3005.2362571199997</v>
      </c>
      <c r="AH29" s="12">
        <v>3005.2362571199997</v>
      </c>
      <c r="AI29" s="12">
        <v>3005.2362571199997</v>
      </c>
      <c r="AJ29" s="12">
        <v>3005.2362571199997</v>
      </c>
      <c r="AK29" s="12">
        <v>3005.2362571199997</v>
      </c>
      <c r="AL29" s="12">
        <v>3005.2362571199997</v>
      </c>
      <c r="AM29" s="12">
        <v>3005.2362571199997</v>
      </c>
      <c r="AN29" s="12">
        <v>3005.2362571199997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4481.0206079999989</v>
      </c>
      <c r="F30" s="12">
        <v>4790.0565120000001</v>
      </c>
      <c r="G30" s="12">
        <v>5253.6103679999997</v>
      </c>
      <c r="H30" s="12">
        <v>5253.6103679999997</v>
      </c>
      <c r="I30" s="12">
        <v>5253.6103679999997</v>
      </c>
      <c r="J30" s="12">
        <v>5253.6103679999997</v>
      </c>
      <c r="K30" s="12">
        <v>5253.6103679999997</v>
      </c>
      <c r="L30" s="12">
        <v>5253.6103679999997</v>
      </c>
      <c r="M30" s="12">
        <v>5253.6103679999997</v>
      </c>
      <c r="N30" s="12">
        <v>5253.6103679999997</v>
      </c>
      <c r="O30" s="12">
        <v>5253.6103679999997</v>
      </c>
      <c r="P30" s="12">
        <v>5253.6103679999997</v>
      </c>
      <c r="Q30" s="12">
        <v>5411.2186790399992</v>
      </c>
      <c r="R30" s="12">
        <v>5411.2186790399992</v>
      </c>
      <c r="S30" s="12">
        <v>5411.2186790399992</v>
      </c>
      <c r="T30" s="12">
        <v>5411.2186790399992</v>
      </c>
      <c r="U30" s="12">
        <v>5411.2186790399992</v>
      </c>
      <c r="V30" s="12">
        <v>5411.2186790399992</v>
      </c>
      <c r="W30" s="12">
        <v>5411.2186790399992</v>
      </c>
      <c r="X30" s="12">
        <v>5411.2186790399992</v>
      </c>
      <c r="Y30" s="12">
        <v>5411.2186790399992</v>
      </c>
      <c r="Z30" s="12">
        <v>5411.2186790399992</v>
      </c>
      <c r="AA30" s="12">
        <v>5411.2186790399992</v>
      </c>
      <c r="AB30" s="12">
        <v>5411.2186790399992</v>
      </c>
      <c r="AC30" s="12">
        <v>5411.2186790399992</v>
      </c>
      <c r="AD30" s="12">
        <v>5411.2186790399992</v>
      </c>
      <c r="AE30" s="12">
        <v>5411.2186790399992</v>
      </c>
      <c r="AF30" s="12">
        <v>5411.2186790399992</v>
      </c>
      <c r="AG30" s="12">
        <v>5411.2186790399992</v>
      </c>
      <c r="AH30" s="12">
        <v>5411.2186790399992</v>
      </c>
      <c r="AI30" s="12">
        <v>5411.2186790399992</v>
      </c>
      <c r="AJ30" s="12">
        <v>5411.2186790399992</v>
      </c>
      <c r="AK30" s="12">
        <v>5411.2186790399992</v>
      </c>
      <c r="AL30" s="12">
        <v>5411.2186790399992</v>
      </c>
      <c r="AM30" s="12">
        <v>5411.2186790399992</v>
      </c>
      <c r="AN30" s="12">
        <v>5411.2186790399992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23761.586333333333</v>
      </c>
      <c r="F33" s="12">
        <v>23761.586333333333</v>
      </c>
      <c r="G33" s="12">
        <v>23761.586333333333</v>
      </c>
      <c r="H33" s="12">
        <v>23761.586333333333</v>
      </c>
      <c r="I33" s="12">
        <v>23761.586333333333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-38756.866735231997</v>
      </c>
      <c r="F35" s="12">
        <v>-41233.106485247998</v>
      </c>
      <c r="G35" s="12">
        <v>-44947.466110271998</v>
      </c>
      <c r="H35" s="12">
        <v>-44947.466110271998</v>
      </c>
      <c r="I35" s="12">
        <v>-44947.466110271998</v>
      </c>
      <c r="J35" s="12">
        <v>-44947.466110271998</v>
      </c>
      <c r="K35" s="12">
        <v>-44947.466110271998</v>
      </c>
      <c r="L35" s="12">
        <v>-44947.466110271998</v>
      </c>
      <c r="M35" s="12">
        <v>-44947.466110271998</v>
      </c>
      <c r="N35" s="12">
        <v>-44947.466110271998</v>
      </c>
      <c r="O35" s="12">
        <v>-44947.466110271998</v>
      </c>
      <c r="P35" s="12">
        <v>-44947.466110271998</v>
      </c>
      <c r="Q35" s="12">
        <v>-46295.89009358015</v>
      </c>
      <c r="R35" s="12">
        <v>-46295.89009358015</v>
      </c>
      <c r="S35" s="12">
        <v>-46295.89009358015</v>
      </c>
      <c r="T35" s="12">
        <v>-46295.89009358015</v>
      </c>
      <c r="U35" s="12">
        <v>-46295.89009358015</v>
      </c>
      <c r="V35" s="12">
        <v>-46295.89009358015</v>
      </c>
      <c r="W35" s="12">
        <v>-46295.89009358015</v>
      </c>
      <c r="X35" s="12">
        <v>-46295.89009358015</v>
      </c>
      <c r="Y35" s="12">
        <v>-46295.89009358015</v>
      </c>
      <c r="Z35" s="12">
        <v>-46295.89009358015</v>
      </c>
      <c r="AA35" s="12">
        <v>-46295.89009358015</v>
      </c>
      <c r="AB35" s="12">
        <v>-46295.89009358015</v>
      </c>
      <c r="AC35" s="12">
        <v>-46295.89009358015</v>
      </c>
      <c r="AD35" s="12">
        <v>-46295.89009358015</v>
      </c>
      <c r="AE35" s="12">
        <v>-46295.89009358015</v>
      </c>
      <c r="AF35" s="12">
        <v>-46295.89009358015</v>
      </c>
      <c r="AG35" s="12">
        <v>-46295.89009358015</v>
      </c>
      <c r="AH35" s="12">
        <v>-46295.89009358015</v>
      </c>
      <c r="AI35" s="12">
        <v>-46295.89009358015</v>
      </c>
      <c r="AJ35" s="12">
        <v>-46295.89009358015</v>
      </c>
      <c r="AK35" s="12">
        <v>-46295.89009358015</v>
      </c>
      <c r="AL35" s="12">
        <v>-46295.89009358015</v>
      </c>
      <c r="AM35" s="12">
        <v>-46295.89009358015</v>
      </c>
      <c r="AN35" s="12">
        <v>-46295.89009358015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244276.03419170127</v>
      </c>
      <c r="F37" s="13">
        <v>259680.57475848528</v>
      </c>
      <c r="G37" s="13">
        <v>282787.38560866134</v>
      </c>
      <c r="H37" s="13">
        <v>282787.38560866134</v>
      </c>
      <c r="I37" s="13">
        <v>282787.38560866134</v>
      </c>
      <c r="J37" s="13">
        <v>282787.38560866134</v>
      </c>
      <c r="K37" s="13">
        <v>282787.38560866134</v>
      </c>
      <c r="L37" s="13">
        <v>282787.38560866134</v>
      </c>
      <c r="M37" s="13">
        <v>282787.38560866134</v>
      </c>
      <c r="N37" s="13">
        <v>282787.38560866134</v>
      </c>
      <c r="O37" s="13">
        <v>282787.38560866134</v>
      </c>
      <c r="P37" s="13">
        <v>282787.38560866134</v>
      </c>
      <c r="Q37" s="13">
        <v>291271.00717692112</v>
      </c>
      <c r="R37" s="13">
        <v>291271.00717692112</v>
      </c>
      <c r="S37" s="13">
        <v>291271.00717692112</v>
      </c>
      <c r="T37" s="13">
        <v>291271.00717692112</v>
      </c>
      <c r="U37" s="13">
        <v>291271.00717692112</v>
      </c>
      <c r="V37" s="13">
        <v>291271.00717692112</v>
      </c>
      <c r="W37" s="13">
        <v>291271.00717692112</v>
      </c>
      <c r="X37" s="13">
        <v>291271.00717692112</v>
      </c>
      <c r="Y37" s="13">
        <v>291271.00717692112</v>
      </c>
      <c r="Z37" s="13">
        <v>291271.00717692112</v>
      </c>
      <c r="AA37" s="13">
        <v>291271.00717692112</v>
      </c>
      <c r="AB37" s="13">
        <v>291271.00717692112</v>
      </c>
      <c r="AC37" s="13">
        <v>291271.00717692112</v>
      </c>
      <c r="AD37" s="13">
        <v>291271.00717692112</v>
      </c>
      <c r="AE37" s="13">
        <v>291271.00717692112</v>
      </c>
      <c r="AF37" s="13">
        <v>291271.00717692112</v>
      </c>
      <c r="AG37" s="13">
        <v>291271.00717692112</v>
      </c>
      <c r="AH37" s="13">
        <v>291271.00717692112</v>
      </c>
      <c r="AI37" s="13">
        <v>291271.00717692112</v>
      </c>
      <c r="AJ37" s="13">
        <v>291271.00717692112</v>
      </c>
      <c r="AK37" s="13">
        <v>291271.00717692112</v>
      </c>
      <c r="AL37" s="13">
        <v>291271.00717692112</v>
      </c>
      <c r="AM37" s="13">
        <v>291271.00717692112</v>
      </c>
      <c r="AN37" s="13">
        <v>291271.00717692112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188952.26650980959</v>
      </c>
      <c r="F40" s="12">
        <v>199196.65063692289</v>
      </c>
      <c r="G40" s="12">
        <v>210550.30349425951</v>
      </c>
      <c r="H40" s="12">
        <v>210801.63682759285</v>
      </c>
      <c r="I40" s="12">
        <v>211091.63682759283</v>
      </c>
      <c r="J40" s="12">
        <v>211342.97016092617</v>
      </c>
      <c r="K40" s="12">
        <v>211541.13682759283</v>
      </c>
      <c r="L40" s="12">
        <v>211831.13682759285</v>
      </c>
      <c r="M40" s="12">
        <v>212082.47016092614</v>
      </c>
      <c r="N40" s="12">
        <v>212333.80349425951</v>
      </c>
      <c r="O40" s="12">
        <v>212531.97016092617</v>
      </c>
      <c r="P40" s="12">
        <v>212875.13682759283</v>
      </c>
      <c r="Q40" s="12">
        <v>234380.63384368547</v>
      </c>
      <c r="R40" s="12">
        <v>234598.61717701875</v>
      </c>
      <c r="S40" s="12">
        <v>234598.61717701875</v>
      </c>
      <c r="T40" s="12">
        <v>234598.61717701875</v>
      </c>
      <c r="U40" s="12">
        <v>234598.61717701875</v>
      </c>
      <c r="V40" s="12">
        <v>234598.61717701875</v>
      </c>
      <c r="W40" s="12">
        <v>234598.61717701875</v>
      </c>
      <c r="X40" s="12">
        <v>234598.61717701875</v>
      </c>
      <c r="Y40" s="12">
        <v>234598.61717701875</v>
      </c>
      <c r="Z40" s="12">
        <v>234598.61717701875</v>
      </c>
      <c r="AA40" s="12">
        <v>234598.61717701875</v>
      </c>
      <c r="AB40" s="12">
        <v>234598.61717701875</v>
      </c>
      <c r="AC40" s="12">
        <v>258058.47889472067</v>
      </c>
      <c r="AD40" s="12">
        <v>258058.47889472067</v>
      </c>
      <c r="AE40" s="12">
        <v>258058.47889472067</v>
      </c>
      <c r="AF40" s="12">
        <v>258058.47889472067</v>
      </c>
      <c r="AG40" s="12">
        <v>258058.47889472067</v>
      </c>
      <c r="AH40" s="12">
        <v>258058.47889472067</v>
      </c>
      <c r="AI40" s="12">
        <v>258058.47889472067</v>
      </c>
      <c r="AJ40" s="12">
        <v>258058.47889472067</v>
      </c>
      <c r="AK40" s="12">
        <v>258058.47889472067</v>
      </c>
      <c r="AL40" s="12">
        <v>258058.47889472067</v>
      </c>
      <c r="AM40" s="12">
        <v>258058.47889472067</v>
      </c>
      <c r="AN40" s="12">
        <v>258058.47889472067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6713</v>
      </c>
      <c r="F42" s="12">
        <v>6713</v>
      </c>
      <c r="G42" s="12">
        <v>6713</v>
      </c>
      <c r="H42" s="12">
        <v>6713</v>
      </c>
      <c r="I42" s="12">
        <v>6713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5600</v>
      </c>
      <c r="F43" s="12">
        <v>5600</v>
      </c>
      <c r="G43" s="12">
        <v>5600</v>
      </c>
      <c r="H43" s="12">
        <v>5600</v>
      </c>
      <c r="I43" s="12">
        <v>5600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1192.7675999999999</v>
      </c>
      <c r="F44" s="12">
        <v>1223.0922</v>
      </c>
      <c r="G44" s="12">
        <v>1064.7304000000001</v>
      </c>
      <c r="H44" s="12">
        <v>1078.2080000000003</v>
      </c>
      <c r="I44" s="12">
        <v>1091.6856</v>
      </c>
      <c r="J44" s="12">
        <v>1105.1632000000002</v>
      </c>
      <c r="K44" s="12">
        <v>1115.2714000000001</v>
      </c>
      <c r="L44" s="12">
        <v>1128.7490000000003</v>
      </c>
      <c r="M44" s="12">
        <v>1142.2266</v>
      </c>
      <c r="N44" s="12">
        <v>1155.7042000000001</v>
      </c>
      <c r="O44" s="12">
        <v>1165.8124</v>
      </c>
      <c r="P44" s="12">
        <v>1182.6594</v>
      </c>
      <c r="Q44" s="12">
        <v>1240.478304</v>
      </c>
      <c r="R44" s="12">
        <v>1250.9908320000002</v>
      </c>
      <c r="S44" s="12">
        <v>1250.9908320000002</v>
      </c>
      <c r="T44" s="12">
        <v>1250.9908320000002</v>
      </c>
      <c r="U44" s="12">
        <v>1250.9908320000002</v>
      </c>
      <c r="V44" s="12">
        <v>1250.9908320000002</v>
      </c>
      <c r="W44" s="12">
        <v>1250.9908320000002</v>
      </c>
      <c r="X44" s="12">
        <v>1250.9908320000002</v>
      </c>
      <c r="Y44" s="12">
        <v>1250.9908320000002</v>
      </c>
      <c r="Z44" s="12">
        <v>1250.9908320000002</v>
      </c>
      <c r="AA44" s="12">
        <v>1250.9908320000002</v>
      </c>
      <c r="AB44" s="12">
        <v>1250.9908320000002</v>
      </c>
      <c r="AC44" s="12">
        <v>1301.0304652800003</v>
      </c>
      <c r="AD44" s="12">
        <v>1301.0304652800003</v>
      </c>
      <c r="AE44" s="12">
        <v>1301.0304652800003</v>
      </c>
      <c r="AF44" s="12">
        <v>1301.0304652800003</v>
      </c>
      <c r="AG44" s="12">
        <v>1301.0304652800003</v>
      </c>
      <c r="AH44" s="12">
        <v>1301.0304652800003</v>
      </c>
      <c r="AI44" s="12">
        <v>1301.0304652800003</v>
      </c>
      <c r="AJ44" s="12">
        <v>1301.0304652800003</v>
      </c>
      <c r="AK44" s="12">
        <v>1301.0304652800003</v>
      </c>
      <c r="AL44" s="12">
        <v>1301.0304652800003</v>
      </c>
      <c r="AM44" s="12">
        <v>1301.0304652800003</v>
      </c>
      <c r="AN44" s="12">
        <v>1301.0304652800003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6000</v>
      </c>
      <c r="F45" s="12">
        <v>6000</v>
      </c>
      <c r="G45" s="12">
        <v>6000</v>
      </c>
      <c r="H45" s="12">
        <v>6000</v>
      </c>
      <c r="I45" s="12">
        <v>6000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14317.499999999998</v>
      </c>
      <c r="F46" s="12">
        <v>15119.000000000004</v>
      </c>
      <c r="G46" s="12">
        <v>16109.5</v>
      </c>
      <c r="H46" s="12">
        <v>16123.500000000002</v>
      </c>
      <c r="I46" s="12">
        <v>16137.500000000002</v>
      </c>
      <c r="J46" s="12">
        <v>16151.500000000002</v>
      </c>
      <c r="K46" s="12">
        <v>16162</v>
      </c>
      <c r="L46" s="12">
        <v>16176.000000000004</v>
      </c>
      <c r="M46" s="12">
        <v>16190.000000000002</v>
      </c>
      <c r="N46" s="12">
        <v>16204.000000000002</v>
      </c>
      <c r="O46" s="12">
        <v>16214.500000000002</v>
      </c>
      <c r="P46" s="12">
        <v>16232.000000000004</v>
      </c>
      <c r="Q46" s="12">
        <v>16567.350000000002</v>
      </c>
      <c r="R46" s="12">
        <v>16578.060000000005</v>
      </c>
      <c r="S46" s="12">
        <v>16578.060000000005</v>
      </c>
      <c r="T46" s="12">
        <v>16578.060000000005</v>
      </c>
      <c r="U46" s="12">
        <v>16578.060000000005</v>
      </c>
      <c r="V46" s="12">
        <v>16578.060000000005</v>
      </c>
      <c r="W46" s="12">
        <v>16578.060000000005</v>
      </c>
      <c r="X46" s="12">
        <v>16578.060000000005</v>
      </c>
      <c r="Y46" s="12">
        <v>16578.060000000005</v>
      </c>
      <c r="Z46" s="12">
        <v>16578.060000000005</v>
      </c>
      <c r="AA46" s="12">
        <v>16578.060000000005</v>
      </c>
      <c r="AB46" s="12">
        <v>16578.060000000005</v>
      </c>
      <c r="AC46" s="12">
        <v>16909.621200000005</v>
      </c>
      <c r="AD46" s="12">
        <v>16909.621200000005</v>
      </c>
      <c r="AE46" s="12">
        <v>16909.621200000005</v>
      </c>
      <c r="AF46" s="12">
        <v>16909.621200000005</v>
      </c>
      <c r="AG46" s="12">
        <v>16909.621200000005</v>
      </c>
      <c r="AH46" s="12">
        <v>16909.621200000005</v>
      </c>
      <c r="AI46" s="12">
        <v>16909.621200000005</v>
      </c>
      <c r="AJ46" s="12">
        <v>16909.621200000005</v>
      </c>
      <c r="AK46" s="12">
        <v>16909.621200000005</v>
      </c>
      <c r="AL46" s="12">
        <v>16909.621200000005</v>
      </c>
      <c r="AM46" s="12">
        <v>16909.621200000005</v>
      </c>
      <c r="AN46" s="12">
        <v>16909.621200000005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4750</v>
      </c>
      <c r="F47" s="12">
        <v>4750</v>
      </c>
      <c r="G47" s="12">
        <v>4750</v>
      </c>
      <c r="H47" s="12">
        <v>4750</v>
      </c>
      <c r="I47" s="12">
        <v>4750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56693.521095607597</v>
      </c>
      <c r="F49" s="12">
        <f>'Corp.'!F$50*(F$37-(F31-F32-F34)*$C$35)/(SUM('MDA1:NCA9'!F$37)-SUM('MDA1:NCA9'!F$31)-SUM('MDA1:NCA9'!F$32)-SUM('MDA1:NCA9'!F$34))</f>
        <v>56660.962066538581</v>
      </c>
      <c r="G49" s="12">
        <f>'Corp.'!G$50*(G$37-(G31-G32-G34)*$C$35)/(SUM('MDA1:NCA9'!G$37)-SUM('MDA1:NCA9'!G$31)-SUM('MDA1:NCA9'!G$32)-SUM('MDA1:NCA9'!G$34))</f>
        <v>56248.208494660139</v>
      </c>
      <c r="H49" s="12">
        <f>'Corp.'!H$50*(H$37-(H31-H32-H34)*$C$35)/(SUM('MDA1:NCA9'!H$37)-SUM('MDA1:NCA9'!H$31)-SUM('MDA1:NCA9'!H$32)-SUM('MDA1:NCA9'!H$34))</f>
        <v>51533.837528091397</v>
      </c>
      <c r="I49" s="12">
        <f>'Corp.'!I$50*(I$37-(I31-I32-I34)*$C$35)/(SUM('MDA1:NCA9'!I$37)-SUM('MDA1:NCA9'!I$31)-SUM('MDA1:NCA9'!I$32)-SUM('MDA1:NCA9'!I$34))</f>
        <v>48575.143379873043</v>
      </c>
      <c r="J49" s="12">
        <f>'Corp.'!J$50*(J$37-(J31-J32-J34)*$C$35)/(SUM('MDA1:NCA9'!J$37)-SUM('MDA1:NCA9'!J$31)-SUM('MDA1:NCA9'!J$32)-SUM('MDA1:NCA9'!J$34))</f>
        <v>45494.561005218056</v>
      </c>
      <c r="K49" s="12">
        <f>'Corp.'!K$50*(K$37-(K31-K32-K34)*$C$35)/(SUM('MDA1:NCA9'!K$37)-SUM('MDA1:NCA9'!K$31)-SUM('MDA1:NCA9'!K$32)-SUM('MDA1:NCA9'!K$34))</f>
        <v>41893.99874109673</v>
      </c>
      <c r="L49" s="12">
        <f>'Corp.'!L$50*(L$37-(L31-L32-L34)*$C$35)/(SUM('MDA1:NCA9'!L$37)-SUM('MDA1:NCA9'!L$31)-SUM('MDA1:NCA9'!L$32)-SUM('MDA1:NCA9'!L$34))</f>
        <v>39654.992657605486</v>
      </c>
      <c r="M49" s="12">
        <f>'Corp.'!M$50*(M$37-(M31-M32-M34)*$C$35)/(SUM('MDA1:NCA9'!M$37)-SUM('MDA1:NCA9'!M$31)-SUM('MDA1:NCA9'!M$32)-SUM('MDA1:NCA9'!M$34))</f>
        <v>37246.09307382362</v>
      </c>
      <c r="N49" s="12">
        <f>'Corp.'!N$50*(N$37-(N31-N32-N34)*$C$35)/(SUM('MDA1:NCA9'!N$37)-SUM('MDA1:NCA9'!N$31)-SUM('MDA1:NCA9'!N$32)-SUM('MDA1:NCA9'!N$34))</f>
        <v>35178.766798721197</v>
      </c>
      <c r="O49" s="12">
        <f>'Corp.'!O$50*(O$37-(O31-O32-O34)*$C$35)/(SUM('MDA1:NCA9'!O$37)-SUM('MDA1:NCA9'!O$31)-SUM('MDA1:NCA9'!O$32)-SUM('MDA1:NCA9'!O$34))</f>
        <v>33009.866417696809</v>
      </c>
      <c r="P49" s="12">
        <f>'Corp.'!P$50*(P$37-(P31-P32-P34)*$C$35)/(SUM('MDA1:NCA9'!P$37)-SUM('MDA1:NCA9'!P$31)-SUM('MDA1:NCA9'!P$32)-SUM('MDA1:NCA9'!P$34))</f>
        <v>31233.184321712331</v>
      </c>
      <c r="Q49" s="12">
        <f>'Corp.'!Q$50*(Q$37-(Q31-Q32-Q34)*$C$35)/(SUM('MDA1:NCA9'!Q$37)-SUM('MDA1:NCA9'!Q$31)-SUM('MDA1:NCA9'!Q$32)-SUM('MDA1:NCA9'!Q$34))</f>
        <v>32646.856129044514</v>
      </c>
      <c r="R49" s="12">
        <f>'Corp.'!R$50*(R$37-(R31-R32-R34)*$C$35)/(SUM('MDA1:NCA9'!R$37)-SUM('MDA1:NCA9'!R$31)-SUM('MDA1:NCA9'!R$32)-SUM('MDA1:NCA9'!R$34))</f>
        <v>31472.753706721254</v>
      </c>
      <c r="S49" s="12">
        <f>'Corp.'!S$50*(S$37-(S31-S32-S34)*$C$35)/(SUM('MDA1:NCA9'!S$37)-SUM('MDA1:NCA9'!S$31)-SUM('MDA1:NCA9'!S$32)-SUM('MDA1:NCA9'!S$34))</f>
        <v>30173.064002143841</v>
      </c>
      <c r="T49" s="12">
        <f>'Corp.'!T$50*(T$37-(T31-T32-T34)*$C$35)/(SUM('MDA1:NCA9'!T$37)-SUM('MDA1:NCA9'!T$31)-SUM('MDA1:NCA9'!T$32)-SUM('MDA1:NCA9'!T$34))</f>
        <v>29077.150094718796</v>
      </c>
      <c r="U49" s="12">
        <f>'Corp.'!U$50*(U$37-(U31-U32-U34)*$C$35)/(SUM('MDA1:NCA9'!U$37)-SUM('MDA1:NCA9'!U$31)-SUM('MDA1:NCA9'!U$32)-SUM('MDA1:NCA9'!U$34))</f>
        <v>28329.323501891857</v>
      </c>
      <c r="V49" s="12">
        <f>'Corp.'!V$50*(V$37-(V31-V32-V34)*$C$35)/(SUM('MDA1:NCA9'!V$37)-SUM('MDA1:NCA9'!V$31)-SUM('MDA1:NCA9'!V$32)-SUM('MDA1:NCA9'!V$34))</f>
        <v>27722.439249576859</v>
      </c>
      <c r="W49" s="12">
        <f>'Corp.'!W$50*(W$37-(W31-W32-W34)*$C$35)/(SUM('MDA1:NCA9'!W$37)-SUM('MDA1:NCA9'!W$31)-SUM('MDA1:NCA9'!W$32)-SUM('MDA1:NCA9'!W$34))</f>
        <v>26924.541059316947</v>
      </c>
      <c r="X49" s="12">
        <f>'Corp.'!X$50*(X$37-(X31-X32-X34)*$C$35)/(SUM('MDA1:NCA9'!X$37)-SUM('MDA1:NCA9'!X$31)-SUM('MDA1:NCA9'!X$32)-SUM('MDA1:NCA9'!X$34))</f>
        <v>26124.309866812913</v>
      </c>
      <c r="Y49" s="12">
        <f>'Corp.'!Y$50*(Y$37-(Y31-Y32-Y34)*$C$35)/(SUM('MDA1:NCA9'!Y$37)-SUM('MDA1:NCA9'!Y$31)-SUM('MDA1:NCA9'!Y$32)-SUM('MDA1:NCA9'!Y$34))</f>
        <v>25605.808952721516</v>
      </c>
      <c r="Z49" s="12">
        <f>'Corp.'!Z$50*(Z$37-(Z31-Z32-Z34)*$C$35)/(SUM('MDA1:NCA9'!Z$37)-SUM('MDA1:NCA9'!Z$31)-SUM('MDA1:NCA9'!Z$32)-SUM('MDA1:NCA9'!Z$34))</f>
        <v>25087.021018535928</v>
      </c>
      <c r="AA49" s="12">
        <f>'Corp.'!AA$50*(AA$37-(AA31-AA32-AA34)*$C$35)/(SUM('MDA1:NCA9'!AA$37)-SUM('MDA1:NCA9'!AA$31)-SUM('MDA1:NCA9'!AA$32)-SUM('MDA1:NCA9'!AA$34))</f>
        <v>24548.973006491775</v>
      </c>
      <c r="AB49" s="12">
        <f>'Corp.'!AB$50*(AB$37-(AB31-AB32-AB34)*$C$35)/(SUM('MDA1:NCA9'!AB$37)-SUM('MDA1:NCA9'!AB$31)-SUM('MDA1:NCA9'!AB$32)-SUM('MDA1:NCA9'!AB$34))</f>
        <v>24023.061579451762</v>
      </c>
      <c r="AC49" s="12">
        <f>'Corp.'!AC$50*(AC$37-(AC31-AC32-AC34)*$C$35)/(SUM('MDA1:NCA9'!AC$37)-SUM('MDA1:NCA9'!AC$31)-SUM('MDA1:NCA9'!AC$32)-SUM('MDA1:NCA9'!AC$34))</f>
        <v>25996.263853925946</v>
      </c>
      <c r="AD49" s="12">
        <f>'Corp.'!AD$50*(AD$37-(AD31-AD32-AD34)*$C$35)/(SUM('MDA1:NCA9'!AD$37)-SUM('MDA1:NCA9'!AD$31)-SUM('MDA1:NCA9'!AD$32)-SUM('MDA1:NCA9'!AD$34))</f>
        <v>25597.115034469003</v>
      </c>
      <c r="AE49" s="12">
        <f>'Corp.'!AE$50*(AE$37-(AE31-AE32-AE34)*$C$35)/(SUM('MDA1:NCA9'!AE$37)-SUM('MDA1:NCA9'!AE$31)-SUM('MDA1:NCA9'!AE$32)-SUM('MDA1:NCA9'!AE$34))</f>
        <v>25219.235310206393</v>
      </c>
      <c r="AF49" s="12">
        <f>'Corp.'!AF$50*(AF$37-(AF31-AF32-AF34)*$C$35)/(SUM('MDA1:NCA9'!AF$37)-SUM('MDA1:NCA9'!AF$31)-SUM('MDA1:NCA9'!AF$32)-SUM('MDA1:NCA9'!AF$34))</f>
        <v>24863.892378640005</v>
      </c>
      <c r="AG49" s="12">
        <f>'Corp.'!AG$50*(AG$37-(AG31-AG32-AG34)*$C$35)/(SUM('MDA1:NCA9'!AG$37)-SUM('MDA1:NCA9'!AG$31)-SUM('MDA1:NCA9'!AG$32)-SUM('MDA1:NCA9'!AG$34))</f>
        <v>24580.912528035282</v>
      </c>
      <c r="AH49" s="12">
        <f>'Corp.'!AH$50*(AH$37-(AH31-AH32-AH34)*$C$35)/(SUM('MDA1:NCA9'!AH$37)-SUM('MDA1:NCA9'!AH$31)-SUM('MDA1:NCA9'!AH$32)-SUM('MDA1:NCA9'!AH$34))</f>
        <v>24205.752327590555</v>
      </c>
      <c r="AI49" s="12">
        <f>'Corp.'!AI$50*(AI$37-(AI31-AI32-AI34)*$C$35)/(SUM('MDA1:NCA9'!AI$37)-SUM('MDA1:NCA9'!AI$31)-SUM('MDA1:NCA9'!AI$32)-SUM('MDA1:NCA9'!AI$34))</f>
        <v>23816.799578475842</v>
      </c>
      <c r="AJ49" s="12">
        <f>'Corp.'!AJ$50*(AJ$37-(AJ31-AJ32-AJ34)*$C$35)/(SUM('MDA1:NCA9'!AJ$37)-SUM('MDA1:NCA9'!AJ$31)-SUM('MDA1:NCA9'!AJ$32)-SUM('MDA1:NCA9'!AJ$34))</f>
        <v>23415.272637244874</v>
      </c>
      <c r="AK49" s="12">
        <f>'Corp.'!AK$50*(AK$37-(AK31-AK32-AK34)*$C$35)/(SUM('MDA1:NCA9'!AK$37)-SUM('MDA1:NCA9'!AK$31)-SUM('MDA1:NCA9'!AK$32)-SUM('MDA1:NCA9'!AK$34))</f>
        <v>23044.383214811081</v>
      </c>
      <c r="AL49" s="12">
        <f>'Corp.'!AL$50*(AL$37-(AL31-AL32-AL34)*$C$35)/(SUM('MDA1:NCA9'!AL$37)-SUM('MDA1:NCA9'!AL$31)-SUM('MDA1:NCA9'!AL$32)-SUM('MDA1:NCA9'!AL$34))</f>
        <v>22703.461494739637</v>
      </c>
      <c r="AM49" s="12">
        <f>'Corp.'!AM$50*(AM$37-(AM31-AM32-AM34)*$C$35)/(SUM('MDA1:NCA9'!AM$37)-SUM('MDA1:NCA9'!AM$31)-SUM('MDA1:NCA9'!AM$32)-SUM('MDA1:NCA9'!AM$34))</f>
        <v>22335.876726030809</v>
      </c>
      <c r="AN49" s="12">
        <f>'Corp.'!AN$50*(AN$37-(AN31-AN32-AN34)*$C$35)/(SUM('MDA1:NCA9'!AN$37)-SUM('MDA1:NCA9'!AN$31)-SUM('MDA1:NCA9'!AN$32)-SUM('MDA1:NCA9'!AN$34))</f>
        <v>22023.025969858219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283026.28760541719</v>
      </c>
      <c r="F50" s="13">
        <v>294039.61270346149</v>
      </c>
      <c r="G50" s="13">
        <v>305971.01198891964</v>
      </c>
      <c r="H50" s="13">
        <v>301521.97435568424</v>
      </c>
      <c r="I50" s="13">
        <v>298867.28020746587</v>
      </c>
      <c r="J50" s="13">
        <v>296052.03116614424</v>
      </c>
      <c r="K50" s="13">
        <v>292660.13556868955</v>
      </c>
      <c r="L50" s="13">
        <v>290725.12948519835</v>
      </c>
      <c r="M50" s="13">
        <v>288581.56323474977</v>
      </c>
      <c r="N50" s="13">
        <v>286779.5702929807</v>
      </c>
      <c r="O50" s="13">
        <v>284819.33657862298</v>
      </c>
      <c r="P50" s="13">
        <v>283403.32114930515</v>
      </c>
      <c r="Q50" s="13">
        <v>307440.72997272998</v>
      </c>
      <c r="R50" s="13">
        <v>306495.32088374003</v>
      </c>
      <c r="S50" s="13">
        <v>305195.63117916265</v>
      </c>
      <c r="T50" s="13">
        <v>304099.71727173758</v>
      </c>
      <c r="U50" s="13">
        <v>303351.89067891065</v>
      </c>
      <c r="V50" s="13">
        <v>302745.00642659568</v>
      </c>
      <c r="W50" s="13">
        <v>301947.10823633574</v>
      </c>
      <c r="X50" s="13">
        <v>301146.87704383169</v>
      </c>
      <c r="Y50" s="13">
        <v>300628.37612974033</v>
      </c>
      <c r="Z50" s="13">
        <v>300109.58819555474</v>
      </c>
      <c r="AA50" s="13">
        <v>299571.54018351057</v>
      </c>
      <c r="AB50" s="13">
        <v>299045.62875647057</v>
      </c>
      <c r="AC50" s="13">
        <v>325622.4206486466</v>
      </c>
      <c r="AD50" s="13">
        <v>325223.27182918967</v>
      </c>
      <c r="AE50" s="13">
        <v>324845.3921049271</v>
      </c>
      <c r="AF50" s="13">
        <v>324490.04917336069</v>
      </c>
      <c r="AG50" s="13">
        <v>324207.06932275597</v>
      </c>
      <c r="AH50" s="13">
        <v>323831.90912231122</v>
      </c>
      <c r="AI50" s="13">
        <v>323442.9563731965</v>
      </c>
      <c r="AJ50" s="13">
        <v>323041.42943196557</v>
      </c>
      <c r="AK50" s="13">
        <v>322670.54000953177</v>
      </c>
      <c r="AL50" s="13">
        <v>322329.61828946031</v>
      </c>
      <c r="AM50" s="13">
        <v>321962.03352075152</v>
      </c>
      <c r="AN50" s="13">
        <v>321649.1827645789</v>
      </c>
    </row>
    <row r="52" spans="2:40" x14ac:dyDescent="0.25">
      <c r="B52" s="1" t="s">
        <v>50</v>
      </c>
      <c r="E52" s="74">
        <f>E37-E50</f>
        <v>-38750.253413715924</v>
      </c>
      <c r="F52" s="74">
        <f t="shared" ref="F52:AN52" si="0">F37-F50</f>
        <v>-34359.037944976211</v>
      </c>
      <c r="G52" s="74">
        <f t="shared" si="0"/>
        <v>-23183.626380258298</v>
      </c>
      <c r="H52" s="74">
        <f t="shared" si="0"/>
        <v>-18734.588747022906</v>
      </c>
      <c r="I52" s="74">
        <f t="shared" si="0"/>
        <v>-16079.894598804531</v>
      </c>
      <c r="J52" s="74">
        <f t="shared" si="0"/>
        <v>-13264.645557482901</v>
      </c>
      <c r="K52" s="74">
        <f t="shared" si="0"/>
        <v>-9872.7499600282172</v>
      </c>
      <c r="L52" s="74">
        <f t="shared" si="0"/>
        <v>-7937.7438765370171</v>
      </c>
      <c r="M52" s="74">
        <f t="shared" si="0"/>
        <v>-5794.1776260884362</v>
      </c>
      <c r="N52" s="74">
        <f t="shared" si="0"/>
        <v>-3992.1846843193634</v>
      </c>
      <c r="O52" s="74">
        <f t="shared" si="0"/>
        <v>-2031.9509699616465</v>
      </c>
      <c r="P52" s="74">
        <f t="shared" si="0"/>
        <v>-615.93554064381169</v>
      </c>
      <c r="Q52" s="74">
        <f t="shared" si="0"/>
        <v>-16169.722795808862</v>
      </c>
      <c r="R52" s="74">
        <f t="shared" si="0"/>
        <v>-15224.31370681891</v>
      </c>
      <c r="S52" s="74">
        <f t="shared" si="0"/>
        <v>-13924.62400224153</v>
      </c>
      <c r="T52" s="74">
        <f t="shared" si="0"/>
        <v>-12828.710094816459</v>
      </c>
      <c r="U52" s="74">
        <f t="shared" si="0"/>
        <v>-12080.883501989534</v>
      </c>
      <c r="V52" s="74">
        <f t="shared" si="0"/>
        <v>-11473.999249674554</v>
      </c>
      <c r="W52" s="74">
        <f t="shared" si="0"/>
        <v>-10676.101059414621</v>
      </c>
      <c r="X52" s="74">
        <f t="shared" si="0"/>
        <v>-9875.8698669105652</v>
      </c>
      <c r="Y52" s="74">
        <f t="shared" si="0"/>
        <v>-9357.3689528192044</v>
      </c>
      <c r="Z52" s="74">
        <f t="shared" si="0"/>
        <v>-8838.5810186336166</v>
      </c>
      <c r="AA52" s="74">
        <f t="shared" si="0"/>
        <v>-8300.5330065894523</v>
      </c>
      <c r="AB52" s="74">
        <f t="shared" si="0"/>
        <v>-7774.62157954945</v>
      </c>
      <c r="AC52" s="74">
        <f t="shared" si="0"/>
        <v>-34351.413471725478</v>
      </c>
      <c r="AD52" s="74">
        <f t="shared" si="0"/>
        <v>-33952.264652268554</v>
      </c>
      <c r="AE52" s="74">
        <f t="shared" si="0"/>
        <v>-33574.38492800598</v>
      </c>
      <c r="AF52" s="74">
        <f t="shared" si="0"/>
        <v>-33219.04199643957</v>
      </c>
      <c r="AG52" s="74">
        <f t="shared" si="0"/>
        <v>-32936.062145834847</v>
      </c>
      <c r="AH52" s="74">
        <f t="shared" si="0"/>
        <v>-32560.901945390098</v>
      </c>
      <c r="AI52" s="74">
        <f t="shared" si="0"/>
        <v>-32171.949196275382</v>
      </c>
      <c r="AJ52" s="74">
        <f t="shared" si="0"/>
        <v>-31770.422255044454</v>
      </c>
      <c r="AK52" s="74">
        <f t="shared" si="0"/>
        <v>-31399.532832610654</v>
      </c>
      <c r="AL52" s="74">
        <f t="shared" si="0"/>
        <v>-31058.611112539191</v>
      </c>
      <c r="AM52" s="74">
        <f t="shared" si="0"/>
        <v>-30691.026343830395</v>
      </c>
      <c r="AN52" s="74">
        <f t="shared" si="0"/>
        <v>-30378.175587657781</v>
      </c>
    </row>
    <row r="53" spans="2:40" x14ac:dyDescent="0.25">
      <c r="E53" s="107">
        <f>IFERROR(E52/E37,"")</f>
        <v>-0.15863305437202965</v>
      </c>
      <c r="F53" s="107">
        <f t="shared" ref="F53:AN53" si="1">IFERROR(F52/F37,"")</f>
        <v>-0.13231269985031294</v>
      </c>
      <c r="G53" s="107">
        <f t="shared" si="1"/>
        <v>-8.1982533734164628E-2</v>
      </c>
      <c r="H53" s="107">
        <f t="shared" si="1"/>
        <v>-6.6249732839741962E-2</v>
      </c>
      <c r="I53" s="107">
        <f t="shared" si="1"/>
        <v>-5.6862135360793223E-2</v>
      </c>
      <c r="J53" s="107">
        <f t="shared" si="1"/>
        <v>-4.6906779554302107E-2</v>
      </c>
      <c r="K53" s="107">
        <f t="shared" si="1"/>
        <v>-3.4912271418254627E-2</v>
      </c>
      <c r="L53" s="107">
        <f t="shared" si="1"/>
        <v>-2.806965331728678E-2</v>
      </c>
      <c r="M53" s="107">
        <f t="shared" si="1"/>
        <v>-2.0489519409139335E-2</v>
      </c>
      <c r="N53" s="107">
        <f t="shared" si="1"/>
        <v>-1.4117265788665678E-2</v>
      </c>
      <c r="O53" s="107">
        <f t="shared" si="1"/>
        <v>-7.1854370929175246E-3</v>
      </c>
      <c r="P53" s="107">
        <f t="shared" si="1"/>
        <v>-2.1780870434446511E-3</v>
      </c>
      <c r="Q53" s="107">
        <f t="shared" si="1"/>
        <v>-5.5514357410750462E-2</v>
      </c>
      <c r="R53" s="107">
        <f t="shared" si="1"/>
        <v>-5.2268551732550225E-2</v>
      </c>
      <c r="S53" s="107">
        <f t="shared" si="1"/>
        <v>-4.7806419654337802E-2</v>
      </c>
      <c r="T53" s="107">
        <f t="shared" si="1"/>
        <v>-4.4043896504344364E-2</v>
      </c>
      <c r="U53" s="107">
        <f t="shared" si="1"/>
        <v>-4.1476436735261732E-2</v>
      </c>
      <c r="V53" s="107">
        <f t="shared" si="1"/>
        <v>-3.9392864263709998E-2</v>
      </c>
      <c r="W53" s="107">
        <f t="shared" si="1"/>
        <v>-3.6653497246053893E-2</v>
      </c>
      <c r="X53" s="107">
        <f t="shared" si="1"/>
        <v>-3.3906120497986456E-2</v>
      </c>
      <c r="Y53" s="107">
        <f t="shared" si="1"/>
        <v>-3.212598824549482E-2</v>
      </c>
      <c r="Z53" s="107">
        <f t="shared" si="1"/>
        <v>-3.0344870587359792E-2</v>
      </c>
      <c r="AA53" s="107">
        <f t="shared" si="1"/>
        <v>-2.8497628675921115E-2</v>
      </c>
      <c r="AB53" s="107">
        <f t="shared" si="1"/>
        <v>-2.6692054437217165E-2</v>
      </c>
      <c r="AC53" s="107">
        <f t="shared" si="1"/>
        <v>-0.11793626082001379</v>
      </c>
      <c r="AD53" s="107">
        <f t="shared" si="1"/>
        <v>-0.11656589161188152</v>
      </c>
      <c r="AE53" s="107">
        <f t="shared" si="1"/>
        <v>-0.11526854407315776</v>
      </c>
      <c r="AF53" s="107">
        <f t="shared" si="1"/>
        <v>-0.11404857049936992</v>
      </c>
      <c r="AG53" s="107">
        <f t="shared" si="1"/>
        <v>-0.11307703593660158</v>
      </c>
      <c r="AH53" s="107">
        <f t="shared" si="1"/>
        <v>-0.11178902514527393</v>
      </c>
      <c r="AI53" s="107">
        <f t="shared" si="1"/>
        <v>-0.11045366137912173</v>
      </c>
      <c r="AJ53" s="107">
        <f t="shared" si="1"/>
        <v>-0.10907512753491033</v>
      </c>
      <c r="AK53" s="107">
        <f t="shared" si="1"/>
        <v>-0.10780177930149512</v>
      </c>
      <c r="AL53" s="107">
        <f t="shared" si="1"/>
        <v>-0.1066313170458255</v>
      </c>
      <c r="AM53" s="107">
        <f t="shared" si="1"/>
        <v>-0.1053693144446345</v>
      </c>
      <c r="AN53" s="107">
        <f t="shared" si="1"/>
        <v>-0.10429522622965956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907240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-36641.405128755192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-36641.405128755192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-36641.405128755192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-36641.405128755192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-36641.405128755192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-36641.405128755192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-38952.086213772789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-75391.658542471123</v>
      </c>
      <c r="F58" s="13">
        <f t="shared" ref="F58:AN58" si="2">F37-F50-F55+F56</f>
        <v>-71000.443073731411</v>
      </c>
      <c r="G58" s="13">
        <f t="shared" si="2"/>
        <v>-59825.03150901349</v>
      </c>
      <c r="H58" s="13">
        <f t="shared" si="2"/>
        <v>-55375.993875778098</v>
      </c>
      <c r="I58" s="13">
        <f t="shared" si="2"/>
        <v>-52721.299727559723</v>
      </c>
      <c r="J58" s="13">
        <f t="shared" si="2"/>
        <v>-49906.050686238093</v>
      </c>
      <c r="K58" s="13">
        <f t="shared" si="2"/>
        <v>-48824.836173801006</v>
      </c>
      <c r="L58" s="13">
        <f t="shared" si="2"/>
        <v>-50355.851717836216</v>
      </c>
      <c r="M58" s="13">
        <f t="shared" si="2"/>
        <v>-48212.285467387635</v>
      </c>
      <c r="N58" s="13">
        <f t="shared" si="2"/>
        <v>-46410.292525618563</v>
      </c>
      <c r="O58" s="13">
        <f t="shared" si="2"/>
        <v>-44450.058811260846</v>
      </c>
      <c r="P58" s="13">
        <f t="shared" si="2"/>
        <v>-43034.043381943011</v>
      </c>
      <c r="Q58" s="13">
        <f t="shared" si="2"/>
        <v>-58587.830637108062</v>
      </c>
      <c r="R58" s="13">
        <f t="shared" si="2"/>
        <v>-57642.421548118109</v>
      </c>
      <c r="S58" s="13">
        <f t="shared" si="2"/>
        <v>-56342.731843540729</v>
      </c>
      <c r="T58" s="13">
        <f t="shared" si="2"/>
        <v>-55246.817936115658</v>
      </c>
      <c r="U58" s="13">
        <f t="shared" si="2"/>
        <v>-54498.991343288733</v>
      </c>
      <c r="V58" s="13">
        <f t="shared" si="2"/>
        <v>-55164.650326212723</v>
      </c>
      <c r="W58" s="13">
        <f t="shared" si="2"/>
        <v>-54366.752135952789</v>
      </c>
      <c r="X58" s="13">
        <f t="shared" si="2"/>
        <v>-53566.520943448733</v>
      </c>
      <c r="Y58" s="13">
        <f t="shared" si="2"/>
        <v>-53048.020029357373</v>
      </c>
      <c r="Z58" s="13">
        <f t="shared" si="2"/>
        <v>-52529.232095171785</v>
      </c>
      <c r="AA58" s="13">
        <f t="shared" si="2"/>
        <v>-51991.18408312762</v>
      </c>
      <c r="AB58" s="13">
        <f t="shared" si="2"/>
        <v>-51465.272656087618</v>
      </c>
      <c r="AC58" s="13">
        <f t="shared" si="2"/>
        <v>-78042.064548263646</v>
      </c>
      <c r="AD58" s="13">
        <f t="shared" si="2"/>
        <v>-77642.915728806722</v>
      </c>
      <c r="AE58" s="13">
        <f t="shared" si="2"/>
        <v>-77265.036004544148</v>
      </c>
      <c r="AF58" s="13">
        <f t="shared" si="2"/>
        <v>-76909.693072977738</v>
      </c>
      <c r="AG58" s="13">
        <f t="shared" si="2"/>
        <v>-76626.713222373015</v>
      </c>
      <c r="AH58" s="13">
        <f t="shared" si="2"/>
        <v>-76251.553021928266</v>
      </c>
      <c r="AI58" s="13">
        <f t="shared" si="2"/>
        <v>-75862.60027281355</v>
      </c>
      <c r="AJ58" s="13">
        <f t="shared" si="2"/>
        <v>-75461.073331582622</v>
      </c>
      <c r="AK58" s="13">
        <f t="shared" si="2"/>
        <v>-75090.183909148822</v>
      </c>
      <c r="AL58" s="13">
        <f t="shared" si="2"/>
        <v>-74749.262189077359</v>
      </c>
      <c r="AM58" s="13">
        <f t="shared" si="2"/>
        <v>-74381.677420368564</v>
      </c>
      <c r="AN58" s="13">
        <f t="shared" si="2"/>
        <v>-74068.826664195949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-982631.65854247112</v>
      </c>
      <c r="F59" s="12">
        <v>-1053632.1016162026</v>
      </c>
      <c r="G59" s="12">
        <v>-1113457.133125216</v>
      </c>
      <c r="H59" s="12">
        <v>-1168833.127000994</v>
      </c>
      <c r="I59" s="12">
        <v>-1221554.4267285538</v>
      </c>
      <c r="J59" s="12">
        <v>-1271460.4774147919</v>
      </c>
      <c r="K59" s="12">
        <v>-1320285.3135885929</v>
      </c>
      <c r="L59" s="12">
        <v>-1370641.1653064291</v>
      </c>
      <c r="M59" s="12">
        <v>-1418853.4507738168</v>
      </c>
      <c r="N59" s="12">
        <v>-1465263.7432994354</v>
      </c>
      <c r="O59" s="12">
        <v>-1509713.8021106962</v>
      </c>
      <c r="P59" s="12">
        <v>-1552747.8454926391</v>
      </c>
      <c r="Q59" s="12">
        <v>-1611335.6761297472</v>
      </c>
      <c r="R59" s="12">
        <v>-1668978.0976778653</v>
      </c>
      <c r="S59" s="12">
        <v>-1725320.829521406</v>
      </c>
      <c r="T59" s="12">
        <v>-1780567.6474575216</v>
      </c>
      <c r="U59" s="12">
        <v>-1835066.6388008103</v>
      </c>
      <c r="V59" s="12">
        <v>-1890231.289127023</v>
      </c>
      <c r="W59" s="12">
        <v>-1944598.0412629757</v>
      </c>
      <c r="X59" s="12">
        <v>-1998164.5622064243</v>
      </c>
      <c r="Y59" s="12">
        <v>-2051212.5822357817</v>
      </c>
      <c r="Z59" s="12">
        <v>-2103741.8143309536</v>
      </c>
      <c r="AA59" s="12">
        <v>-2155732.9984140811</v>
      </c>
      <c r="AB59" s="12">
        <v>-2207198.2710701688</v>
      </c>
      <c r="AC59" s="12">
        <v>-2285240.3356184326</v>
      </c>
      <c r="AD59" s="12">
        <v>-2362883.2513472391</v>
      </c>
      <c r="AE59" s="12">
        <v>-2440148.2873517834</v>
      </c>
      <c r="AF59" s="12">
        <v>-2517057.9804247613</v>
      </c>
      <c r="AG59" s="12">
        <v>-2593684.6936471341</v>
      </c>
      <c r="AH59" s="12">
        <v>-2669936.2466690624</v>
      </c>
      <c r="AI59" s="12">
        <v>-2745798.8469418758</v>
      </c>
      <c r="AJ59" s="12">
        <v>-2821259.9202734586</v>
      </c>
      <c r="AK59" s="12">
        <v>-2896350.1041826075</v>
      </c>
      <c r="AL59" s="12">
        <v>-2971099.3663716847</v>
      </c>
      <c r="AM59" s="12">
        <v>-3045481.0437920531</v>
      </c>
      <c r="AN59" s="12">
        <v>-3119549.870456249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12641.130371584</v>
      </c>
      <c r="F63" s="12">
        <v>13512.932466176</v>
      </c>
      <c r="G63" s="12">
        <v>14820.635608064002</v>
      </c>
      <c r="H63" s="12">
        <v>14820.635608064002</v>
      </c>
      <c r="I63" s="12">
        <v>14820.635608064002</v>
      </c>
      <c r="J63" s="12">
        <v>14820.635608064002</v>
      </c>
      <c r="K63" s="12">
        <v>14820.635608064002</v>
      </c>
      <c r="L63" s="12">
        <v>14820.635608064002</v>
      </c>
      <c r="M63" s="12">
        <v>14820.635608064002</v>
      </c>
      <c r="N63" s="12">
        <v>14820.635608064002</v>
      </c>
      <c r="O63" s="12">
        <v>14820.635608064002</v>
      </c>
      <c r="P63" s="12">
        <v>14820.635608064002</v>
      </c>
      <c r="Q63" s="12">
        <v>15265.254676305922</v>
      </c>
      <c r="R63" s="12">
        <v>15265.254676305922</v>
      </c>
      <c r="S63" s="12">
        <v>15265.254676305922</v>
      </c>
      <c r="T63" s="12">
        <v>15265.254676305922</v>
      </c>
      <c r="U63" s="12">
        <v>15265.254676305922</v>
      </c>
      <c r="V63" s="12">
        <v>15265.254676305922</v>
      </c>
      <c r="W63" s="12">
        <v>15265.254676305922</v>
      </c>
      <c r="X63" s="12">
        <v>15265.254676305922</v>
      </c>
      <c r="Y63" s="12">
        <v>15265.254676305922</v>
      </c>
      <c r="Z63" s="12">
        <v>15265.254676305922</v>
      </c>
      <c r="AA63" s="12">
        <v>15265.254676305922</v>
      </c>
      <c r="AB63" s="12">
        <v>15265.254676305922</v>
      </c>
      <c r="AC63" s="12">
        <v>15265.254676305922</v>
      </c>
      <c r="AD63" s="12">
        <v>15265.254676305922</v>
      </c>
      <c r="AE63" s="12">
        <v>15265.254676305922</v>
      </c>
      <c r="AF63" s="12">
        <v>15265.254676305922</v>
      </c>
      <c r="AG63" s="12">
        <v>15265.254676305922</v>
      </c>
      <c r="AH63" s="12">
        <v>15265.254676305922</v>
      </c>
      <c r="AI63" s="12">
        <v>15265.254676305922</v>
      </c>
      <c r="AJ63" s="12">
        <v>15265.254676305922</v>
      </c>
      <c r="AK63" s="12">
        <v>15265.254676305922</v>
      </c>
      <c r="AL63" s="12">
        <v>15265.254676305922</v>
      </c>
      <c r="AM63" s="12">
        <v>15265.254676305922</v>
      </c>
      <c r="AN63" s="12">
        <v>15265.254676305922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3418.0758332160008</v>
      </c>
      <c r="F64" s="12">
        <v>3653.8052010240003</v>
      </c>
      <c r="G64" s="12">
        <v>4007.3992527360015</v>
      </c>
      <c r="H64" s="12">
        <v>4007.3992527360015</v>
      </c>
      <c r="I64" s="12">
        <v>4007.3992527360015</v>
      </c>
      <c r="J64" s="12">
        <v>4007.3992527360015</v>
      </c>
      <c r="K64" s="12">
        <v>4007.3992527360015</v>
      </c>
      <c r="L64" s="12">
        <v>4007.3992527360015</v>
      </c>
      <c r="M64" s="12">
        <v>4007.3992527360015</v>
      </c>
      <c r="N64" s="12">
        <v>4007.3992527360015</v>
      </c>
      <c r="O64" s="12">
        <v>4007.3992527360015</v>
      </c>
      <c r="P64" s="12">
        <v>4007.3992527360015</v>
      </c>
      <c r="Q64" s="12">
        <v>4127.621230318081</v>
      </c>
      <c r="R64" s="12">
        <v>4127.621230318081</v>
      </c>
      <c r="S64" s="12">
        <v>4127.621230318081</v>
      </c>
      <c r="T64" s="12">
        <v>4127.621230318081</v>
      </c>
      <c r="U64" s="12">
        <v>4127.621230318081</v>
      </c>
      <c r="V64" s="12">
        <v>4127.621230318081</v>
      </c>
      <c r="W64" s="12">
        <v>4127.621230318081</v>
      </c>
      <c r="X64" s="12">
        <v>4127.621230318081</v>
      </c>
      <c r="Y64" s="12">
        <v>4127.621230318081</v>
      </c>
      <c r="Z64" s="12">
        <v>4127.621230318081</v>
      </c>
      <c r="AA64" s="12">
        <v>4127.621230318081</v>
      </c>
      <c r="AB64" s="12">
        <v>4127.621230318081</v>
      </c>
      <c r="AC64" s="12">
        <v>4127.621230318081</v>
      </c>
      <c r="AD64" s="12">
        <v>4127.621230318081</v>
      </c>
      <c r="AE64" s="12">
        <v>4127.621230318081</v>
      </c>
      <c r="AF64" s="12">
        <v>4127.621230318081</v>
      </c>
      <c r="AG64" s="12">
        <v>4127.621230318081</v>
      </c>
      <c r="AH64" s="12">
        <v>4127.621230318081</v>
      </c>
      <c r="AI64" s="12">
        <v>4127.621230318081</v>
      </c>
      <c r="AJ64" s="12">
        <v>4127.621230318081</v>
      </c>
      <c r="AK64" s="12">
        <v>4127.621230318081</v>
      </c>
      <c r="AL64" s="12">
        <v>4127.621230318081</v>
      </c>
      <c r="AM64" s="12">
        <v>4127.621230318081</v>
      </c>
      <c r="AN64" s="12">
        <v>4127.621230318081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9421.5954426880016</v>
      </c>
      <c r="F65" s="12">
        <v>10071.360645632003</v>
      </c>
      <c r="G65" s="12">
        <v>11046.008450048001</v>
      </c>
      <c r="H65" s="12">
        <v>11046.008450048001</v>
      </c>
      <c r="I65" s="12">
        <v>11046.008450048001</v>
      </c>
      <c r="J65" s="12">
        <v>11046.008450048001</v>
      </c>
      <c r="K65" s="12">
        <v>11046.008450048001</v>
      </c>
      <c r="L65" s="12">
        <v>11046.008450048001</v>
      </c>
      <c r="M65" s="12">
        <v>11046.008450048001</v>
      </c>
      <c r="N65" s="12">
        <v>11046.008450048001</v>
      </c>
      <c r="O65" s="12">
        <v>11046.008450048001</v>
      </c>
      <c r="P65" s="12">
        <v>11046.008450048001</v>
      </c>
      <c r="Q65" s="12">
        <v>11377.388703549441</v>
      </c>
      <c r="R65" s="12">
        <v>11377.388703549441</v>
      </c>
      <c r="S65" s="12">
        <v>11377.388703549441</v>
      </c>
      <c r="T65" s="12">
        <v>11377.388703549441</v>
      </c>
      <c r="U65" s="12">
        <v>11377.388703549441</v>
      </c>
      <c r="V65" s="12">
        <v>11377.388703549441</v>
      </c>
      <c r="W65" s="12">
        <v>11377.388703549441</v>
      </c>
      <c r="X65" s="12">
        <v>11377.388703549441</v>
      </c>
      <c r="Y65" s="12">
        <v>11377.388703549441</v>
      </c>
      <c r="Z65" s="12">
        <v>11377.388703549441</v>
      </c>
      <c r="AA65" s="12">
        <v>11377.388703549441</v>
      </c>
      <c r="AB65" s="12">
        <v>11377.388703549441</v>
      </c>
      <c r="AC65" s="12">
        <v>11377.388703549441</v>
      </c>
      <c r="AD65" s="12">
        <v>11377.388703549441</v>
      </c>
      <c r="AE65" s="12">
        <v>11377.388703549441</v>
      </c>
      <c r="AF65" s="12">
        <v>11377.388703549441</v>
      </c>
      <c r="AG65" s="12">
        <v>11377.388703549441</v>
      </c>
      <c r="AH65" s="12">
        <v>11377.388703549441</v>
      </c>
      <c r="AI65" s="12">
        <v>11377.388703549441</v>
      </c>
      <c r="AJ65" s="12">
        <v>11377.388703549441</v>
      </c>
      <c r="AK65" s="12">
        <v>11377.388703549441</v>
      </c>
      <c r="AL65" s="12">
        <v>11377.388703549441</v>
      </c>
      <c r="AM65" s="12">
        <v>11377.388703549441</v>
      </c>
      <c r="AN65" s="12">
        <v>11377.388703549441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25480.801647488002</v>
      </c>
      <c r="F67" s="13">
        <v>27238.098312832</v>
      </c>
      <c r="G67" s="13">
        <v>29874.043310848003</v>
      </c>
      <c r="H67" s="13">
        <v>29874.043310848003</v>
      </c>
      <c r="I67" s="13">
        <v>29874.043310848003</v>
      </c>
      <c r="J67" s="13">
        <v>29874.043310848003</v>
      </c>
      <c r="K67" s="13">
        <v>29874.043310848003</v>
      </c>
      <c r="L67" s="13">
        <v>29874.043310848003</v>
      </c>
      <c r="M67" s="13">
        <v>29874.043310848003</v>
      </c>
      <c r="N67" s="13">
        <v>29874.043310848003</v>
      </c>
      <c r="O67" s="13">
        <v>29874.043310848003</v>
      </c>
      <c r="P67" s="13">
        <v>29874.043310848003</v>
      </c>
      <c r="Q67" s="13">
        <v>30770.264610173443</v>
      </c>
      <c r="R67" s="13">
        <v>30770.264610173443</v>
      </c>
      <c r="S67" s="13">
        <v>30770.264610173443</v>
      </c>
      <c r="T67" s="13">
        <v>30770.264610173443</v>
      </c>
      <c r="U67" s="13">
        <v>30770.264610173443</v>
      </c>
      <c r="V67" s="13">
        <v>30770.264610173443</v>
      </c>
      <c r="W67" s="13">
        <v>30770.264610173443</v>
      </c>
      <c r="X67" s="13">
        <v>30770.264610173443</v>
      </c>
      <c r="Y67" s="13">
        <v>30770.264610173443</v>
      </c>
      <c r="Z67" s="13">
        <v>30770.264610173443</v>
      </c>
      <c r="AA67" s="13">
        <v>30770.264610173443</v>
      </c>
      <c r="AB67" s="13">
        <v>30770.264610173443</v>
      </c>
      <c r="AC67" s="13">
        <v>30770.264610173443</v>
      </c>
      <c r="AD67" s="13">
        <v>30770.264610173443</v>
      </c>
      <c r="AE67" s="13">
        <v>30770.264610173443</v>
      </c>
      <c r="AF67" s="13">
        <v>30770.264610173443</v>
      </c>
      <c r="AG67" s="13">
        <v>30770.264610173443</v>
      </c>
      <c r="AH67" s="13">
        <v>30770.264610173443</v>
      </c>
      <c r="AI67" s="13">
        <v>30770.264610173443</v>
      </c>
      <c r="AJ67" s="13">
        <v>30770.264610173443</v>
      </c>
      <c r="AK67" s="13">
        <v>30770.264610173443</v>
      </c>
      <c r="AL67" s="13">
        <v>30770.264610173443</v>
      </c>
      <c r="AM67" s="13">
        <v>30770.264610173443</v>
      </c>
      <c r="AN67" s="13">
        <v>30770.264610173443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1</v>
      </c>
      <c r="F69" s="108">
        <v>1</v>
      </c>
      <c r="G69" s="108">
        <v>1</v>
      </c>
      <c r="H69" s="108">
        <v>1</v>
      </c>
      <c r="I69" s="108">
        <v>1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1</v>
      </c>
      <c r="F70" s="108">
        <v>1</v>
      </c>
      <c r="G70" s="108">
        <v>1</v>
      </c>
      <c r="H70" s="108">
        <v>1</v>
      </c>
      <c r="I70" s="108">
        <v>1</v>
      </c>
      <c r="J70" s="108">
        <v>1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33691.776509809592</v>
      </c>
      <c r="F72" s="12">
        <v>34111.347303589566</v>
      </c>
      <c r="G72" s="12">
        <v>34740.70349425952</v>
      </c>
      <c r="H72" s="12">
        <v>34740.70349425952</v>
      </c>
      <c r="I72" s="12">
        <v>34740.70349425952</v>
      </c>
      <c r="J72" s="12">
        <v>34740.70349425952</v>
      </c>
      <c r="K72" s="12">
        <v>34740.70349425952</v>
      </c>
      <c r="L72" s="12">
        <v>34740.70349425952</v>
      </c>
      <c r="M72" s="12">
        <v>34740.70349425952</v>
      </c>
      <c r="N72" s="12">
        <v>34740.70349425952</v>
      </c>
      <c r="O72" s="12">
        <v>34740.70349425952</v>
      </c>
      <c r="P72" s="12">
        <v>34740.70349425952</v>
      </c>
      <c r="Q72" s="12">
        <v>38214.773843685478</v>
      </c>
      <c r="R72" s="12">
        <v>38214.773843685478</v>
      </c>
      <c r="S72" s="12">
        <v>38214.773843685478</v>
      </c>
      <c r="T72" s="12">
        <v>38214.773843685478</v>
      </c>
      <c r="U72" s="12">
        <v>38214.773843685478</v>
      </c>
      <c r="V72" s="12">
        <v>38214.773843685478</v>
      </c>
      <c r="W72" s="12">
        <v>38214.773843685478</v>
      </c>
      <c r="X72" s="12">
        <v>38214.773843685478</v>
      </c>
      <c r="Y72" s="12">
        <v>38214.773843685478</v>
      </c>
      <c r="Z72" s="12">
        <v>38214.773843685478</v>
      </c>
      <c r="AA72" s="12">
        <v>38214.773843685478</v>
      </c>
      <c r="AB72" s="12">
        <v>38214.773843685478</v>
      </c>
      <c r="AC72" s="12">
        <v>42036.251228054025</v>
      </c>
      <c r="AD72" s="12">
        <v>42036.251228054025</v>
      </c>
      <c r="AE72" s="12">
        <v>42036.251228054025</v>
      </c>
      <c r="AF72" s="12">
        <v>42036.251228054025</v>
      </c>
      <c r="AG72" s="12">
        <v>42036.251228054025</v>
      </c>
      <c r="AH72" s="12">
        <v>42036.251228054025</v>
      </c>
      <c r="AI72" s="12">
        <v>42036.251228054025</v>
      </c>
      <c r="AJ72" s="12">
        <v>42036.251228054025</v>
      </c>
      <c r="AK72" s="12">
        <v>42036.251228054025</v>
      </c>
      <c r="AL72" s="12">
        <v>42036.251228054025</v>
      </c>
      <c r="AM72" s="12">
        <v>42036.251228054025</v>
      </c>
      <c r="AN72" s="12">
        <v>42036.251228054025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-8210.9748623215892</v>
      </c>
      <c r="F75" s="74">
        <v>-6873.2489907575655</v>
      </c>
      <c r="G75" s="74">
        <v>-4866.6601834115172</v>
      </c>
      <c r="H75" s="74">
        <v>-4866.6601834115172</v>
      </c>
      <c r="I75" s="74">
        <v>-4866.6601834115172</v>
      </c>
      <c r="J75" s="74">
        <v>-4866.6601834115172</v>
      </c>
      <c r="K75" s="74">
        <v>-4866.6601834115172</v>
      </c>
      <c r="L75" s="74">
        <v>-4866.6601834115172</v>
      </c>
      <c r="M75" s="74">
        <v>-4866.6601834115172</v>
      </c>
      <c r="N75" s="74">
        <v>-4866.6601834115172</v>
      </c>
      <c r="O75" s="74">
        <v>-4866.6601834115172</v>
      </c>
      <c r="P75" s="74">
        <v>-4866.6601834115172</v>
      </c>
      <c r="Q75" s="74">
        <v>-7444.5092335120353</v>
      </c>
      <c r="R75" s="74">
        <v>-7444.5092335120353</v>
      </c>
      <c r="S75" s="74">
        <v>-7444.5092335120353</v>
      </c>
      <c r="T75" s="74">
        <v>-7444.5092335120353</v>
      </c>
      <c r="U75" s="74">
        <v>-7444.5092335120353</v>
      </c>
      <c r="V75" s="74">
        <v>-7444.5092335120353</v>
      </c>
      <c r="W75" s="74">
        <v>-7444.5092335120353</v>
      </c>
      <c r="X75" s="74">
        <v>-7444.5092335120353</v>
      </c>
      <c r="Y75" s="74">
        <v>-7444.5092335120353</v>
      </c>
      <c r="Z75" s="74">
        <v>-7444.5092335120353</v>
      </c>
      <c r="AA75" s="74">
        <v>-7444.5092335120353</v>
      </c>
      <c r="AB75" s="74">
        <v>-7444.5092335120353</v>
      </c>
      <c r="AC75" s="74">
        <v>-11265.986617880582</v>
      </c>
      <c r="AD75" s="74">
        <v>-11265.986617880582</v>
      </c>
      <c r="AE75" s="74">
        <v>-11265.986617880582</v>
      </c>
      <c r="AF75" s="74">
        <v>-11265.986617880582</v>
      </c>
      <c r="AG75" s="74">
        <v>-11265.986617880582</v>
      </c>
      <c r="AH75" s="74">
        <v>-11265.986617880582</v>
      </c>
      <c r="AI75" s="74">
        <v>-11265.986617880582</v>
      </c>
      <c r="AJ75" s="74">
        <v>-11265.986617880582</v>
      </c>
      <c r="AK75" s="74">
        <v>-11265.986617880582</v>
      </c>
      <c r="AL75" s="74">
        <v>-11265.986617880582</v>
      </c>
      <c r="AM75" s="74">
        <v>-11265.986617880582</v>
      </c>
      <c r="AN75" s="74">
        <v>-11265.986617880582</v>
      </c>
    </row>
    <row r="83" spans="10:13" x14ac:dyDescent="0.25">
      <c r="M83" s="12"/>
    </row>
    <row r="84" spans="10:13" x14ac:dyDescent="0.25">
      <c r="J84" s="138"/>
    </row>
    <row r="86" spans="10:13" x14ac:dyDescent="0.25">
      <c r="L86" s="12"/>
      <c r="M86" s="12"/>
    </row>
    <row r="87" spans="10:13" x14ac:dyDescent="0.25">
      <c r="L87" s="12"/>
      <c r="M87" s="12"/>
    </row>
    <row r="88" spans="10:13" x14ac:dyDescent="0.25">
      <c r="L88" s="12"/>
      <c r="M88" s="12"/>
    </row>
    <row r="89" spans="10:13" x14ac:dyDescent="0.25">
      <c r="L89" s="12"/>
      <c r="M89" s="12"/>
    </row>
    <row r="90" spans="10:13" x14ac:dyDescent="0.25">
      <c r="L90" s="12"/>
      <c r="M90" s="12"/>
    </row>
    <row r="91" spans="10:13" x14ac:dyDescent="0.25">
      <c r="L91" s="12"/>
      <c r="M91" s="12"/>
    </row>
    <row r="92" spans="10:13" x14ac:dyDescent="0.25">
      <c r="L92" s="12"/>
      <c r="M92" s="12"/>
    </row>
    <row r="93" spans="10:13" x14ac:dyDescent="0.25">
      <c r="L93" s="12"/>
      <c r="M93" s="12"/>
    </row>
    <row r="94" spans="10:13" x14ac:dyDescent="0.25">
      <c r="L94" s="12"/>
      <c r="M94" s="12"/>
    </row>
    <row r="95" spans="10:13" x14ac:dyDescent="0.25">
      <c r="L95" s="12"/>
      <c r="M95" s="12"/>
    </row>
    <row r="96" spans="10:13" x14ac:dyDescent="0.25">
      <c r="L96" s="12"/>
      <c r="M96" s="12"/>
    </row>
    <row r="97" spans="12:13" x14ac:dyDescent="0.25">
      <c r="L97" s="12"/>
      <c r="M97" s="12"/>
    </row>
    <row r="98" spans="12:13" x14ac:dyDescent="0.25">
      <c r="L98" s="12"/>
      <c r="M98" s="12"/>
    </row>
    <row r="99" spans="12:13" x14ac:dyDescent="0.25">
      <c r="L99" s="12"/>
      <c r="M99" s="12"/>
    </row>
    <row r="100" spans="12:13" x14ac:dyDescent="0.25">
      <c r="L100" s="12"/>
    </row>
    <row r="101" spans="12:13" x14ac:dyDescent="0.25">
      <c r="L101" s="13"/>
    </row>
    <row r="102" spans="12:13" x14ac:dyDescent="0.25">
      <c r="L102" s="79"/>
    </row>
    <row r="103" spans="12:13" x14ac:dyDescent="0.25">
      <c r="L103" s="17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15BF-0B2A-4812-9C9A-B35F5B4ED4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502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99</v>
      </c>
      <c r="F1" s="69">
        <v>102</v>
      </c>
      <c r="G1" s="69">
        <v>104</v>
      </c>
      <c r="H1" s="69">
        <v>107</v>
      </c>
      <c r="I1" s="69">
        <v>110</v>
      </c>
      <c r="J1" s="69">
        <v>113</v>
      </c>
      <c r="K1" s="69">
        <v>115</v>
      </c>
      <c r="L1" s="69">
        <v>118</v>
      </c>
      <c r="M1" s="69">
        <v>121</v>
      </c>
      <c r="N1" s="69">
        <v>124</v>
      </c>
      <c r="O1" s="69">
        <v>126</v>
      </c>
      <c r="P1" s="69">
        <v>129</v>
      </c>
      <c r="Q1" s="69">
        <v>132</v>
      </c>
      <c r="R1" s="69">
        <v>135</v>
      </c>
      <c r="S1" s="69">
        <v>137</v>
      </c>
      <c r="T1" s="69">
        <v>140</v>
      </c>
      <c r="U1" s="69">
        <v>143</v>
      </c>
      <c r="V1" s="69">
        <v>146</v>
      </c>
      <c r="W1" s="69">
        <v>148</v>
      </c>
      <c r="X1" s="69">
        <v>151</v>
      </c>
      <c r="Y1" s="69">
        <v>154</v>
      </c>
      <c r="Z1" s="69">
        <v>157</v>
      </c>
      <c r="AA1" s="69">
        <v>160</v>
      </c>
      <c r="AB1" s="69">
        <v>162</v>
      </c>
      <c r="AC1" s="69">
        <v>165</v>
      </c>
      <c r="AD1" s="69">
        <v>168</v>
      </c>
      <c r="AE1" s="69">
        <v>171</v>
      </c>
      <c r="AF1" s="69">
        <v>173</v>
      </c>
      <c r="AG1" s="69">
        <v>176</v>
      </c>
      <c r="AH1" s="69">
        <v>179</v>
      </c>
      <c r="AI1" s="69">
        <v>182</v>
      </c>
      <c r="AJ1" s="69">
        <v>184</v>
      </c>
      <c r="AK1" s="69">
        <v>187</v>
      </c>
      <c r="AL1" s="69">
        <v>190</v>
      </c>
      <c r="AM1" s="69">
        <v>193</v>
      </c>
      <c r="AN1" s="69">
        <v>195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6.7586206896551726</v>
      </c>
      <c r="F2" s="69">
        <v>6.7586206896551726</v>
      </c>
      <c r="G2" s="69">
        <v>6.7586206896551726</v>
      </c>
      <c r="H2" s="69">
        <v>6.7586206896551726</v>
      </c>
      <c r="I2" s="69">
        <v>6.7586206896551726</v>
      </c>
      <c r="J2" s="69">
        <v>6.7586206896551726</v>
      </c>
      <c r="K2" s="69">
        <v>6.7586206896551726</v>
      </c>
      <c r="L2" s="69">
        <v>6.7586206896551726</v>
      </c>
      <c r="M2" s="69">
        <v>6.7586206896551726</v>
      </c>
      <c r="N2" s="69">
        <v>6.7586206896551726</v>
      </c>
      <c r="O2" s="69">
        <v>6.7586206896551726</v>
      </c>
      <c r="P2" s="69">
        <v>6.7586206896551726</v>
      </c>
      <c r="Q2" s="69">
        <v>6.7586206896551726</v>
      </c>
      <c r="R2" s="69">
        <v>6.7586206896551726</v>
      </c>
      <c r="S2" s="69">
        <v>6.7586206896551726</v>
      </c>
      <c r="T2" s="69">
        <v>6.7586206896551726</v>
      </c>
      <c r="U2" s="69">
        <v>6.7586206896551726</v>
      </c>
      <c r="V2" s="69">
        <v>6.7586206896551726</v>
      </c>
      <c r="W2" s="69">
        <v>6.7586206896551726</v>
      </c>
      <c r="X2" s="69">
        <v>6.7586206896551726</v>
      </c>
      <c r="Y2" s="69">
        <v>6.7586206896551726</v>
      </c>
      <c r="Z2" s="69">
        <v>6.7586206896551726</v>
      </c>
      <c r="AA2" s="69">
        <v>6.7586206896551726</v>
      </c>
      <c r="AB2" s="69">
        <v>6.7586206896551726</v>
      </c>
      <c r="AC2" s="69">
        <v>6.7586206896551726</v>
      </c>
      <c r="AD2" s="69">
        <v>6.7586206896551726</v>
      </c>
      <c r="AE2" s="69">
        <v>6.7586206896551726</v>
      </c>
      <c r="AF2" s="69">
        <v>6.7586206896551726</v>
      </c>
      <c r="AG2" s="69">
        <v>6.7586206896551726</v>
      </c>
      <c r="AH2" s="69">
        <v>6.7586206896551726</v>
      </c>
      <c r="AI2" s="69">
        <v>6.7586206896551726</v>
      </c>
      <c r="AJ2" s="69">
        <v>6.7586206896551726</v>
      </c>
      <c r="AK2" s="69">
        <v>6.7586206896551726</v>
      </c>
      <c r="AL2" s="69">
        <v>6.7586206896551726</v>
      </c>
      <c r="AM2" s="69">
        <v>6.7586206896551726</v>
      </c>
      <c r="AN2" s="69">
        <v>6.7586206896551726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105.75862068965517</v>
      </c>
      <c r="F4" s="69">
        <v>108.75862068965517</v>
      </c>
      <c r="G4" s="69">
        <v>110.75862068965517</v>
      </c>
      <c r="H4" s="69">
        <v>113.75862068965517</v>
      </c>
      <c r="I4" s="69">
        <v>116.75862068965517</v>
      </c>
      <c r="J4" s="69">
        <v>119.75862068965517</v>
      </c>
      <c r="K4" s="69">
        <v>121.75862068965517</v>
      </c>
      <c r="L4" s="69">
        <v>124.75862068965517</v>
      </c>
      <c r="M4" s="69">
        <v>127.75862068965517</v>
      </c>
      <c r="N4" s="69">
        <v>130.75862068965517</v>
      </c>
      <c r="O4" s="69">
        <v>132.75862068965517</v>
      </c>
      <c r="P4" s="69">
        <v>135.75862068965517</v>
      </c>
      <c r="Q4" s="69">
        <v>138.75862068965517</v>
      </c>
      <c r="R4" s="69">
        <v>141.75862068965517</v>
      </c>
      <c r="S4" s="69">
        <v>143.75862068965517</v>
      </c>
      <c r="T4" s="69">
        <v>146.75862068965517</v>
      </c>
      <c r="U4" s="69">
        <v>149.75862068965517</v>
      </c>
      <c r="V4" s="69">
        <v>152.75862068965517</v>
      </c>
      <c r="W4" s="69">
        <v>154.75862068965517</v>
      </c>
      <c r="X4" s="69">
        <v>157.75862068965517</v>
      </c>
      <c r="Y4" s="69">
        <v>160.75862068965517</v>
      </c>
      <c r="Z4" s="69">
        <v>163.75862068965517</v>
      </c>
      <c r="AA4" s="69">
        <v>166.75862068965517</v>
      </c>
      <c r="AB4" s="69">
        <v>168.75862068965517</v>
      </c>
      <c r="AC4" s="69">
        <v>171.75862068965517</v>
      </c>
      <c r="AD4" s="69">
        <v>174.75862068965517</v>
      </c>
      <c r="AE4" s="69">
        <v>177.75862068965517</v>
      </c>
      <c r="AF4" s="69">
        <v>179.75862068965517</v>
      </c>
      <c r="AG4" s="69">
        <v>182.75862068965517</v>
      </c>
      <c r="AH4" s="69">
        <v>185.75862068965517</v>
      </c>
      <c r="AI4" s="69">
        <v>188.75862068965517</v>
      </c>
      <c r="AJ4" s="69">
        <v>190.75862068965517</v>
      </c>
      <c r="AK4" s="69">
        <v>193.75862068965517</v>
      </c>
      <c r="AL4" s="69">
        <v>196.75862068965517</v>
      </c>
      <c r="AM4" s="69">
        <v>199.75862068965517</v>
      </c>
      <c r="AN4" s="69">
        <v>201.75862068965517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55</v>
      </c>
      <c r="F6" s="66">
        <v>57</v>
      </c>
      <c r="G6" s="66">
        <v>58</v>
      </c>
      <c r="H6" s="66">
        <v>59</v>
      </c>
      <c r="I6" s="66">
        <v>61</v>
      </c>
      <c r="J6" s="66">
        <v>62</v>
      </c>
      <c r="K6" s="66">
        <v>63</v>
      </c>
      <c r="L6" s="66">
        <v>65</v>
      </c>
      <c r="M6" s="66">
        <v>67</v>
      </c>
      <c r="N6" s="66">
        <v>68</v>
      </c>
      <c r="O6" s="66">
        <v>69</v>
      </c>
      <c r="P6" s="66">
        <v>71</v>
      </c>
      <c r="Q6" s="66">
        <v>72</v>
      </c>
      <c r="R6" s="66">
        <v>74</v>
      </c>
      <c r="S6" s="66">
        <v>75</v>
      </c>
      <c r="T6" s="66">
        <v>76</v>
      </c>
      <c r="U6" s="66">
        <v>78</v>
      </c>
      <c r="V6" s="66">
        <v>80</v>
      </c>
      <c r="W6" s="66">
        <v>81</v>
      </c>
      <c r="X6" s="66">
        <v>82</v>
      </c>
      <c r="Y6" s="66">
        <v>84</v>
      </c>
      <c r="Z6" s="66">
        <v>85</v>
      </c>
      <c r="AA6" s="66">
        <v>87</v>
      </c>
      <c r="AB6" s="66">
        <v>88</v>
      </c>
      <c r="AC6" s="66">
        <v>89</v>
      </c>
      <c r="AD6" s="66">
        <v>91</v>
      </c>
      <c r="AE6" s="66">
        <v>93</v>
      </c>
      <c r="AF6" s="66">
        <v>94</v>
      </c>
      <c r="AG6" s="66">
        <v>95</v>
      </c>
      <c r="AH6" s="66">
        <v>97</v>
      </c>
      <c r="AI6" s="66">
        <v>98</v>
      </c>
      <c r="AJ6" s="66">
        <v>99</v>
      </c>
      <c r="AK6" s="66">
        <v>101</v>
      </c>
      <c r="AL6" s="66">
        <v>102</v>
      </c>
      <c r="AM6" s="66">
        <v>104</v>
      </c>
      <c r="AN6" s="66">
        <v>105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40.669999999999995</v>
      </c>
      <c r="F7" s="108">
        <v>41.9</v>
      </c>
      <c r="G7" s="108">
        <v>42.72</v>
      </c>
      <c r="H7" s="108">
        <v>43.949999999999996</v>
      </c>
      <c r="I7" s="108">
        <v>45.18</v>
      </c>
      <c r="J7" s="108">
        <v>46.419999999999995</v>
      </c>
      <c r="K7" s="108">
        <v>47.239999999999995</v>
      </c>
      <c r="L7" s="108">
        <v>48.47</v>
      </c>
      <c r="M7" s="108">
        <v>49.699999999999996</v>
      </c>
      <c r="N7" s="108">
        <v>50.93</v>
      </c>
      <c r="O7" s="108">
        <v>51.75</v>
      </c>
      <c r="P7" s="108">
        <v>52.989999999999995</v>
      </c>
      <c r="Q7" s="108">
        <v>54.22</v>
      </c>
      <c r="R7" s="108">
        <v>55.449999999999996</v>
      </c>
      <c r="S7" s="108">
        <v>56.269999999999996</v>
      </c>
      <c r="T7" s="108">
        <v>57.5</v>
      </c>
      <c r="U7" s="108">
        <v>58.739999999999995</v>
      </c>
      <c r="V7" s="108">
        <v>59.97</v>
      </c>
      <c r="W7" s="108">
        <v>60.79</v>
      </c>
      <c r="X7" s="108">
        <v>62.019999999999996</v>
      </c>
      <c r="Y7" s="108">
        <v>63.25</v>
      </c>
      <c r="Z7" s="108">
        <v>64.490000000000009</v>
      </c>
      <c r="AA7" s="108">
        <v>65.72</v>
      </c>
      <c r="AB7" s="108">
        <v>66.540000000000006</v>
      </c>
      <c r="AC7" s="108">
        <v>67.77000000000001</v>
      </c>
      <c r="AD7" s="108">
        <v>69</v>
      </c>
      <c r="AE7" s="108">
        <v>70.240000000000009</v>
      </c>
      <c r="AF7" s="108">
        <v>71.06</v>
      </c>
      <c r="AG7" s="108">
        <v>72.290000000000006</v>
      </c>
      <c r="AH7" s="108">
        <v>73.52000000000001</v>
      </c>
      <c r="AI7" s="108">
        <v>74.75</v>
      </c>
      <c r="AJ7" s="108">
        <v>75.58</v>
      </c>
      <c r="AK7" s="108">
        <v>76.81</v>
      </c>
      <c r="AL7" s="108">
        <v>78.040000000000006</v>
      </c>
      <c r="AM7" s="108">
        <v>79.27000000000001</v>
      </c>
      <c r="AN7" s="108">
        <v>80.09</v>
      </c>
    </row>
    <row r="8" spans="1:40" hidden="1" outlineLevel="1" x14ac:dyDescent="0.25">
      <c r="B8" s="39" t="str">
        <v>Secondary Direct Staff</v>
      </c>
      <c r="C8" s="3"/>
      <c r="D8" s="3"/>
      <c r="E8" s="108">
        <v>9</v>
      </c>
      <c r="F8" s="108">
        <v>9.2799999999999994</v>
      </c>
      <c r="G8" s="108">
        <v>9.4599999999999991</v>
      </c>
      <c r="H8" s="108">
        <v>9.73</v>
      </c>
      <c r="I8" s="108">
        <v>10</v>
      </c>
      <c r="J8" s="108">
        <v>10.28</v>
      </c>
      <c r="K8" s="108">
        <v>10.459999999999999</v>
      </c>
      <c r="L8" s="108">
        <v>10.73</v>
      </c>
      <c r="M8" s="108">
        <v>11</v>
      </c>
      <c r="N8" s="108">
        <v>11.28</v>
      </c>
      <c r="O8" s="108">
        <v>11.459999999999999</v>
      </c>
      <c r="P8" s="108">
        <v>11.73</v>
      </c>
      <c r="Q8" s="108">
        <v>12</v>
      </c>
      <c r="R8" s="108">
        <v>12.28</v>
      </c>
      <c r="S8" s="108">
        <v>12.459999999999999</v>
      </c>
      <c r="T8" s="108">
        <v>12.73</v>
      </c>
      <c r="U8" s="108">
        <v>13</v>
      </c>
      <c r="V8" s="108">
        <v>13.28</v>
      </c>
      <c r="W8" s="108">
        <v>13.459999999999999</v>
      </c>
      <c r="X8" s="108">
        <v>13.73</v>
      </c>
      <c r="Y8" s="108">
        <v>14</v>
      </c>
      <c r="Z8" s="108">
        <v>14.28</v>
      </c>
      <c r="AA8" s="108">
        <v>14.549999999999999</v>
      </c>
      <c r="AB8" s="108">
        <v>14.73</v>
      </c>
      <c r="AC8" s="108">
        <v>15</v>
      </c>
      <c r="AD8" s="108">
        <v>15.28</v>
      </c>
      <c r="AE8" s="108">
        <v>15.549999999999999</v>
      </c>
      <c r="AF8" s="108">
        <v>15.73</v>
      </c>
      <c r="AG8" s="108">
        <v>16</v>
      </c>
      <c r="AH8" s="108">
        <v>16.28</v>
      </c>
      <c r="AI8" s="108">
        <v>16.55</v>
      </c>
      <c r="AJ8" s="108">
        <v>16.73</v>
      </c>
      <c r="AK8" s="108">
        <v>17</v>
      </c>
      <c r="AL8" s="108">
        <v>17.28</v>
      </c>
      <c r="AM8" s="108">
        <v>17.55</v>
      </c>
      <c r="AN8" s="108">
        <v>17.73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0.52</v>
      </c>
      <c r="F12" s="108">
        <v>0.52</v>
      </c>
      <c r="G12" s="108">
        <v>0.52</v>
      </c>
      <c r="H12" s="108">
        <v>0.52</v>
      </c>
      <c r="I12" s="108">
        <v>0.52</v>
      </c>
      <c r="J12" s="108">
        <v>0.52</v>
      </c>
      <c r="K12" s="108">
        <v>0.52</v>
      </c>
      <c r="L12" s="108">
        <v>0.52</v>
      </c>
      <c r="M12" s="108">
        <v>0.52</v>
      </c>
      <c r="N12" s="108">
        <v>0.52</v>
      </c>
      <c r="O12" s="108">
        <v>0.52</v>
      </c>
      <c r="P12" s="108">
        <v>0.52</v>
      </c>
      <c r="Q12" s="108">
        <v>0.52</v>
      </c>
      <c r="R12" s="108">
        <v>0.52</v>
      </c>
      <c r="S12" s="108">
        <v>0.52</v>
      </c>
      <c r="T12" s="108">
        <v>0.52</v>
      </c>
      <c r="U12" s="108">
        <v>0.52</v>
      </c>
      <c r="V12" s="108">
        <v>0.52</v>
      </c>
      <c r="W12" s="108">
        <v>0.52</v>
      </c>
      <c r="X12" s="108">
        <v>0.52</v>
      </c>
      <c r="Y12" s="108">
        <v>0.52</v>
      </c>
      <c r="Z12" s="108">
        <v>0.52</v>
      </c>
      <c r="AA12" s="108">
        <v>0.52</v>
      </c>
      <c r="AB12" s="108">
        <v>0.52</v>
      </c>
      <c r="AC12" s="108">
        <v>0.52</v>
      </c>
      <c r="AD12" s="108">
        <v>0.52</v>
      </c>
      <c r="AE12" s="108">
        <v>0.52</v>
      </c>
      <c r="AF12" s="108">
        <v>0.52</v>
      </c>
      <c r="AG12" s="108">
        <v>0.52</v>
      </c>
      <c r="AH12" s="108">
        <v>0.52</v>
      </c>
      <c r="AI12" s="108">
        <v>0.52</v>
      </c>
      <c r="AJ12" s="108">
        <v>0.52</v>
      </c>
      <c r="AK12" s="108">
        <v>0.52</v>
      </c>
      <c r="AL12" s="108">
        <v>0.52</v>
      </c>
      <c r="AM12" s="108">
        <v>0.52</v>
      </c>
      <c r="AN12" s="108">
        <v>0.52</v>
      </c>
    </row>
    <row r="13" spans="1:40" hidden="1" outlineLevel="1" x14ac:dyDescent="0.25">
      <c r="B13" s="39" t="str">
        <v>Trainer</v>
      </c>
      <c r="C13" s="3"/>
      <c r="D13" s="3"/>
      <c r="E13" s="108">
        <v>1.23</v>
      </c>
      <c r="F13" s="108">
        <v>1.24</v>
      </c>
      <c r="G13" s="108">
        <v>1.25</v>
      </c>
      <c r="H13" s="108">
        <v>1.27</v>
      </c>
      <c r="I13" s="108">
        <v>1.29</v>
      </c>
      <c r="J13" s="108">
        <v>1.3</v>
      </c>
      <c r="K13" s="108">
        <v>1.31</v>
      </c>
      <c r="L13" s="108">
        <v>1.33</v>
      </c>
      <c r="M13" s="108">
        <v>1.35</v>
      </c>
      <c r="N13" s="108">
        <v>1.36</v>
      </c>
      <c r="O13" s="108">
        <v>1.37</v>
      </c>
      <c r="P13" s="108">
        <v>1.39</v>
      </c>
      <c r="Q13" s="108">
        <v>1.41</v>
      </c>
      <c r="R13" s="108">
        <v>1.42</v>
      </c>
      <c r="S13" s="108">
        <v>1.43</v>
      </c>
      <c r="T13" s="108">
        <v>1.45</v>
      </c>
      <c r="U13" s="108">
        <v>1.47</v>
      </c>
      <c r="V13" s="108">
        <v>1.48</v>
      </c>
      <c r="W13" s="108">
        <v>1.49</v>
      </c>
      <c r="X13" s="108">
        <v>1.51</v>
      </c>
      <c r="Y13" s="108">
        <v>1.53</v>
      </c>
      <c r="Z13" s="108">
        <v>1.54</v>
      </c>
      <c r="AA13" s="108">
        <v>1.56</v>
      </c>
      <c r="AB13" s="108">
        <v>1.57</v>
      </c>
      <c r="AC13" s="108">
        <v>1.59</v>
      </c>
      <c r="AD13" s="108">
        <v>1.6</v>
      </c>
      <c r="AE13" s="108">
        <v>1.62</v>
      </c>
      <c r="AF13" s="108">
        <v>1.6300000000000001</v>
      </c>
      <c r="AG13" s="108">
        <v>1.65</v>
      </c>
      <c r="AH13" s="108">
        <v>1.67</v>
      </c>
      <c r="AI13" s="108">
        <v>1.68</v>
      </c>
      <c r="AJ13" s="108">
        <v>1.69</v>
      </c>
      <c r="AK13" s="108">
        <v>1.71</v>
      </c>
      <c r="AL13" s="108">
        <v>1.73</v>
      </c>
      <c r="AM13" s="108">
        <v>1.74</v>
      </c>
      <c r="AN13" s="108">
        <v>1.75</v>
      </c>
    </row>
    <row r="14" spans="1:40" hidden="1" outlineLevel="1" x14ac:dyDescent="0.25">
      <c r="B14" s="39" t="str">
        <v>Recruiter</v>
      </c>
      <c r="C14" s="3"/>
      <c r="D14" s="3"/>
      <c r="E14" s="108">
        <v>0.89</v>
      </c>
      <c r="F14" s="108">
        <v>0.9</v>
      </c>
      <c r="G14" s="108">
        <v>0.91</v>
      </c>
      <c r="H14" s="108">
        <v>0.93</v>
      </c>
      <c r="I14" s="108">
        <v>0.95</v>
      </c>
      <c r="J14" s="108">
        <v>0.96</v>
      </c>
      <c r="K14" s="108">
        <v>0.98</v>
      </c>
      <c r="L14" s="108">
        <v>0.99</v>
      </c>
      <c r="M14" s="108">
        <v>1.01</v>
      </c>
      <c r="N14" s="108">
        <v>1.02</v>
      </c>
      <c r="O14" s="108">
        <v>1.04</v>
      </c>
      <c r="P14" s="108">
        <v>1.05</v>
      </c>
      <c r="Q14" s="108">
        <v>1.07</v>
      </c>
      <c r="R14" s="108">
        <v>1.0900000000000001</v>
      </c>
      <c r="S14" s="108">
        <v>1.1000000000000001</v>
      </c>
      <c r="T14" s="108">
        <v>1.1100000000000001</v>
      </c>
      <c r="U14" s="108">
        <v>1.1300000000000001</v>
      </c>
      <c r="V14" s="108">
        <v>1.1499999999999999</v>
      </c>
      <c r="W14" s="108">
        <v>1.1599999999999999</v>
      </c>
      <c r="X14" s="108">
        <v>1.17</v>
      </c>
      <c r="Y14" s="108">
        <v>1.19</v>
      </c>
      <c r="Z14" s="108">
        <v>1.21</v>
      </c>
      <c r="AA14" s="108">
        <v>1.22</v>
      </c>
      <c r="AB14" s="108">
        <v>1.23</v>
      </c>
      <c r="AC14" s="108">
        <v>1.25</v>
      </c>
      <c r="AD14" s="108">
        <v>1.27</v>
      </c>
      <c r="AE14" s="108">
        <v>1.28</v>
      </c>
      <c r="AF14" s="108">
        <v>1.29</v>
      </c>
      <c r="AG14" s="108">
        <v>1.31</v>
      </c>
      <c r="AH14" s="108">
        <v>1.33</v>
      </c>
      <c r="AI14" s="108">
        <v>1.34</v>
      </c>
      <c r="AJ14" s="108">
        <v>1.35</v>
      </c>
      <c r="AK14" s="108">
        <v>1.37</v>
      </c>
      <c r="AL14" s="108">
        <v>1.39</v>
      </c>
      <c r="AM14" s="108">
        <v>1.4</v>
      </c>
      <c r="AN14" s="108">
        <v>1.42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0.4</v>
      </c>
      <c r="F15" s="108">
        <v>0.41000000000000003</v>
      </c>
      <c r="G15" s="108">
        <v>0.42</v>
      </c>
      <c r="H15" s="108">
        <v>0.43</v>
      </c>
      <c r="I15" s="108">
        <v>0.44</v>
      </c>
      <c r="J15" s="108">
        <v>0.46</v>
      </c>
      <c r="K15" s="108">
        <v>0.46</v>
      </c>
      <c r="L15" s="108">
        <v>0.48</v>
      </c>
      <c r="M15" s="108">
        <v>0.49</v>
      </c>
      <c r="N15" s="108">
        <v>0.5</v>
      </c>
      <c r="O15" s="108">
        <v>0.51</v>
      </c>
      <c r="P15" s="108">
        <v>0.52</v>
      </c>
      <c r="Q15" s="108">
        <v>0.53</v>
      </c>
      <c r="R15" s="108">
        <v>0.54</v>
      </c>
      <c r="S15" s="108">
        <v>0.55000000000000004</v>
      </c>
      <c r="T15" s="108">
        <v>0.56000000000000005</v>
      </c>
      <c r="U15" s="108">
        <v>0.57999999999999996</v>
      </c>
      <c r="V15" s="108">
        <v>0.59</v>
      </c>
      <c r="W15" s="108">
        <v>0.6</v>
      </c>
      <c r="X15" s="108">
        <v>0.61</v>
      </c>
      <c r="Y15" s="108">
        <v>0.62</v>
      </c>
      <c r="Z15" s="108">
        <v>0.63</v>
      </c>
      <c r="AA15" s="108">
        <v>0.64</v>
      </c>
      <c r="AB15" s="108">
        <v>0.65</v>
      </c>
      <c r="AC15" s="108">
        <v>0.66</v>
      </c>
      <c r="AD15" s="108">
        <v>0.68</v>
      </c>
      <c r="AE15" s="108">
        <v>0.69000000000000006</v>
      </c>
      <c r="AF15" s="108">
        <v>0.7</v>
      </c>
      <c r="AG15" s="108">
        <v>0.71</v>
      </c>
      <c r="AH15" s="108">
        <v>0.72</v>
      </c>
      <c r="AI15" s="108">
        <v>0.73</v>
      </c>
      <c r="AJ15" s="108">
        <v>0.74</v>
      </c>
      <c r="AK15" s="108">
        <v>0.75</v>
      </c>
      <c r="AL15" s="108">
        <v>0.76</v>
      </c>
      <c r="AM15" s="108">
        <v>0.78</v>
      </c>
      <c r="AN15" s="108">
        <v>0.78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0.4</v>
      </c>
      <c r="F16" s="108">
        <v>0.41000000000000003</v>
      </c>
      <c r="G16" s="108">
        <v>0.42</v>
      </c>
      <c r="H16" s="108">
        <v>0.43</v>
      </c>
      <c r="I16" s="108">
        <v>0.44</v>
      </c>
      <c r="J16" s="108">
        <v>0.46</v>
      </c>
      <c r="K16" s="108">
        <v>0.46</v>
      </c>
      <c r="L16" s="108">
        <v>0.48</v>
      </c>
      <c r="M16" s="108">
        <v>0.49</v>
      </c>
      <c r="N16" s="108">
        <v>0.5</v>
      </c>
      <c r="O16" s="108">
        <v>0.51</v>
      </c>
      <c r="P16" s="108">
        <v>0.52</v>
      </c>
      <c r="Q16" s="108">
        <v>0.53</v>
      </c>
      <c r="R16" s="108">
        <v>0.54</v>
      </c>
      <c r="S16" s="108">
        <v>0.55000000000000004</v>
      </c>
      <c r="T16" s="108">
        <v>0.56000000000000005</v>
      </c>
      <c r="U16" s="108">
        <v>0.57999999999999996</v>
      </c>
      <c r="V16" s="108">
        <v>0.59</v>
      </c>
      <c r="W16" s="108">
        <v>0.6</v>
      </c>
      <c r="X16" s="108">
        <v>0.61</v>
      </c>
      <c r="Y16" s="108">
        <v>0.62</v>
      </c>
      <c r="Z16" s="108">
        <v>0.63</v>
      </c>
      <c r="AA16" s="108">
        <v>0.64</v>
      </c>
      <c r="AB16" s="108">
        <v>0.65</v>
      </c>
      <c r="AC16" s="108">
        <v>0.66</v>
      </c>
      <c r="AD16" s="108">
        <v>0.68</v>
      </c>
      <c r="AE16" s="108">
        <v>0.69000000000000006</v>
      </c>
      <c r="AF16" s="108">
        <v>0.7</v>
      </c>
      <c r="AG16" s="108">
        <v>0.71</v>
      </c>
      <c r="AH16" s="108">
        <v>0.72</v>
      </c>
      <c r="AI16" s="108">
        <v>0.73</v>
      </c>
      <c r="AJ16" s="108">
        <v>0.74</v>
      </c>
      <c r="AK16" s="108">
        <v>0.75</v>
      </c>
      <c r="AL16" s="108">
        <v>0.76</v>
      </c>
      <c r="AM16" s="108">
        <v>0.78</v>
      </c>
      <c r="AN16" s="108">
        <v>0.78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50</v>
      </c>
      <c r="F21" s="120">
        <v>51</v>
      </c>
      <c r="G21" s="120">
        <v>52</v>
      </c>
      <c r="H21" s="120">
        <v>54</v>
      </c>
      <c r="I21" s="120">
        <v>55</v>
      </c>
      <c r="J21" s="120">
        <v>57</v>
      </c>
      <c r="K21" s="120">
        <v>58</v>
      </c>
      <c r="L21" s="120">
        <v>59</v>
      </c>
      <c r="M21" s="120">
        <v>61</v>
      </c>
      <c r="N21" s="120">
        <v>62</v>
      </c>
      <c r="O21" s="120">
        <v>63</v>
      </c>
      <c r="P21" s="120">
        <v>65</v>
      </c>
      <c r="Q21" s="120">
        <v>66</v>
      </c>
      <c r="R21" s="120">
        <v>68</v>
      </c>
      <c r="S21" s="120">
        <v>69</v>
      </c>
      <c r="T21" s="120">
        <v>70</v>
      </c>
      <c r="U21" s="120">
        <v>72</v>
      </c>
      <c r="V21" s="120">
        <v>73</v>
      </c>
      <c r="W21" s="120">
        <v>74</v>
      </c>
      <c r="X21" s="120">
        <v>76</v>
      </c>
      <c r="Y21" s="120">
        <v>77</v>
      </c>
      <c r="Z21" s="120">
        <v>79</v>
      </c>
      <c r="AA21" s="120">
        <v>80</v>
      </c>
      <c r="AB21" s="120">
        <v>81</v>
      </c>
      <c r="AC21" s="120">
        <v>83</v>
      </c>
      <c r="AD21" s="120">
        <v>84</v>
      </c>
      <c r="AE21" s="120">
        <v>86</v>
      </c>
      <c r="AF21" s="120">
        <v>87</v>
      </c>
      <c r="AG21" s="120">
        <v>88</v>
      </c>
      <c r="AH21" s="120">
        <v>90</v>
      </c>
      <c r="AI21" s="120">
        <v>91</v>
      </c>
      <c r="AJ21" s="120">
        <v>92</v>
      </c>
      <c r="AK21" s="120">
        <v>94</v>
      </c>
      <c r="AL21" s="120">
        <v>95</v>
      </c>
      <c r="AM21" s="120">
        <v>97</v>
      </c>
      <c r="AN21" s="120">
        <v>98</v>
      </c>
    </row>
    <row r="22" spans="2:50" x14ac:dyDescent="0.25">
      <c r="B22" s="2" t="s">
        <v>464</v>
      </c>
      <c r="C22" s="3"/>
      <c r="D22" s="77">
        <f>MAX(_xlfn.ANCHORARRAY(E22))</f>
        <v>88.785593969318214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86.199605795454545</v>
      </c>
      <c r="F22" s="78">
        <v>86.199605795454545</v>
      </c>
      <c r="G22" s="78">
        <v>86.199605795454559</v>
      </c>
      <c r="H22" s="78">
        <v>86.199605795454545</v>
      </c>
      <c r="I22" s="78">
        <v>86.199605795454545</v>
      </c>
      <c r="J22" s="78">
        <v>86.199605795454545</v>
      </c>
      <c r="K22" s="78">
        <v>86.199605795454545</v>
      </c>
      <c r="L22" s="78">
        <v>86.199605795454573</v>
      </c>
      <c r="M22" s="78">
        <v>86.199605795454559</v>
      </c>
      <c r="N22" s="78">
        <v>86.199605795454545</v>
      </c>
      <c r="O22" s="78">
        <v>86.199605795454545</v>
      </c>
      <c r="P22" s="78">
        <v>86.199605795454545</v>
      </c>
      <c r="Q22" s="78">
        <v>88.785593969318199</v>
      </c>
      <c r="R22" s="78">
        <v>88.785593969318199</v>
      </c>
      <c r="S22" s="78">
        <v>88.785593969318199</v>
      </c>
      <c r="T22" s="78">
        <v>88.785593969318214</v>
      </c>
      <c r="U22" s="78">
        <v>88.785593969318185</v>
      </c>
      <c r="V22" s="78">
        <v>88.785593969318199</v>
      </c>
      <c r="W22" s="78">
        <v>88.785593969318185</v>
      </c>
      <c r="X22" s="78">
        <v>88.785593969318185</v>
      </c>
      <c r="Y22" s="78">
        <v>88.785593969318199</v>
      </c>
      <c r="Z22" s="78">
        <v>88.785593969318199</v>
      </c>
      <c r="AA22" s="78">
        <v>88.785593969318185</v>
      </c>
      <c r="AB22" s="78">
        <v>88.785593969318185</v>
      </c>
      <c r="AC22" s="78">
        <v>88.785593969318214</v>
      </c>
      <c r="AD22" s="78">
        <v>88.785593969318199</v>
      </c>
      <c r="AE22" s="78">
        <v>88.785593969318214</v>
      </c>
      <c r="AF22" s="78">
        <v>88.785593969318185</v>
      </c>
      <c r="AG22" s="78">
        <v>88.785593969318199</v>
      </c>
      <c r="AH22" s="78">
        <v>88.785593969318199</v>
      </c>
      <c r="AI22" s="78">
        <v>88.785593969318214</v>
      </c>
      <c r="AJ22" s="78">
        <v>88.785593969318185</v>
      </c>
      <c r="AK22" s="78">
        <v>88.785593969318185</v>
      </c>
      <c r="AL22" s="78">
        <v>88.785593969318199</v>
      </c>
      <c r="AM22" s="78">
        <v>88.785593969318214</v>
      </c>
      <c r="AN22" s="78">
        <v>88.785593969318199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5111.04</v>
      </c>
      <c r="F23" s="52">
        <v>5265.9199999999992</v>
      </c>
      <c r="G23" s="52">
        <v>5369.1733333333332</v>
      </c>
      <c r="H23" s="52">
        <v>5524.0533333333333</v>
      </c>
      <c r="I23" s="52">
        <v>5678.9333333333334</v>
      </c>
      <c r="J23" s="52">
        <v>5833.8133333333326</v>
      </c>
      <c r="K23" s="52">
        <v>5937.0666666666666</v>
      </c>
      <c r="L23" s="52">
        <v>6091.9466666666658</v>
      </c>
      <c r="M23" s="52">
        <v>6246.8266666666659</v>
      </c>
      <c r="N23" s="52">
        <v>6401.706666666666</v>
      </c>
      <c r="O23" s="52">
        <v>6504.96</v>
      </c>
      <c r="P23" s="52">
        <v>6659.8399999999992</v>
      </c>
      <c r="Q23" s="52">
        <v>6814.7199999999993</v>
      </c>
      <c r="R23" s="52">
        <v>6969.5999999999985</v>
      </c>
      <c r="S23" s="52">
        <v>7072.8533333333326</v>
      </c>
      <c r="T23" s="52">
        <v>7227.7333333333327</v>
      </c>
      <c r="U23" s="52">
        <v>7382.6133333333328</v>
      </c>
      <c r="V23" s="52">
        <v>7537.4933333333329</v>
      </c>
      <c r="W23" s="52">
        <v>7640.746666666666</v>
      </c>
      <c r="X23" s="52">
        <v>7795.6266666666661</v>
      </c>
      <c r="Y23" s="52">
        <v>7950.5066666666653</v>
      </c>
      <c r="Z23" s="52">
        <v>8105.3866666666663</v>
      </c>
      <c r="AA23" s="52">
        <v>8260.2666666666664</v>
      </c>
      <c r="AB23" s="52">
        <v>8363.5199999999986</v>
      </c>
      <c r="AC23" s="52">
        <v>8518.4</v>
      </c>
      <c r="AD23" s="52">
        <v>8673.2799999999988</v>
      </c>
      <c r="AE23" s="52">
        <v>8828.159999999998</v>
      </c>
      <c r="AF23" s="52">
        <v>8931.4133333333339</v>
      </c>
      <c r="AG23" s="52">
        <v>9086.2933333333331</v>
      </c>
      <c r="AH23" s="52">
        <v>9241.1733333333323</v>
      </c>
      <c r="AI23" s="52">
        <v>9396.0533333333333</v>
      </c>
      <c r="AJ23" s="52">
        <v>9499.3066666666655</v>
      </c>
      <c r="AK23" s="52">
        <v>9654.1866666666665</v>
      </c>
      <c r="AL23" s="52">
        <v>9809.0666666666657</v>
      </c>
      <c r="AM23" s="52">
        <v>9963.9466666666649</v>
      </c>
      <c r="AN23" s="52">
        <v>10067.199999999999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371741.75489879999</v>
      </c>
      <c r="F26" s="12">
        <v>383006.65656239999</v>
      </c>
      <c r="G26" s="12">
        <v>390516.59100480005</v>
      </c>
      <c r="H26" s="12">
        <v>401781.49266839999</v>
      </c>
      <c r="I26" s="12">
        <v>413046.394332</v>
      </c>
      <c r="J26" s="12">
        <v>424311.2959956</v>
      </c>
      <c r="K26" s="12">
        <v>431821.230438</v>
      </c>
      <c r="L26" s="12">
        <v>443086.1321016</v>
      </c>
      <c r="M26" s="12">
        <v>454351.0337652</v>
      </c>
      <c r="N26" s="12">
        <v>465615.93542879994</v>
      </c>
      <c r="O26" s="12">
        <v>473125.8698712</v>
      </c>
      <c r="P26" s="12">
        <v>484390.77153479995</v>
      </c>
      <c r="Q26" s="12">
        <v>510525.34339435201</v>
      </c>
      <c r="R26" s="12">
        <v>522128.19210786</v>
      </c>
      <c r="S26" s="12">
        <v>529863.42458353192</v>
      </c>
      <c r="T26" s="12">
        <v>541466.27329704002</v>
      </c>
      <c r="U26" s="12">
        <v>553069.12201054802</v>
      </c>
      <c r="V26" s="12">
        <v>564671.97072405601</v>
      </c>
      <c r="W26" s="12">
        <v>572407.20319972793</v>
      </c>
      <c r="X26" s="12">
        <v>584010.05191323604</v>
      </c>
      <c r="Y26" s="12">
        <v>595612.90062674403</v>
      </c>
      <c r="Z26" s="12">
        <v>607215.74934025202</v>
      </c>
      <c r="AA26" s="12">
        <v>618818.5980537599</v>
      </c>
      <c r="AB26" s="12">
        <v>626553.83052943193</v>
      </c>
      <c r="AC26" s="12">
        <v>638156.67924294015</v>
      </c>
      <c r="AD26" s="12">
        <v>649759.52795644803</v>
      </c>
      <c r="AE26" s="12">
        <v>661362.37666995602</v>
      </c>
      <c r="AF26" s="12">
        <v>669097.60914562806</v>
      </c>
      <c r="AG26" s="12">
        <v>680700.45785913593</v>
      </c>
      <c r="AH26" s="12">
        <v>692303.30657264404</v>
      </c>
      <c r="AI26" s="12">
        <v>703906.15528615215</v>
      </c>
      <c r="AJ26" s="12">
        <v>711641.38776182395</v>
      </c>
      <c r="AK26" s="12">
        <v>723244.23647533206</v>
      </c>
      <c r="AL26" s="12">
        <v>734847.08518883993</v>
      </c>
      <c r="AM26" s="12">
        <v>746449.93390234804</v>
      </c>
      <c r="AN26" s="12">
        <v>754185.16637802008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75073.768941600007</v>
      </c>
      <c r="F28" s="12">
        <v>77348.731636800003</v>
      </c>
      <c r="G28" s="12">
        <v>78865.373433600005</v>
      </c>
      <c r="H28" s="12">
        <v>81140.336128800001</v>
      </c>
      <c r="I28" s="12">
        <v>83415.298823999998</v>
      </c>
      <c r="J28" s="12">
        <v>85690.261519200008</v>
      </c>
      <c r="K28" s="12">
        <v>87206.903315999996</v>
      </c>
      <c r="L28" s="12">
        <v>89481.866011200007</v>
      </c>
      <c r="M28" s="12">
        <v>91756.828706400003</v>
      </c>
      <c r="N28" s="12">
        <v>94031.7914016</v>
      </c>
      <c r="O28" s="12">
        <v>95548.433198399987</v>
      </c>
      <c r="P28" s="12">
        <v>97823.395893600013</v>
      </c>
      <c r="Q28" s="12">
        <v>103101.309346464</v>
      </c>
      <c r="R28" s="12">
        <v>105444.52092252001</v>
      </c>
      <c r="S28" s="12">
        <v>107006.66197322402</v>
      </c>
      <c r="T28" s="12">
        <v>109349.87354928</v>
      </c>
      <c r="U28" s="12">
        <v>111693.08512533599</v>
      </c>
      <c r="V28" s="12">
        <v>114036.296701392</v>
      </c>
      <c r="W28" s="12">
        <v>115598.43775209601</v>
      </c>
      <c r="X28" s="12">
        <v>117941.64932815201</v>
      </c>
      <c r="Y28" s="12">
        <v>120284.86090420801</v>
      </c>
      <c r="Z28" s="12">
        <v>122628.07248026399</v>
      </c>
      <c r="AA28" s="12">
        <v>124971.28405631999</v>
      </c>
      <c r="AB28" s="12">
        <v>126533.425107024</v>
      </c>
      <c r="AC28" s="12">
        <v>128876.63668308</v>
      </c>
      <c r="AD28" s="12">
        <v>131219.84825913602</v>
      </c>
      <c r="AE28" s="12">
        <v>133563.05983519202</v>
      </c>
      <c r="AF28" s="12">
        <v>135125.20088589599</v>
      </c>
      <c r="AG28" s="12">
        <v>137468.41246195202</v>
      </c>
      <c r="AH28" s="12">
        <v>139811.62403800801</v>
      </c>
      <c r="AI28" s="12">
        <v>142154.83561406401</v>
      </c>
      <c r="AJ28" s="12">
        <v>143716.97666476798</v>
      </c>
      <c r="AK28" s="12">
        <v>146060.18824082401</v>
      </c>
      <c r="AL28" s="12">
        <v>148403.39981688</v>
      </c>
      <c r="AM28" s="12">
        <v>150746.611392936</v>
      </c>
      <c r="AN28" s="12">
        <v>152308.75244364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8495.6707440000009</v>
      </c>
      <c r="F29" s="12">
        <v>8753.1153119999999</v>
      </c>
      <c r="G29" s="12">
        <v>8924.7450239999998</v>
      </c>
      <c r="H29" s="12">
        <v>9182.1895920000006</v>
      </c>
      <c r="I29" s="12">
        <v>9439.6341599999996</v>
      </c>
      <c r="J29" s="12">
        <v>9697.0787279999986</v>
      </c>
      <c r="K29" s="12">
        <v>9868.7084400000003</v>
      </c>
      <c r="L29" s="12">
        <v>10126.153008000001</v>
      </c>
      <c r="M29" s="12">
        <v>10383.597576</v>
      </c>
      <c r="N29" s="12">
        <v>10641.042143999999</v>
      </c>
      <c r="O29" s="12">
        <v>10812.671855999999</v>
      </c>
      <c r="P29" s="12">
        <v>11070.116423999998</v>
      </c>
      <c r="Q29" s="12">
        <v>11667.387821759999</v>
      </c>
      <c r="R29" s="12">
        <v>11932.555726799999</v>
      </c>
      <c r="S29" s="12">
        <v>12109.334330159998</v>
      </c>
      <c r="T29" s="12">
        <v>12374.502235199998</v>
      </c>
      <c r="U29" s="12">
        <v>12639.670140240001</v>
      </c>
      <c r="V29" s="12">
        <v>12904.838045279999</v>
      </c>
      <c r="W29" s="12">
        <v>13081.616648640002</v>
      </c>
      <c r="X29" s="12">
        <v>13346.78455368</v>
      </c>
      <c r="Y29" s="12">
        <v>13611.952458719999</v>
      </c>
      <c r="Z29" s="12">
        <v>13877.120363759999</v>
      </c>
      <c r="AA29" s="12">
        <v>14142.288268800001</v>
      </c>
      <c r="AB29" s="12">
        <v>14319.066872159998</v>
      </c>
      <c r="AC29" s="12">
        <v>14584.234777199998</v>
      </c>
      <c r="AD29" s="12">
        <v>14849.402682239999</v>
      </c>
      <c r="AE29" s="12">
        <v>15114.570587279999</v>
      </c>
      <c r="AF29" s="12">
        <v>15291.34919064</v>
      </c>
      <c r="AG29" s="12">
        <v>15556.517095679998</v>
      </c>
      <c r="AH29" s="12">
        <v>15821.685000719999</v>
      </c>
      <c r="AI29" s="12">
        <v>16086.852905760001</v>
      </c>
      <c r="AJ29" s="12">
        <v>16263.631509120001</v>
      </c>
      <c r="AK29" s="12">
        <v>16528.799414159999</v>
      </c>
      <c r="AL29" s="12">
        <v>16793.967319200001</v>
      </c>
      <c r="AM29" s="12">
        <v>17059.135224239999</v>
      </c>
      <c r="AN29" s="12">
        <v>17235.913827599998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15297.277248</v>
      </c>
      <c r="F30" s="12">
        <v>15760.831103999999</v>
      </c>
      <c r="G30" s="12">
        <v>16069.867008000001</v>
      </c>
      <c r="H30" s="12">
        <v>16533.420864</v>
      </c>
      <c r="I30" s="12">
        <v>16996.974720000002</v>
      </c>
      <c r="J30" s="12">
        <v>17460.528576000001</v>
      </c>
      <c r="K30" s="12">
        <v>17769.564480000001</v>
      </c>
      <c r="L30" s="12">
        <v>18233.118336</v>
      </c>
      <c r="M30" s="12">
        <v>18696.672191999998</v>
      </c>
      <c r="N30" s="12">
        <v>19160.226048</v>
      </c>
      <c r="O30" s="12">
        <v>19469.261951999997</v>
      </c>
      <c r="P30" s="12">
        <v>19932.815808000003</v>
      </c>
      <c r="Q30" s="12">
        <v>21008.26075392</v>
      </c>
      <c r="R30" s="12">
        <v>21485.721225600002</v>
      </c>
      <c r="S30" s="12">
        <v>21804.028206719999</v>
      </c>
      <c r="T30" s="12">
        <v>22281.488678400005</v>
      </c>
      <c r="U30" s="12">
        <v>22758.949150080003</v>
      </c>
      <c r="V30" s="12">
        <v>23236.409621759998</v>
      </c>
      <c r="W30" s="12">
        <v>23554.716602879998</v>
      </c>
      <c r="X30" s="12">
        <v>24032.177074560001</v>
      </c>
      <c r="Y30" s="12">
        <v>24509.637546240003</v>
      </c>
      <c r="Z30" s="12">
        <v>24987.098017920001</v>
      </c>
      <c r="AA30" s="12">
        <v>25464.5584896</v>
      </c>
      <c r="AB30" s="12">
        <v>25782.86547072</v>
      </c>
      <c r="AC30" s="12">
        <v>26260.325942399999</v>
      </c>
      <c r="AD30" s="12">
        <v>26737.786414080001</v>
      </c>
      <c r="AE30" s="12">
        <v>27215.24688576</v>
      </c>
      <c r="AF30" s="12">
        <v>27533.553866880004</v>
      </c>
      <c r="AG30" s="12">
        <v>28011.014338559999</v>
      </c>
      <c r="AH30" s="12">
        <v>28488.474810240001</v>
      </c>
      <c r="AI30" s="12">
        <v>28965.935281919999</v>
      </c>
      <c r="AJ30" s="12">
        <v>29284.242263040003</v>
      </c>
      <c r="AK30" s="12">
        <v>29761.702734719998</v>
      </c>
      <c r="AL30" s="12">
        <v>30239.163206399997</v>
      </c>
      <c r="AM30" s="12">
        <v>30716.623678079999</v>
      </c>
      <c r="AN30" s="12">
        <v>31034.930659199999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-56473.016619887996</v>
      </c>
      <c r="F35" s="12">
        <v>-58184.320153823988</v>
      </c>
      <c r="G35" s="12">
        <v>-59325.18917644801</v>
      </c>
      <c r="H35" s="12">
        <v>-61036.492710383995</v>
      </c>
      <c r="I35" s="12">
        <v>-62747.796244320001</v>
      </c>
      <c r="J35" s="12">
        <v>-64459.099778255993</v>
      </c>
      <c r="K35" s="12">
        <v>-65599.96880088</v>
      </c>
      <c r="L35" s="12">
        <v>-67311.272334816007</v>
      </c>
      <c r="M35" s="12">
        <v>-69022.575868751999</v>
      </c>
      <c r="N35" s="12">
        <v>-70733.879402687991</v>
      </c>
      <c r="O35" s="12">
        <v>-71874.748425311991</v>
      </c>
      <c r="P35" s="12">
        <v>-73586.051959247998</v>
      </c>
      <c r="Q35" s="12">
        <v>-77556.276157979519</v>
      </c>
      <c r="R35" s="12">
        <v>-79318.918797933598</v>
      </c>
      <c r="S35" s="12">
        <v>-80494.013891236318</v>
      </c>
      <c r="T35" s="12">
        <v>-82256.656531190412</v>
      </c>
      <c r="U35" s="12">
        <v>-84019.299171144477</v>
      </c>
      <c r="V35" s="12">
        <v>-85781.941811098557</v>
      </c>
      <c r="W35" s="12">
        <v>-86957.036904401277</v>
      </c>
      <c r="X35" s="12">
        <v>-88719.679544355342</v>
      </c>
      <c r="Y35" s="12">
        <v>-90482.322184309436</v>
      </c>
      <c r="Z35" s="12">
        <v>-92244.96482426353</v>
      </c>
      <c r="AA35" s="12">
        <v>-94007.607464217581</v>
      </c>
      <c r="AB35" s="12">
        <v>-95182.702557520301</v>
      </c>
      <c r="AC35" s="12">
        <v>-96945.345197474424</v>
      </c>
      <c r="AD35" s="12">
        <v>-98707.987837428489</v>
      </c>
      <c r="AE35" s="12">
        <v>-100470.63047738255</v>
      </c>
      <c r="AF35" s="12">
        <v>-101645.72557068529</v>
      </c>
      <c r="AG35" s="12">
        <v>-103408.36821063937</v>
      </c>
      <c r="AH35" s="12">
        <v>-105171.01085059343</v>
      </c>
      <c r="AI35" s="12">
        <v>-106933.65349054754</v>
      </c>
      <c r="AJ35" s="12">
        <v>-108108.74858385023</v>
      </c>
      <c r="AK35" s="12">
        <v>-109871.39122380431</v>
      </c>
      <c r="AL35" s="12">
        <v>-111634.03386375839</v>
      </c>
      <c r="AM35" s="12">
        <v>-113396.67650371249</v>
      </c>
      <c r="AN35" s="12">
        <v>-114571.77159701519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414135.455212512</v>
      </c>
      <c r="F37" s="13">
        <v>426685.01446137595</v>
      </c>
      <c r="G37" s="13">
        <v>435051.38729395205</v>
      </c>
      <c r="H37" s="13">
        <v>447600.94654281595</v>
      </c>
      <c r="I37" s="13">
        <v>460150.50579168001</v>
      </c>
      <c r="J37" s="13">
        <v>472700.06504054397</v>
      </c>
      <c r="K37" s="13">
        <v>481066.43787311995</v>
      </c>
      <c r="L37" s="13">
        <v>493615.99712198408</v>
      </c>
      <c r="M37" s="13">
        <v>506165.55637084809</v>
      </c>
      <c r="N37" s="13">
        <v>518715.11561971193</v>
      </c>
      <c r="O37" s="13">
        <v>527081.48845228797</v>
      </c>
      <c r="P37" s="13">
        <v>539631.04770115193</v>
      </c>
      <c r="Q37" s="13">
        <v>568746.02515851648</v>
      </c>
      <c r="R37" s="13">
        <v>581672.07118484634</v>
      </c>
      <c r="S37" s="13">
        <v>590289.43520239973</v>
      </c>
      <c r="T37" s="13">
        <v>603215.48122872971</v>
      </c>
      <c r="U37" s="13">
        <v>616141.52725505945</v>
      </c>
      <c r="V37" s="13">
        <v>629067.57328138943</v>
      </c>
      <c r="W37" s="13">
        <v>637684.93729894271</v>
      </c>
      <c r="X37" s="13">
        <v>650610.98332527257</v>
      </c>
      <c r="Y37" s="13">
        <v>663537.02935160254</v>
      </c>
      <c r="Z37" s="13">
        <v>676463.07537793252</v>
      </c>
      <c r="AA37" s="13">
        <v>689389.12140426226</v>
      </c>
      <c r="AB37" s="13">
        <v>698006.48542181565</v>
      </c>
      <c r="AC37" s="13">
        <v>710932.53144814575</v>
      </c>
      <c r="AD37" s="13">
        <v>723858.57747447561</v>
      </c>
      <c r="AE37" s="13">
        <v>736784.62350080546</v>
      </c>
      <c r="AF37" s="13">
        <v>745401.98751835874</v>
      </c>
      <c r="AG37" s="13">
        <v>758328.03354468872</v>
      </c>
      <c r="AH37" s="13">
        <v>771254.07957101858</v>
      </c>
      <c r="AI37" s="13">
        <v>784180.12559734867</v>
      </c>
      <c r="AJ37" s="13">
        <v>792797.48961490171</v>
      </c>
      <c r="AK37" s="13">
        <v>805723.53564123169</v>
      </c>
      <c r="AL37" s="13">
        <v>818649.58166756155</v>
      </c>
      <c r="AM37" s="13">
        <v>831575.62769389153</v>
      </c>
      <c r="AN37" s="13">
        <v>840192.9917114448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180399.9798717605</v>
      </c>
      <c r="F40" s="12">
        <v>185063.77534329536</v>
      </c>
      <c r="G40" s="12">
        <v>188215.82787987409</v>
      </c>
      <c r="H40" s="12">
        <v>192902.82335140897</v>
      </c>
      <c r="I40" s="12">
        <v>197589.81882294378</v>
      </c>
      <c r="J40" s="12">
        <v>202458.70962503416</v>
      </c>
      <c r="K40" s="12">
        <v>205475.4288282796</v>
      </c>
      <c r="L40" s="12">
        <v>210297.75763314779</v>
      </c>
      <c r="M40" s="12">
        <v>214984.75310468263</v>
      </c>
      <c r="N40" s="12">
        <v>219648.54857621744</v>
      </c>
      <c r="O40" s="12">
        <v>222853.76777946285</v>
      </c>
      <c r="P40" s="12">
        <v>227504.19191488661</v>
      </c>
      <c r="Q40" s="12">
        <v>255410.30612506359</v>
      </c>
      <c r="R40" s="12">
        <v>260598.9644770853</v>
      </c>
      <c r="S40" s="12">
        <v>264066.22226732189</v>
      </c>
      <c r="T40" s="12">
        <v>269163.43395267689</v>
      </c>
      <c r="U40" s="12">
        <v>274544.73383497633</v>
      </c>
      <c r="V40" s="12">
        <v>279733.39218699798</v>
      </c>
      <c r="W40" s="12">
        <v>283200.6499772346</v>
      </c>
      <c r="X40" s="12">
        <v>288297.86166258954</v>
      </c>
      <c r="Y40" s="12">
        <v>293453.55668127793</v>
      </c>
      <c r="Z40" s="12">
        <v>298660.46989691071</v>
      </c>
      <c r="AA40" s="12">
        <v>303757.68158226565</v>
      </c>
      <c r="AB40" s="12">
        <v>307224.93937250233</v>
      </c>
      <c r="AC40" s="12">
        <v>343618.69783030968</v>
      </c>
      <c r="AD40" s="12">
        <v>349554.30701753352</v>
      </c>
      <c r="AE40" s="12">
        <v>355181.32022139622</v>
      </c>
      <c r="AF40" s="12">
        <v>358995.30379065656</v>
      </c>
      <c r="AG40" s="12">
        <v>364666.56831121369</v>
      </c>
      <c r="AH40" s="12">
        <v>370438.42416510417</v>
      </c>
      <c r="AI40" s="12">
        <v>375981.02535232797</v>
      </c>
      <c r="AJ40" s="12">
        <v>379815.08927156054</v>
      </c>
      <c r="AK40" s="12">
        <v>385486.35379211768</v>
      </c>
      <c r="AL40" s="12">
        <v>391258.20964600809</v>
      </c>
      <c r="AM40" s="12">
        <v>397028.89583323197</v>
      </c>
      <c r="AN40" s="12">
        <v>400679.12606915901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1832.9536000000001</v>
      </c>
      <c r="F44" s="12">
        <v>1846.4312000000002</v>
      </c>
      <c r="G44" s="12">
        <v>1859.9087999999999</v>
      </c>
      <c r="H44" s="12">
        <v>1880.1251999999997</v>
      </c>
      <c r="I44" s="12">
        <v>1900.3416000000002</v>
      </c>
      <c r="J44" s="12">
        <v>1920.558</v>
      </c>
      <c r="K44" s="12">
        <v>1930.6662000000001</v>
      </c>
      <c r="L44" s="12">
        <v>1954.2520000000002</v>
      </c>
      <c r="M44" s="12">
        <v>1974.4684000000002</v>
      </c>
      <c r="N44" s="12">
        <v>1987.9460000000001</v>
      </c>
      <c r="O44" s="12">
        <v>2004.7929999999997</v>
      </c>
      <c r="P44" s="12">
        <v>2021.6399999999999</v>
      </c>
      <c r="Q44" s="12">
        <v>2123.5306559999999</v>
      </c>
      <c r="R44" s="12">
        <v>2141.0515359999999</v>
      </c>
      <c r="S44" s="12">
        <v>2155.0682400000001</v>
      </c>
      <c r="T44" s="12">
        <v>2172.5891200000005</v>
      </c>
      <c r="U44" s="12">
        <v>2200.6225279999999</v>
      </c>
      <c r="V44" s="12">
        <v>2218.1434079999999</v>
      </c>
      <c r="W44" s="12">
        <v>2232.1601119999996</v>
      </c>
      <c r="X44" s="12">
        <v>2249.6809920000001</v>
      </c>
      <c r="Y44" s="12">
        <v>2270.706048</v>
      </c>
      <c r="Z44" s="12">
        <v>2288.226928</v>
      </c>
      <c r="AA44" s="12">
        <v>2305.7478079999996</v>
      </c>
      <c r="AB44" s="12">
        <v>2319.7645120000002</v>
      </c>
      <c r="AC44" s="12">
        <v>2434.4211507200007</v>
      </c>
      <c r="AD44" s="12">
        <v>2459.9315520000005</v>
      </c>
      <c r="AE44" s="12">
        <v>2478.1532672000008</v>
      </c>
      <c r="AF44" s="12">
        <v>2492.7306393600006</v>
      </c>
      <c r="AG44" s="12">
        <v>2514.5966976000004</v>
      </c>
      <c r="AH44" s="12">
        <v>2536.4627558400002</v>
      </c>
      <c r="AI44" s="12">
        <v>2551.0401280000005</v>
      </c>
      <c r="AJ44" s="12">
        <v>2565.6175001600009</v>
      </c>
      <c r="AK44" s="12">
        <v>2587.4835584000007</v>
      </c>
      <c r="AL44" s="12">
        <v>2609.34961664</v>
      </c>
      <c r="AM44" s="12">
        <v>2631.2156748800007</v>
      </c>
      <c r="AN44" s="12">
        <v>2642.1487040000002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28914.999999999996</v>
      </c>
      <c r="F46" s="12">
        <v>29690</v>
      </c>
      <c r="G46" s="12">
        <v>30210</v>
      </c>
      <c r="H46" s="12">
        <v>30990</v>
      </c>
      <c r="I46" s="12">
        <v>31770</v>
      </c>
      <c r="J46" s="12">
        <v>32560</v>
      </c>
      <c r="K46" s="12">
        <v>33075</v>
      </c>
      <c r="L46" s="12">
        <v>33860.000000000007</v>
      </c>
      <c r="M46" s="12">
        <v>34639.999999999993</v>
      </c>
      <c r="N46" s="12">
        <v>35415</v>
      </c>
      <c r="O46" s="12">
        <v>35940.000000000015</v>
      </c>
      <c r="P46" s="12">
        <v>36719.999999999993</v>
      </c>
      <c r="Q46" s="12">
        <v>38249.999999999993</v>
      </c>
      <c r="R46" s="12">
        <v>39045.599999999999</v>
      </c>
      <c r="S46" s="12">
        <v>39575.999999999985</v>
      </c>
      <c r="T46" s="12">
        <v>40366.5</v>
      </c>
      <c r="U46" s="12">
        <v>41177.399999999987</v>
      </c>
      <c r="V46" s="12">
        <v>41973</v>
      </c>
      <c r="W46" s="12">
        <v>42503.399999999987</v>
      </c>
      <c r="X46" s="12">
        <v>43293.9</v>
      </c>
      <c r="Y46" s="12">
        <v>44089.5</v>
      </c>
      <c r="Z46" s="12">
        <v>44890.2</v>
      </c>
      <c r="AA46" s="12">
        <v>45680.7</v>
      </c>
      <c r="AB46" s="12">
        <v>46211.100000000006</v>
      </c>
      <c r="AC46" s="12">
        <v>47946.83400000001</v>
      </c>
      <c r="AD46" s="12">
        <v>48768.750000000007</v>
      </c>
      <c r="AE46" s="12">
        <v>49580.26200000001</v>
      </c>
      <c r="AF46" s="12">
        <v>50121.270000000011</v>
      </c>
      <c r="AG46" s="12">
        <v>50932.782000000007</v>
      </c>
      <c r="AH46" s="12">
        <v>51749.496000000014</v>
      </c>
      <c r="AI46" s="12">
        <v>52550.604000000014</v>
      </c>
      <c r="AJ46" s="12">
        <v>53096.813999999998</v>
      </c>
      <c r="AK46" s="12">
        <v>53908.326000000008</v>
      </c>
      <c r="AL46" s="12">
        <v>54725.040000000015</v>
      </c>
      <c r="AM46" s="12">
        <v>55536.552000000011</v>
      </c>
      <c r="AN46" s="12">
        <v>56072.358000000015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96115.843882188128</v>
      </c>
      <c r="F49" s="12">
        <f>'Corp.'!F$50*(F$37-(F31-F32-F34)*$C$35)/(SUM('MDA1:NCA9'!F$37)-SUM('MDA1:NCA9'!F$31)-SUM('MDA1:NCA9'!F$32)-SUM('MDA1:NCA9'!F$34))</f>
        <v>93100.469456529885</v>
      </c>
      <c r="G49" s="12">
        <f>'Corp.'!G$50*(G$37-(G31-G32-G34)*$C$35)/(SUM('MDA1:NCA9'!G$37)-SUM('MDA1:NCA9'!G$31)-SUM('MDA1:NCA9'!G$32)-SUM('MDA1:NCA9'!G$34))</f>
        <v>86534.486273958639</v>
      </c>
      <c r="H49" s="12">
        <f>'Corp.'!H$50*(H$37-(H31-H32-H34)*$C$35)/(SUM('MDA1:NCA9'!H$37)-SUM('MDA1:NCA9'!H$31)-SUM('MDA1:NCA9'!H$32)-SUM('MDA1:NCA9'!H$34))</f>
        <v>81568.682446388819</v>
      </c>
      <c r="I49" s="12">
        <f>'Corp.'!I$50*(I$37-(I31-I32-I34)*$C$35)/(SUM('MDA1:NCA9'!I$37)-SUM('MDA1:NCA9'!I$31)-SUM('MDA1:NCA9'!I$32)-SUM('MDA1:NCA9'!I$34))</f>
        <v>79041.279536011076</v>
      </c>
      <c r="J49" s="12">
        <f>'Corp.'!J$50*(J$37-(J31-J32-J34)*$C$35)/(SUM('MDA1:NCA9'!J$37)-SUM('MDA1:NCA9'!J$31)-SUM('MDA1:NCA9'!J$32)-SUM('MDA1:NCA9'!J$34))</f>
        <v>76047.529135256089</v>
      </c>
      <c r="K49" s="12">
        <f>'Corp.'!K$50*(K$37-(K31-K32-K34)*$C$35)/(SUM('MDA1:NCA9'!K$37)-SUM('MDA1:NCA9'!K$31)-SUM('MDA1:NCA9'!K$32)-SUM('MDA1:NCA9'!K$34))</f>
        <v>71268.37252397972</v>
      </c>
      <c r="L49" s="12">
        <f>'Corp.'!L$50*(L$37-(L31-L32-L34)*$C$35)/(SUM('MDA1:NCA9'!L$37)-SUM('MDA1:NCA9'!L$31)-SUM('MDA1:NCA9'!L$32)-SUM('MDA1:NCA9'!L$34))</f>
        <v>69219.27829071226</v>
      </c>
      <c r="M49" s="12">
        <f>'Corp.'!M$50*(M$37-(M31-M32-M34)*$C$35)/(SUM('MDA1:NCA9'!M$37)-SUM('MDA1:NCA9'!M$31)-SUM('MDA1:NCA9'!M$32)-SUM('MDA1:NCA9'!M$34))</f>
        <v>66667.363477951745</v>
      </c>
      <c r="N49" s="12">
        <f>'Corp.'!N$50*(N$37-(N31-N32-N34)*$C$35)/(SUM('MDA1:NCA9'!N$37)-SUM('MDA1:NCA9'!N$31)-SUM('MDA1:NCA9'!N$32)-SUM('MDA1:NCA9'!N$34))</f>
        <v>64528.189784992472</v>
      </c>
      <c r="O49" s="12">
        <f>'Corp.'!O$50*(O$37-(O31-O32-O34)*$C$35)/(SUM('MDA1:NCA9'!O$37)-SUM('MDA1:NCA9'!O$31)-SUM('MDA1:NCA9'!O$32)-SUM('MDA1:NCA9'!O$34))</f>
        <v>61526.399020953824</v>
      </c>
      <c r="P49" s="12">
        <f>'Corp.'!P$50*(P$37-(P31-P32-P34)*$C$35)/(SUM('MDA1:NCA9'!P$37)-SUM('MDA1:NCA9'!P$31)-SUM('MDA1:NCA9'!P$32)-SUM('MDA1:NCA9'!P$34))</f>
        <v>59600.946988112737</v>
      </c>
      <c r="Q49" s="12">
        <f>'Corp.'!Q$50*(Q$37-(Q31-Q32-Q34)*$C$35)/(SUM('MDA1:NCA9'!Q$37)-SUM('MDA1:NCA9'!Q$31)-SUM('MDA1:NCA9'!Q$32)-SUM('MDA1:NCA9'!Q$34))</f>
        <v>63747.400873433857</v>
      </c>
      <c r="R49" s="12">
        <f>'Corp.'!R$50*(R$37-(R31-R32-R34)*$C$35)/(SUM('MDA1:NCA9'!R$37)-SUM('MDA1:NCA9'!R$31)-SUM('MDA1:NCA9'!R$32)-SUM('MDA1:NCA9'!R$34))</f>
        <v>62851.507302130289</v>
      </c>
      <c r="S49" s="12">
        <f>'Corp.'!S$50*(S$37-(S31-S32-S34)*$C$35)/(SUM('MDA1:NCA9'!S$37)-SUM('MDA1:NCA9'!S$31)-SUM('MDA1:NCA9'!S$32)-SUM('MDA1:NCA9'!S$34))</f>
        <v>61148.691319396756</v>
      </c>
      <c r="T49" s="12">
        <f>'Corp.'!T$50*(T$37-(T31-T32-T34)*$C$35)/(SUM('MDA1:NCA9'!T$37)-SUM('MDA1:NCA9'!T$31)-SUM('MDA1:NCA9'!T$32)-SUM('MDA1:NCA9'!T$34))</f>
        <v>60218.10154449031</v>
      </c>
      <c r="U49" s="12">
        <f>'Corp.'!U$50*(U$37-(U31-U32-U34)*$C$35)/(SUM('MDA1:NCA9'!U$37)-SUM('MDA1:NCA9'!U$31)-SUM('MDA1:NCA9'!U$32)-SUM('MDA1:NCA9'!U$34))</f>
        <v>59926.57085144084</v>
      </c>
      <c r="V49" s="12">
        <f>'Corp.'!V$50*(V$37-(V31-V32-V34)*$C$35)/(SUM('MDA1:NCA9'!V$37)-SUM('MDA1:NCA9'!V$31)-SUM('MDA1:NCA9'!V$32)-SUM('MDA1:NCA9'!V$34))</f>
        <v>59873.063760099016</v>
      </c>
      <c r="W49" s="12">
        <f>'Corp.'!W$50*(W$37-(W31-W32-W34)*$C$35)/(SUM('MDA1:NCA9'!W$37)-SUM('MDA1:NCA9'!W$31)-SUM('MDA1:NCA9'!W$32)-SUM('MDA1:NCA9'!W$34))</f>
        <v>58946.389630824029</v>
      </c>
      <c r="X49" s="12">
        <f>'Corp.'!X$50*(X$37-(X31-X32-X34)*$C$35)/(SUM('MDA1:NCA9'!X$37)-SUM('MDA1:NCA9'!X$31)-SUM('MDA1:NCA9'!X$32)-SUM('MDA1:NCA9'!X$34))</f>
        <v>58353.775392472395</v>
      </c>
      <c r="Y49" s="12">
        <f>'Corp.'!Y$50*(Y$37-(Y31-Y32-Y34)*$C$35)/(SUM('MDA1:NCA9'!Y$37)-SUM('MDA1:NCA9'!Y$31)-SUM('MDA1:NCA9'!Y$32)-SUM('MDA1:NCA9'!Y$34))</f>
        <v>58331.938256777321</v>
      </c>
      <c r="Z49" s="12">
        <f>'Corp.'!Z$50*(Z$37-(Z31-Z32-Z34)*$C$35)/(SUM('MDA1:NCA9'!Z$37)-SUM('MDA1:NCA9'!Z$31)-SUM('MDA1:NCA9'!Z$32)-SUM('MDA1:NCA9'!Z$34))</f>
        <v>58263.414387692959</v>
      </c>
      <c r="AA49" s="12">
        <f>'Corp.'!AA$50*(AA$37-(AA31-AA32-AA34)*$C$35)/(SUM('MDA1:NCA9'!AA$37)-SUM('MDA1:NCA9'!AA$31)-SUM('MDA1:NCA9'!AA$32)-SUM('MDA1:NCA9'!AA$34))</f>
        <v>58103.259560065388</v>
      </c>
      <c r="AB49" s="12">
        <f>'Corp.'!AB$50*(AB$37-(AB31-AB32-AB34)*$C$35)/(SUM('MDA1:NCA9'!AB$37)-SUM('MDA1:NCA9'!AB$31)-SUM('MDA1:NCA9'!AB$32)-SUM('MDA1:NCA9'!AB$34))</f>
        <v>57569.247776040269</v>
      </c>
      <c r="AC49" s="12">
        <f>'Corp.'!AC$50*(AC$37-(AC31-AC32-AC34)*$C$35)/(SUM('MDA1:NCA9'!AC$37)-SUM('MDA1:NCA9'!AC$31)-SUM('MDA1:NCA9'!AC$32)-SUM('MDA1:NCA9'!AC$34))</f>
        <v>63451.525261625466</v>
      </c>
      <c r="AD49" s="12">
        <f>'Corp.'!AD$50*(AD$37-(AD31-AD32-AD34)*$C$35)/(SUM('MDA1:NCA9'!AD$37)-SUM('MDA1:NCA9'!AD$31)-SUM('MDA1:NCA9'!AD$32)-SUM('MDA1:NCA9'!AD$34))</f>
        <v>63613.235851677891</v>
      </c>
      <c r="AE49" s="12">
        <f>'Corp.'!AE$50*(AE$37-(AE31-AE32-AE34)*$C$35)/(SUM('MDA1:NCA9'!AE$37)-SUM('MDA1:NCA9'!AE$31)-SUM('MDA1:NCA9'!AE$32)-SUM('MDA1:NCA9'!AE$34))</f>
        <v>63793.320774018022</v>
      </c>
      <c r="AF49" s="12">
        <f>'Corp.'!AF$50*(AF$37-(AF31-AF32-AF34)*$C$35)/(SUM('MDA1:NCA9'!AF$37)-SUM('MDA1:NCA9'!AF$31)-SUM('MDA1:NCA9'!AF$32)-SUM('MDA1:NCA9'!AF$34))</f>
        <v>63630.070758203983</v>
      </c>
      <c r="AG49" s="12">
        <f>'Corp.'!AG$50*(AG$37-(AG31-AG32-AG34)*$C$35)/(SUM('MDA1:NCA9'!AG$37)-SUM('MDA1:NCA9'!AG$31)-SUM('MDA1:NCA9'!AG$32)-SUM('MDA1:NCA9'!AG$34))</f>
        <v>63996.74049534434</v>
      </c>
      <c r="AH49" s="12">
        <f>'Corp.'!AH$50*(AH$37-(AH31-AH32-AH34)*$C$35)/(SUM('MDA1:NCA9'!AH$37)-SUM('MDA1:NCA9'!AH$31)-SUM('MDA1:NCA9'!AH$32)-SUM('MDA1:NCA9'!AH$34))</f>
        <v>64094.210449172082</v>
      </c>
      <c r="AI49" s="12">
        <f>'Corp.'!AI$50*(AI$37-(AI31-AI32-AI34)*$C$35)/(SUM('MDA1:NCA9'!AI$37)-SUM('MDA1:NCA9'!AI$31)-SUM('MDA1:NCA9'!AI$32)-SUM('MDA1:NCA9'!AI$34))</f>
        <v>64121.249367712269</v>
      </c>
      <c r="AJ49" s="12">
        <f>'Corp.'!AJ$50*(AJ$37-(AJ31-AJ32-AJ34)*$C$35)/(SUM('MDA1:NCA9'!AJ$37)-SUM('MDA1:NCA9'!AJ$31)-SUM('MDA1:NCA9'!AJ$32)-SUM('MDA1:NCA9'!AJ$34))</f>
        <v>63732.980310603059</v>
      </c>
      <c r="AK49" s="12">
        <f>'Corp.'!AK$50*(AK$37-(AK31-AK32-AK34)*$C$35)/(SUM('MDA1:NCA9'!AK$37)-SUM('MDA1:NCA9'!AK$31)-SUM('MDA1:NCA9'!AK$32)-SUM('MDA1:NCA9'!AK$34))</f>
        <v>63746.13834885048</v>
      </c>
      <c r="AL49" s="12">
        <f>'Corp.'!AL$50*(AL$37-(AL31-AL32-AL34)*$C$35)/(SUM('MDA1:NCA9'!AL$37)-SUM('MDA1:NCA9'!AL$31)-SUM('MDA1:NCA9'!AL$32)-SUM('MDA1:NCA9'!AL$34))</f>
        <v>63810.605233993483</v>
      </c>
      <c r="AM49" s="12">
        <f>'Corp.'!AM$50*(AM$37-(AM31-AM32-AM34)*$C$35)/(SUM('MDA1:NCA9'!AM$37)-SUM('MDA1:NCA9'!AM$31)-SUM('MDA1:NCA9'!AM$32)-SUM('MDA1:NCA9'!AM$34))</f>
        <v>63768.690500872348</v>
      </c>
      <c r="AN49" s="12">
        <f>'Corp.'!AN$50*(AN$37-(AN31-AN32-AN34)*$C$35)/(SUM('MDA1:NCA9'!AN$37)-SUM('MDA1:NCA9'!AN$31)-SUM('MDA1:NCA9'!AN$32)-SUM('MDA1:NCA9'!AN$34))</f>
        <v>63527.06455577552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305430.82375394861</v>
      </c>
      <c r="F50" s="13">
        <v>307854.24479982525</v>
      </c>
      <c r="G50" s="13">
        <v>304960.31415383273</v>
      </c>
      <c r="H50" s="13">
        <v>305461.50579779781</v>
      </c>
      <c r="I50" s="13">
        <v>308401.09835895489</v>
      </c>
      <c r="J50" s="13">
        <v>311066.23876029026</v>
      </c>
      <c r="K50" s="13">
        <v>309818.80135225935</v>
      </c>
      <c r="L50" s="13">
        <v>313377.03592386004</v>
      </c>
      <c r="M50" s="13">
        <v>316292.11658263439</v>
      </c>
      <c r="N50" s="13">
        <v>319591.73836120992</v>
      </c>
      <c r="O50" s="13">
        <v>320320.16680041666</v>
      </c>
      <c r="P50" s="13">
        <v>323825.13890299934</v>
      </c>
      <c r="Q50" s="13">
        <v>357407.70699849742</v>
      </c>
      <c r="R50" s="13">
        <v>362496.07177921559</v>
      </c>
      <c r="S50" s="13">
        <v>364790.91358671867</v>
      </c>
      <c r="T50" s="13">
        <v>369748.03549716721</v>
      </c>
      <c r="U50" s="13">
        <v>375648.70468641713</v>
      </c>
      <c r="V50" s="13">
        <v>381579.45594709698</v>
      </c>
      <c r="W50" s="13">
        <v>384650.4396080586</v>
      </c>
      <c r="X50" s="13">
        <v>389945.53705506196</v>
      </c>
      <c r="Y50" s="13">
        <v>395874.99493805523</v>
      </c>
      <c r="Z50" s="13">
        <v>401814.08428460371</v>
      </c>
      <c r="AA50" s="13">
        <v>407541.64114233106</v>
      </c>
      <c r="AB50" s="13">
        <v>411005.28714854264</v>
      </c>
      <c r="AC50" s="13">
        <v>455017.05709193519</v>
      </c>
      <c r="AD50" s="13">
        <v>461936.29286921141</v>
      </c>
      <c r="AE50" s="13">
        <v>468554.90299541422</v>
      </c>
      <c r="AF50" s="13">
        <v>472746.64454886055</v>
      </c>
      <c r="AG50" s="13">
        <v>479596.09080655803</v>
      </c>
      <c r="AH50" s="13">
        <v>486282.13061427628</v>
      </c>
      <c r="AI50" s="13">
        <v>492652.8787200402</v>
      </c>
      <c r="AJ50" s="13">
        <v>496644.8835821636</v>
      </c>
      <c r="AK50" s="13">
        <v>503140.81814096816</v>
      </c>
      <c r="AL50" s="13">
        <v>509793.85488000163</v>
      </c>
      <c r="AM50" s="13">
        <v>516334.13833410433</v>
      </c>
      <c r="AN50" s="13">
        <v>520278.54862493451</v>
      </c>
    </row>
    <row r="52" spans="2:40" x14ac:dyDescent="0.25">
      <c r="B52" s="1" t="s">
        <v>50</v>
      </c>
      <c r="E52" s="74">
        <f>E37-E50</f>
        <v>108704.63145856338</v>
      </c>
      <c r="F52" s="74">
        <f t="shared" ref="F52:AN52" si="0">F37-F50</f>
        <v>118830.7696615507</v>
      </c>
      <c r="G52" s="74">
        <f t="shared" si="0"/>
        <v>130091.07314011932</v>
      </c>
      <c r="H52" s="74">
        <f t="shared" si="0"/>
        <v>142139.44074501813</v>
      </c>
      <c r="I52" s="74">
        <f t="shared" si="0"/>
        <v>151749.40743272513</v>
      </c>
      <c r="J52" s="74">
        <f t="shared" si="0"/>
        <v>161633.82628025371</v>
      </c>
      <c r="K52" s="74">
        <f t="shared" si="0"/>
        <v>171247.6365208606</v>
      </c>
      <c r="L52" s="74">
        <f t="shared" si="0"/>
        <v>180238.96119812405</v>
      </c>
      <c r="M52" s="74">
        <f t="shared" si="0"/>
        <v>189873.4397882137</v>
      </c>
      <c r="N52" s="74">
        <f t="shared" si="0"/>
        <v>199123.37725850201</v>
      </c>
      <c r="O52" s="74">
        <f t="shared" si="0"/>
        <v>206761.32165187132</v>
      </c>
      <c r="P52" s="74">
        <f t="shared" si="0"/>
        <v>215805.90879815258</v>
      </c>
      <c r="Q52" s="74">
        <f t="shared" si="0"/>
        <v>211338.31816001906</v>
      </c>
      <c r="R52" s="74">
        <f t="shared" si="0"/>
        <v>219175.99940563075</v>
      </c>
      <c r="S52" s="74">
        <f t="shared" si="0"/>
        <v>225498.52161568106</v>
      </c>
      <c r="T52" s="74">
        <f t="shared" si="0"/>
        <v>233467.4457315625</v>
      </c>
      <c r="U52" s="74">
        <f t="shared" si="0"/>
        <v>240492.82256864232</v>
      </c>
      <c r="V52" s="74">
        <f t="shared" si="0"/>
        <v>247488.11733429244</v>
      </c>
      <c r="W52" s="74">
        <f t="shared" si="0"/>
        <v>253034.49769088411</v>
      </c>
      <c r="X52" s="74">
        <f t="shared" si="0"/>
        <v>260665.44627021061</v>
      </c>
      <c r="Y52" s="74">
        <f t="shared" si="0"/>
        <v>267662.03441354731</v>
      </c>
      <c r="Z52" s="74">
        <f t="shared" si="0"/>
        <v>274648.9910933288</v>
      </c>
      <c r="AA52" s="74">
        <f t="shared" si="0"/>
        <v>281847.4802619312</v>
      </c>
      <c r="AB52" s="74">
        <f t="shared" si="0"/>
        <v>287001.19827327301</v>
      </c>
      <c r="AC52" s="74">
        <f t="shared" si="0"/>
        <v>255915.47435621056</v>
      </c>
      <c r="AD52" s="74">
        <f t="shared" si="0"/>
        <v>261922.2846052642</v>
      </c>
      <c r="AE52" s="74">
        <f t="shared" si="0"/>
        <v>268229.72050539125</v>
      </c>
      <c r="AF52" s="74">
        <f t="shared" si="0"/>
        <v>272655.34296949819</v>
      </c>
      <c r="AG52" s="74">
        <f t="shared" si="0"/>
        <v>278731.94273813069</v>
      </c>
      <c r="AH52" s="74">
        <f t="shared" si="0"/>
        <v>284971.9489567423</v>
      </c>
      <c r="AI52" s="74">
        <f t="shared" si="0"/>
        <v>291527.24687730847</v>
      </c>
      <c r="AJ52" s="74">
        <f t="shared" si="0"/>
        <v>296152.60603273811</v>
      </c>
      <c r="AK52" s="74">
        <f t="shared" si="0"/>
        <v>302582.71750026353</v>
      </c>
      <c r="AL52" s="74">
        <f t="shared" si="0"/>
        <v>308855.72678755992</v>
      </c>
      <c r="AM52" s="74">
        <f t="shared" si="0"/>
        <v>315241.4893597872</v>
      </c>
      <c r="AN52" s="74">
        <f t="shared" si="0"/>
        <v>319914.44308651029</v>
      </c>
    </row>
    <row r="53" spans="2:40" x14ac:dyDescent="0.25">
      <c r="E53" s="107">
        <f>IFERROR(E52/E37,"")</f>
        <v>0.26248569179565179</v>
      </c>
      <c r="F53" s="107">
        <f t="shared" ref="F53:AN53" si="1">IFERROR(F52/F37,"")</f>
        <v>0.27849764025942236</v>
      </c>
      <c r="G53" s="107">
        <f t="shared" si="1"/>
        <v>0.29902461396409802</v>
      </c>
      <c r="H53" s="107">
        <f t="shared" si="1"/>
        <v>0.31755840072027541</v>
      </c>
      <c r="I53" s="107">
        <f t="shared" si="1"/>
        <v>0.32978211590062956</v>
      </c>
      <c r="J53" s="107">
        <f t="shared" si="1"/>
        <v>0.34193738955036995</v>
      </c>
      <c r="K53" s="107">
        <f t="shared" si="1"/>
        <v>0.35597502348735194</v>
      </c>
      <c r="L53" s="107">
        <f t="shared" si="1"/>
        <v>0.3651400324320988</v>
      </c>
      <c r="M53" s="107">
        <f t="shared" si="1"/>
        <v>0.37512121755100364</v>
      </c>
      <c r="N53" s="107">
        <f t="shared" si="1"/>
        <v>0.38387810816079299</v>
      </c>
      <c r="O53" s="107">
        <f t="shared" si="1"/>
        <v>0.39227581727258404</v>
      </c>
      <c r="P53" s="107">
        <f t="shared" si="1"/>
        <v>0.39991381095934653</v>
      </c>
      <c r="Q53" s="107">
        <f t="shared" si="1"/>
        <v>0.37158645302376658</v>
      </c>
      <c r="R53" s="107">
        <f t="shared" si="1"/>
        <v>0.37680337472482844</v>
      </c>
      <c r="S53" s="107">
        <f t="shared" si="1"/>
        <v>0.38201348045194411</v>
      </c>
      <c r="T53" s="107">
        <f t="shared" si="1"/>
        <v>0.38703821933746985</v>
      </c>
      <c r="U53" s="107">
        <f t="shared" si="1"/>
        <v>0.39032074926040056</v>
      </c>
      <c r="V53" s="107">
        <f t="shared" si="1"/>
        <v>0.39342056059784863</v>
      </c>
      <c r="W53" s="107">
        <f t="shared" si="1"/>
        <v>0.39680174783909489</v>
      </c>
      <c r="X53" s="107">
        <f t="shared" si="1"/>
        <v>0.40064716543509543</v>
      </c>
      <c r="Y53" s="107">
        <f t="shared" si="1"/>
        <v>0.40338673287774496</v>
      </c>
      <c r="Z53" s="107">
        <f t="shared" si="1"/>
        <v>0.40600736550163574</v>
      </c>
      <c r="AA53" s="107">
        <f t="shared" si="1"/>
        <v>0.40883656488198922</v>
      </c>
      <c r="AB53" s="107">
        <f t="shared" si="1"/>
        <v>0.41117268143982061</v>
      </c>
      <c r="AC53" s="107">
        <f t="shared" si="1"/>
        <v>0.35997153461935316</v>
      </c>
      <c r="AD53" s="107">
        <f t="shared" si="1"/>
        <v>0.36184179169238345</v>
      </c>
      <c r="AE53" s="107">
        <f t="shared" si="1"/>
        <v>0.36405444949557642</v>
      </c>
      <c r="AF53" s="107">
        <f t="shared" si="1"/>
        <v>0.36578295676033851</v>
      </c>
      <c r="AG53" s="107">
        <f t="shared" si="1"/>
        <v>0.36756117459516924</v>
      </c>
      <c r="AH53" s="107">
        <f t="shared" si="1"/>
        <v>0.36949165846260074</v>
      </c>
      <c r="AI53" s="107">
        <f t="shared" si="1"/>
        <v>0.37176056541249092</v>
      </c>
      <c r="AJ53" s="107">
        <f t="shared" si="1"/>
        <v>0.3735539149809784</v>
      </c>
      <c r="AK53" s="107">
        <f t="shared" si="1"/>
        <v>0.37554161460537994</v>
      </c>
      <c r="AL53" s="107">
        <f t="shared" si="1"/>
        <v>0.3772746407057721</v>
      </c>
      <c r="AM53" s="107">
        <f t="shared" si="1"/>
        <v>0.37908938028163286</v>
      </c>
      <c r="AN53" s="107">
        <f t="shared" si="1"/>
        <v>0.38076304639825115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-62120.318281876796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-62120.318281876796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-62120.318281876796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-62120.318281876796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-62120.318281876796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-62120.318281876796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-64002.752169206389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-65257.708094092806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-67140.141981422392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-69022.575868751999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-70905.009756081592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-72159.965680967987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-74042.399568297609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-75924.833455627217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-77807.26734295678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-79062.22326784319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-80944.657155172783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-85311.903773777463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-87250.810677726942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-88543.415280359957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-90482.322184309451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-92421.229088258915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-94360.135992208408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-95652.740594841409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-97591.647498790888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-99530.554402740381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-101469.46130668987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-103408.36821063934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-104700.97281327234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-106639.87971722186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-108578.78662117134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-110517.69352512082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-111810.29812775381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-113749.2050317033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-115688.11193565278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-117627.0188396023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46584.313176686584</v>
      </c>
      <c r="F58" s="13">
        <f t="shared" ref="F58:AN58" si="2">F37-F50-F55+F56</f>
        <v>56710.451379673905</v>
      </c>
      <c r="G58" s="13">
        <f t="shared" si="2"/>
        <v>67970.754858242522</v>
      </c>
      <c r="H58" s="13">
        <f t="shared" si="2"/>
        <v>80019.122463141335</v>
      </c>
      <c r="I58" s="13">
        <f t="shared" si="2"/>
        <v>89629.089150848333</v>
      </c>
      <c r="J58" s="13">
        <f t="shared" si="2"/>
        <v>99513.50799837691</v>
      </c>
      <c r="K58" s="13">
        <f t="shared" si="2"/>
        <v>107244.88435165421</v>
      </c>
      <c r="L58" s="13">
        <f t="shared" si="2"/>
        <v>114981.25310403123</v>
      </c>
      <c r="M58" s="13">
        <f t="shared" si="2"/>
        <v>122733.29780679131</v>
      </c>
      <c r="N58" s="13">
        <f t="shared" si="2"/>
        <v>130100.80138975001</v>
      </c>
      <c r="O58" s="13">
        <f t="shared" si="2"/>
        <v>135856.31189578972</v>
      </c>
      <c r="P58" s="13">
        <f t="shared" si="2"/>
        <v>143645.94311718459</v>
      </c>
      <c r="Q58" s="13">
        <f t="shared" si="2"/>
        <v>137295.91859172145</v>
      </c>
      <c r="R58" s="13">
        <f t="shared" si="2"/>
        <v>143251.16595000355</v>
      </c>
      <c r="S58" s="13">
        <f t="shared" si="2"/>
        <v>147691.25427272427</v>
      </c>
      <c r="T58" s="13">
        <f t="shared" si="2"/>
        <v>154405.22246371931</v>
      </c>
      <c r="U58" s="13">
        <f t="shared" si="2"/>
        <v>159548.16541346954</v>
      </c>
      <c r="V58" s="13">
        <f t="shared" si="2"/>
        <v>162176.21356051497</v>
      </c>
      <c r="W58" s="13">
        <f t="shared" si="2"/>
        <v>165783.68701315718</v>
      </c>
      <c r="X58" s="13">
        <f t="shared" si="2"/>
        <v>172122.03098985064</v>
      </c>
      <c r="Y58" s="13">
        <f t="shared" si="2"/>
        <v>177179.71222923786</v>
      </c>
      <c r="Z58" s="13">
        <f t="shared" si="2"/>
        <v>182227.76200506988</v>
      </c>
      <c r="AA58" s="13">
        <f t="shared" si="2"/>
        <v>187487.34426972279</v>
      </c>
      <c r="AB58" s="13">
        <f t="shared" si="2"/>
        <v>191348.45767843159</v>
      </c>
      <c r="AC58" s="13">
        <f t="shared" si="2"/>
        <v>158323.82685741968</v>
      </c>
      <c r="AD58" s="13">
        <f t="shared" si="2"/>
        <v>162391.73020252382</v>
      </c>
      <c r="AE58" s="13">
        <f t="shared" si="2"/>
        <v>166760.25919870136</v>
      </c>
      <c r="AF58" s="13">
        <f t="shared" si="2"/>
        <v>169246.97475885885</v>
      </c>
      <c r="AG58" s="13">
        <f t="shared" si="2"/>
        <v>174030.96992485836</v>
      </c>
      <c r="AH58" s="13">
        <f t="shared" si="2"/>
        <v>178332.06923952044</v>
      </c>
      <c r="AI58" s="13">
        <f t="shared" si="2"/>
        <v>182948.46025613713</v>
      </c>
      <c r="AJ58" s="13">
        <f t="shared" si="2"/>
        <v>185634.91250761729</v>
      </c>
      <c r="AK58" s="13">
        <f t="shared" si="2"/>
        <v>190772.41937250973</v>
      </c>
      <c r="AL58" s="13">
        <f t="shared" si="2"/>
        <v>195106.52175585664</v>
      </c>
      <c r="AM58" s="13">
        <f t="shared" si="2"/>
        <v>199553.37742413441</v>
      </c>
      <c r="AN58" s="13">
        <f t="shared" si="2"/>
        <v>202287.42424690799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46584.313176686584</v>
      </c>
      <c r="F59" s="12">
        <v>103294.76455636049</v>
      </c>
      <c r="G59" s="12">
        <v>171265.51941460301</v>
      </c>
      <c r="H59" s="12">
        <v>251284.64187774435</v>
      </c>
      <c r="I59" s="12">
        <v>340913.73102859268</v>
      </c>
      <c r="J59" s="12">
        <v>440427.23902696959</v>
      </c>
      <c r="K59" s="12">
        <v>547672.12337862374</v>
      </c>
      <c r="L59" s="12">
        <v>662653.37648265494</v>
      </c>
      <c r="M59" s="12">
        <v>785386.67428944621</v>
      </c>
      <c r="N59" s="12">
        <v>915487.47567919618</v>
      </c>
      <c r="O59" s="12">
        <v>1051343.787574986</v>
      </c>
      <c r="P59" s="12">
        <v>1194989.7306921706</v>
      </c>
      <c r="Q59" s="12">
        <v>1332285.649283892</v>
      </c>
      <c r="R59" s="12">
        <v>1475536.8152338956</v>
      </c>
      <c r="S59" s="12">
        <v>1623228.0695066198</v>
      </c>
      <c r="T59" s="12">
        <v>1777633.2919703391</v>
      </c>
      <c r="U59" s="12">
        <v>1937181.4573838087</v>
      </c>
      <c r="V59" s="12">
        <v>2099357.6709443238</v>
      </c>
      <c r="W59" s="12">
        <v>2265141.3579574809</v>
      </c>
      <c r="X59" s="12">
        <v>2437263.3889473313</v>
      </c>
      <c r="Y59" s="12">
        <v>2614443.1011765692</v>
      </c>
      <c r="Z59" s="12">
        <v>2796670.863181639</v>
      </c>
      <c r="AA59" s="12">
        <v>2984158.2074513617</v>
      </c>
      <c r="AB59" s="12">
        <v>3175506.6651297933</v>
      </c>
      <c r="AC59" s="12">
        <v>3333830.491987213</v>
      </c>
      <c r="AD59" s="12">
        <v>3496222.222189737</v>
      </c>
      <c r="AE59" s="12">
        <v>3662982.4813884385</v>
      </c>
      <c r="AF59" s="12">
        <v>3832229.4561472973</v>
      </c>
      <c r="AG59" s="12">
        <v>4006260.4260721556</v>
      </c>
      <c r="AH59" s="12">
        <v>4184592.4953116761</v>
      </c>
      <c r="AI59" s="12">
        <v>4367540.9555678135</v>
      </c>
      <c r="AJ59" s="12">
        <v>4553175.8680754304</v>
      </c>
      <c r="AK59" s="12">
        <v>4743948.2874479406</v>
      </c>
      <c r="AL59" s="12">
        <v>4939054.809203797</v>
      </c>
      <c r="AM59" s="12">
        <v>5138608.1866279319</v>
      </c>
      <c r="AN59" s="12">
        <v>5340895.6108748401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0.10383564943835649</v>
      </c>
      <c r="F72" s="12">
        <v>0.10698218426982184</v>
      </c>
      <c r="G72" s="12">
        <v>0.10907987415746538</v>
      </c>
      <c r="H72" s="12">
        <v>0.11222640898893073</v>
      </c>
      <c r="I72" s="12">
        <v>0.11537294382039608</v>
      </c>
      <c r="J72" s="12">
        <v>0.11851947865186142</v>
      </c>
      <c r="K72" s="12">
        <v>0.12061716853950501</v>
      </c>
      <c r="L72" s="12">
        <v>0.12376370337097037</v>
      </c>
      <c r="M72" s="12">
        <v>0.12691023820243572</v>
      </c>
      <c r="N72" s="12">
        <v>0.13005677303390106</v>
      </c>
      <c r="O72" s="12">
        <v>0.13215446292154462</v>
      </c>
      <c r="P72" s="12">
        <v>0.13530099775300997</v>
      </c>
      <c r="Q72" s="12">
        <v>0.15229228584292284</v>
      </c>
      <c r="R72" s="12">
        <v>0.15575347415753474</v>
      </c>
      <c r="S72" s="12">
        <v>0.1580609330339427</v>
      </c>
      <c r="T72" s="12">
        <v>0.16152212134855456</v>
      </c>
      <c r="U72" s="12">
        <v>0.16498330966316646</v>
      </c>
      <c r="V72" s="12">
        <v>0.16844449797777827</v>
      </c>
      <c r="W72" s="12">
        <v>0.17075195685418626</v>
      </c>
      <c r="X72" s="12">
        <v>0.17421314516879813</v>
      </c>
      <c r="Y72" s="12">
        <v>0.17767433348341</v>
      </c>
      <c r="Z72" s="12">
        <v>0.18113552179802192</v>
      </c>
      <c r="AA72" s="12">
        <v>0.18459671011263376</v>
      </c>
      <c r="AB72" s="12">
        <v>0.18690416898904169</v>
      </c>
      <c r="AC72" s="12">
        <v>0.20940189303401896</v>
      </c>
      <c r="AD72" s="12">
        <v>0.21320920018009204</v>
      </c>
      <c r="AE72" s="12">
        <v>0.21701650732616512</v>
      </c>
      <c r="AF72" s="12">
        <v>0.21955471209021377</v>
      </c>
      <c r="AG72" s="12">
        <v>0.2233620192362869</v>
      </c>
      <c r="AH72" s="12">
        <v>0.22716932638236001</v>
      </c>
      <c r="AI72" s="12">
        <v>0.23097663352843298</v>
      </c>
      <c r="AJ72" s="12">
        <v>0.23351483829248174</v>
      </c>
      <c r="AK72" s="12">
        <v>0.23732214543855484</v>
      </c>
      <c r="AL72" s="12">
        <v>0.24112945258462787</v>
      </c>
      <c r="AM72" s="12">
        <v>0.24493675973070095</v>
      </c>
      <c r="AN72" s="12">
        <v>0.24747496449474971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-0.10383564943835649</v>
      </c>
      <c r="F75" s="74">
        <v>-0.10698218426982184</v>
      </c>
      <c r="G75" s="74">
        <v>-0.10907987415746538</v>
      </c>
      <c r="H75" s="74">
        <v>-0.11222640898893073</v>
      </c>
      <c r="I75" s="74">
        <v>-0.11537294382039608</v>
      </c>
      <c r="J75" s="74">
        <v>-0.11851947865186142</v>
      </c>
      <c r="K75" s="74">
        <v>-0.12061716853950501</v>
      </c>
      <c r="L75" s="74">
        <v>-0.12376370337097037</v>
      </c>
      <c r="M75" s="74">
        <v>-0.12691023820243572</v>
      </c>
      <c r="N75" s="74">
        <v>-0.13005677303390106</v>
      </c>
      <c r="O75" s="74">
        <v>-0.13215446292154462</v>
      </c>
      <c r="P75" s="74">
        <v>-0.13530099775300997</v>
      </c>
      <c r="Q75" s="74">
        <v>-0.15229228584292284</v>
      </c>
      <c r="R75" s="74">
        <v>-0.15575347415753474</v>
      </c>
      <c r="S75" s="74">
        <v>-0.1580609330339427</v>
      </c>
      <c r="T75" s="74">
        <v>-0.16152212134855456</v>
      </c>
      <c r="U75" s="74">
        <v>-0.16498330966316646</v>
      </c>
      <c r="V75" s="74">
        <v>-0.16844449797777827</v>
      </c>
      <c r="W75" s="74">
        <v>-0.17075195685418626</v>
      </c>
      <c r="X75" s="74">
        <v>-0.17421314516879813</v>
      </c>
      <c r="Y75" s="74">
        <v>-0.17767433348341</v>
      </c>
      <c r="Z75" s="74">
        <v>-0.18113552179802192</v>
      </c>
      <c r="AA75" s="74">
        <v>-0.18459671011263376</v>
      </c>
      <c r="AB75" s="74">
        <v>-0.18690416898904169</v>
      </c>
      <c r="AC75" s="74">
        <v>-0.20940189303401896</v>
      </c>
      <c r="AD75" s="74">
        <v>-0.21320920018009204</v>
      </c>
      <c r="AE75" s="74">
        <v>-0.21701650732616512</v>
      </c>
      <c r="AF75" s="74">
        <v>-0.21955471209021377</v>
      </c>
      <c r="AG75" s="74">
        <v>-0.2233620192362869</v>
      </c>
      <c r="AH75" s="74">
        <v>-0.22716932638236001</v>
      </c>
      <c r="AI75" s="74">
        <v>-0.23097663352843298</v>
      </c>
      <c r="AJ75" s="74">
        <v>-0.23351483829248174</v>
      </c>
      <c r="AK75" s="74">
        <v>-0.23732214543855484</v>
      </c>
      <c r="AL75" s="74">
        <v>-0.24112945258462787</v>
      </c>
      <c r="AM75" s="74">
        <v>-0.24493675973070095</v>
      </c>
      <c r="AN75" s="74">
        <v>-0.24747496449474971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36B0-88CD-4094-A13D-6A2C92163A5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0.71093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504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8">
        <v>14.79</v>
      </c>
      <c r="G7" s="108">
        <v>14.79</v>
      </c>
      <c r="H7" s="108">
        <v>14.79</v>
      </c>
      <c r="I7" s="108">
        <v>14.79</v>
      </c>
      <c r="J7" s="108">
        <v>14.79</v>
      </c>
      <c r="K7" s="108">
        <v>14.79</v>
      </c>
      <c r="L7" s="108">
        <v>14.79</v>
      </c>
      <c r="M7" s="108">
        <v>14.79</v>
      </c>
      <c r="N7" s="108">
        <v>14.79</v>
      </c>
      <c r="O7" s="108">
        <v>14.79</v>
      </c>
      <c r="P7" s="108">
        <v>14.79</v>
      </c>
      <c r="Q7" s="108">
        <v>14.79</v>
      </c>
      <c r="R7" s="108">
        <v>14.79</v>
      </c>
      <c r="S7" s="108">
        <v>14.79</v>
      </c>
      <c r="T7" s="108">
        <v>14.79</v>
      </c>
      <c r="U7" s="108">
        <v>14.79</v>
      </c>
      <c r="V7" s="108">
        <v>14.79</v>
      </c>
      <c r="W7" s="108">
        <v>14.79</v>
      </c>
      <c r="X7" s="108">
        <v>14.79</v>
      </c>
      <c r="Y7" s="108">
        <v>14.79</v>
      </c>
      <c r="Z7" s="108">
        <v>14.79</v>
      </c>
      <c r="AA7" s="108">
        <v>14.79</v>
      </c>
      <c r="AB7" s="108">
        <v>14.79</v>
      </c>
      <c r="AC7" s="108">
        <v>14.79</v>
      </c>
      <c r="AD7" s="108">
        <v>14.79</v>
      </c>
      <c r="AE7" s="108">
        <v>14.79</v>
      </c>
      <c r="AF7" s="108">
        <v>14.79</v>
      </c>
      <c r="AG7" s="108">
        <v>14.79</v>
      </c>
      <c r="AH7" s="108">
        <v>14.79</v>
      </c>
      <c r="AI7" s="108">
        <v>14.79</v>
      </c>
      <c r="AJ7" s="108">
        <v>14.79</v>
      </c>
      <c r="AK7" s="108">
        <v>14.79</v>
      </c>
      <c r="AL7" s="108">
        <v>14.79</v>
      </c>
      <c r="AM7" s="108">
        <v>14.79</v>
      </c>
      <c r="AN7" s="108">
        <v>14.79</v>
      </c>
    </row>
    <row r="8" spans="1:40" hidden="1" outlineLevel="1" x14ac:dyDescent="0.25">
      <c r="B8" s="39" t="str">
        <v>Secondary Direct Staff</v>
      </c>
      <c r="C8" s="3"/>
      <c r="D8" s="3"/>
      <c r="E8" s="108">
        <v>3.28</v>
      </c>
      <c r="F8" s="108">
        <v>3.28</v>
      </c>
      <c r="G8" s="108">
        <v>3.28</v>
      </c>
      <c r="H8" s="108">
        <v>3.28</v>
      </c>
      <c r="I8" s="108">
        <v>3.28</v>
      </c>
      <c r="J8" s="108">
        <v>3.28</v>
      </c>
      <c r="K8" s="108">
        <v>3.28</v>
      </c>
      <c r="L8" s="108">
        <v>3.28</v>
      </c>
      <c r="M8" s="108">
        <v>3.28</v>
      </c>
      <c r="N8" s="108">
        <v>3.28</v>
      </c>
      <c r="O8" s="108">
        <v>3.28</v>
      </c>
      <c r="P8" s="108">
        <v>3.28</v>
      </c>
      <c r="Q8" s="108">
        <v>3.28</v>
      </c>
      <c r="R8" s="108">
        <v>3.28</v>
      </c>
      <c r="S8" s="108">
        <v>3.28</v>
      </c>
      <c r="T8" s="108">
        <v>3.28</v>
      </c>
      <c r="U8" s="108">
        <v>3.28</v>
      </c>
      <c r="V8" s="108">
        <v>3.28</v>
      </c>
      <c r="W8" s="108">
        <v>3.28</v>
      </c>
      <c r="X8" s="108">
        <v>3.28</v>
      </c>
      <c r="Y8" s="108">
        <v>3.28</v>
      </c>
      <c r="Z8" s="108">
        <v>3.28</v>
      </c>
      <c r="AA8" s="108">
        <v>3.28</v>
      </c>
      <c r="AB8" s="108">
        <v>3.28</v>
      </c>
      <c r="AC8" s="108">
        <v>3.28</v>
      </c>
      <c r="AD8" s="108">
        <v>3.28</v>
      </c>
      <c r="AE8" s="108">
        <v>3.28</v>
      </c>
      <c r="AF8" s="108">
        <v>3.28</v>
      </c>
      <c r="AG8" s="108">
        <v>3.28</v>
      </c>
      <c r="AH8" s="108">
        <v>3.28</v>
      </c>
      <c r="AI8" s="108">
        <v>3.28</v>
      </c>
      <c r="AJ8" s="108">
        <v>3.28</v>
      </c>
      <c r="AK8" s="108">
        <v>3.28</v>
      </c>
      <c r="AL8" s="108">
        <v>3.28</v>
      </c>
      <c r="AM8" s="108">
        <v>3.28</v>
      </c>
      <c r="AN8" s="108">
        <v>3.28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0.16</v>
      </c>
      <c r="F12" s="108">
        <v>0.16</v>
      </c>
      <c r="G12" s="108">
        <v>0.16</v>
      </c>
      <c r="H12" s="108">
        <v>0.16</v>
      </c>
      <c r="I12" s="108">
        <v>0.16</v>
      </c>
      <c r="J12" s="108">
        <v>0.16</v>
      </c>
      <c r="K12" s="108">
        <v>0.16</v>
      </c>
      <c r="L12" s="108">
        <v>0.16</v>
      </c>
      <c r="M12" s="108">
        <v>0.16</v>
      </c>
      <c r="N12" s="108">
        <v>0.16</v>
      </c>
      <c r="O12" s="108">
        <v>0.16</v>
      </c>
      <c r="P12" s="108">
        <v>0.16</v>
      </c>
      <c r="Q12" s="108">
        <v>0.16</v>
      </c>
      <c r="R12" s="108">
        <v>0.16</v>
      </c>
      <c r="S12" s="108">
        <v>0.16</v>
      </c>
      <c r="T12" s="108">
        <v>0.16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0.4</v>
      </c>
      <c r="F13" s="108">
        <v>0.4</v>
      </c>
      <c r="G13" s="108">
        <v>0.4</v>
      </c>
      <c r="H13" s="108">
        <v>0.4</v>
      </c>
      <c r="I13" s="108">
        <v>0.4</v>
      </c>
      <c r="J13" s="108">
        <v>0.4</v>
      </c>
      <c r="K13" s="108">
        <v>0.4</v>
      </c>
      <c r="L13" s="108">
        <v>0.4</v>
      </c>
      <c r="M13" s="108">
        <v>0.4</v>
      </c>
      <c r="N13" s="108">
        <v>0.4</v>
      </c>
      <c r="O13" s="108">
        <v>0.4</v>
      </c>
      <c r="P13" s="108">
        <v>0.4</v>
      </c>
      <c r="Q13" s="108">
        <v>0.4</v>
      </c>
      <c r="R13" s="108">
        <v>0.4</v>
      </c>
      <c r="S13" s="108">
        <v>0.4</v>
      </c>
      <c r="T13" s="108">
        <v>0.4</v>
      </c>
      <c r="U13" s="108">
        <v>0.4</v>
      </c>
      <c r="V13" s="108">
        <v>0.4</v>
      </c>
      <c r="W13" s="108">
        <v>0.4</v>
      </c>
      <c r="X13" s="108">
        <v>0.4</v>
      </c>
      <c r="Y13" s="108">
        <v>0.4</v>
      </c>
      <c r="Z13" s="108">
        <v>0.4</v>
      </c>
      <c r="AA13" s="108">
        <v>0.4</v>
      </c>
      <c r="AB13" s="108">
        <v>0.4</v>
      </c>
      <c r="AC13" s="108">
        <v>0.4</v>
      </c>
      <c r="AD13" s="108">
        <v>0.4</v>
      </c>
      <c r="AE13" s="108">
        <v>0.4</v>
      </c>
      <c r="AF13" s="108">
        <v>0.4</v>
      </c>
      <c r="AG13" s="108">
        <v>0.4</v>
      </c>
      <c r="AH13" s="108">
        <v>0.4</v>
      </c>
      <c r="AI13" s="108">
        <v>0.4</v>
      </c>
      <c r="AJ13" s="108">
        <v>0.4</v>
      </c>
      <c r="AK13" s="108">
        <v>0.4</v>
      </c>
      <c r="AL13" s="108">
        <v>0.4</v>
      </c>
      <c r="AM13" s="108">
        <v>0.4</v>
      </c>
      <c r="AN13" s="108">
        <v>0.4</v>
      </c>
    </row>
    <row r="14" spans="1:40" hidden="1" outlineLevel="1" x14ac:dyDescent="0.25">
      <c r="B14" s="39" t="str">
        <v>Recruiter</v>
      </c>
      <c r="C14" s="3"/>
      <c r="D14" s="3"/>
      <c r="E14" s="108">
        <v>0.3</v>
      </c>
      <c r="F14" s="108">
        <v>0.3</v>
      </c>
      <c r="G14" s="108">
        <v>0.3</v>
      </c>
      <c r="H14" s="108">
        <v>0.3</v>
      </c>
      <c r="I14" s="108">
        <v>0.3</v>
      </c>
      <c r="J14" s="108">
        <v>0.3</v>
      </c>
      <c r="K14" s="108">
        <v>0.3</v>
      </c>
      <c r="L14" s="108">
        <v>0.3</v>
      </c>
      <c r="M14" s="108">
        <v>0.3</v>
      </c>
      <c r="N14" s="108">
        <v>0.3</v>
      </c>
      <c r="O14" s="108">
        <v>0.3</v>
      </c>
      <c r="P14" s="108">
        <v>0.3</v>
      </c>
      <c r="Q14" s="108">
        <v>0.3</v>
      </c>
      <c r="R14" s="108">
        <v>0.3</v>
      </c>
      <c r="S14" s="108">
        <v>0.3</v>
      </c>
      <c r="T14" s="108">
        <v>0.3</v>
      </c>
      <c r="U14" s="108">
        <v>0.3</v>
      </c>
      <c r="V14" s="108">
        <v>0.3</v>
      </c>
      <c r="W14" s="108">
        <v>0.3</v>
      </c>
      <c r="X14" s="108">
        <v>0.3</v>
      </c>
      <c r="Y14" s="108">
        <v>0.3</v>
      </c>
      <c r="Z14" s="108">
        <v>0.3</v>
      </c>
      <c r="AA14" s="108">
        <v>0.3</v>
      </c>
      <c r="AB14" s="108">
        <v>0.3</v>
      </c>
      <c r="AC14" s="108">
        <v>0.3</v>
      </c>
      <c r="AD14" s="108">
        <v>0.3</v>
      </c>
      <c r="AE14" s="108">
        <v>0.3</v>
      </c>
      <c r="AF14" s="108">
        <v>0.3</v>
      </c>
      <c r="AG14" s="108">
        <v>0.3</v>
      </c>
      <c r="AH14" s="108">
        <v>0.3</v>
      </c>
      <c r="AI14" s="108">
        <v>0.3</v>
      </c>
      <c r="AJ14" s="108">
        <v>0.3</v>
      </c>
      <c r="AK14" s="108">
        <v>0.3</v>
      </c>
      <c r="AL14" s="108">
        <v>0.3</v>
      </c>
      <c r="AM14" s="108">
        <v>0.3</v>
      </c>
      <c r="AN14" s="108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0.15000000000000002</v>
      </c>
      <c r="F15" s="108">
        <v>0.15000000000000002</v>
      </c>
      <c r="G15" s="108">
        <v>0.15000000000000002</v>
      </c>
      <c r="H15" s="108">
        <v>0.15000000000000002</v>
      </c>
      <c r="I15" s="108">
        <v>0.15000000000000002</v>
      </c>
      <c r="J15" s="108">
        <v>0.15000000000000002</v>
      </c>
      <c r="K15" s="108">
        <v>0.15000000000000002</v>
      </c>
      <c r="L15" s="108">
        <v>0.15000000000000002</v>
      </c>
      <c r="M15" s="108">
        <v>0.15000000000000002</v>
      </c>
      <c r="N15" s="108">
        <v>0.15000000000000002</v>
      </c>
      <c r="O15" s="108">
        <v>0.15000000000000002</v>
      </c>
      <c r="P15" s="108">
        <v>0.15000000000000002</v>
      </c>
      <c r="Q15" s="108">
        <v>0.15000000000000002</v>
      </c>
      <c r="R15" s="108">
        <v>0.15000000000000002</v>
      </c>
      <c r="S15" s="108">
        <v>0.15000000000000002</v>
      </c>
      <c r="T15" s="108">
        <v>0.15000000000000002</v>
      </c>
      <c r="U15" s="108">
        <v>0.15000000000000002</v>
      </c>
      <c r="V15" s="108">
        <v>0.15000000000000002</v>
      </c>
      <c r="W15" s="108">
        <v>0.15000000000000002</v>
      </c>
      <c r="X15" s="108">
        <v>0.15000000000000002</v>
      </c>
      <c r="Y15" s="108">
        <v>0.15000000000000002</v>
      </c>
      <c r="Z15" s="108">
        <v>0.15000000000000002</v>
      </c>
      <c r="AA15" s="108">
        <v>0.15000000000000002</v>
      </c>
      <c r="AB15" s="108">
        <v>0.15000000000000002</v>
      </c>
      <c r="AC15" s="108">
        <v>0.15000000000000002</v>
      </c>
      <c r="AD15" s="108">
        <v>0.15000000000000002</v>
      </c>
      <c r="AE15" s="108">
        <v>0.15000000000000002</v>
      </c>
      <c r="AF15" s="108">
        <v>0.15000000000000002</v>
      </c>
      <c r="AG15" s="108">
        <v>0.15000000000000002</v>
      </c>
      <c r="AH15" s="108">
        <v>0.15000000000000002</v>
      </c>
      <c r="AI15" s="108">
        <v>0.15000000000000002</v>
      </c>
      <c r="AJ15" s="108">
        <v>0.15000000000000002</v>
      </c>
      <c r="AK15" s="108">
        <v>0.15000000000000002</v>
      </c>
      <c r="AL15" s="108">
        <v>0.15000000000000002</v>
      </c>
      <c r="AM15" s="108">
        <v>0.15000000000000002</v>
      </c>
      <c r="AN15" s="108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0.15000000000000002</v>
      </c>
      <c r="F16" s="108">
        <v>0.15000000000000002</v>
      </c>
      <c r="G16" s="108">
        <v>0.15000000000000002</v>
      </c>
      <c r="H16" s="108">
        <v>0.15000000000000002</v>
      </c>
      <c r="I16" s="108">
        <v>0.15000000000000002</v>
      </c>
      <c r="J16" s="108">
        <v>0.15000000000000002</v>
      </c>
      <c r="K16" s="108">
        <v>0.15000000000000002</v>
      </c>
      <c r="L16" s="108">
        <v>0.15000000000000002</v>
      </c>
      <c r="M16" s="108">
        <v>0.15000000000000002</v>
      </c>
      <c r="N16" s="108">
        <v>0.15000000000000002</v>
      </c>
      <c r="O16" s="108">
        <v>0.15000000000000002</v>
      </c>
      <c r="P16" s="108">
        <v>0.15000000000000002</v>
      </c>
      <c r="Q16" s="108">
        <v>0.15000000000000002</v>
      </c>
      <c r="R16" s="108">
        <v>0.15000000000000002</v>
      </c>
      <c r="S16" s="108">
        <v>0.15000000000000002</v>
      </c>
      <c r="T16" s="108">
        <v>0.15000000000000002</v>
      </c>
      <c r="U16" s="108">
        <v>0.15000000000000002</v>
      </c>
      <c r="V16" s="108">
        <v>0.15000000000000002</v>
      </c>
      <c r="W16" s="108">
        <v>0.15000000000000002</v>
      </c>
      <c r="X16" s="108">
        <v>0.15000000000000002</v>
      </c>
      <c r="Y16" s="108">
        <v>0.15000000000000002</v>
      </c>
      <c r="Z16" s="108">
        <v>0.15000000000000002</v>
      </c>
      <c r="AA16" s="108">
        <v>0.15000000000000002</v>
      </c>
      <c r="AB16" s="108">
        <v>0.15000000000000002</v>
      </c>
      <c r="AC16" s="108">
        <v>0.15000000000000002</v>
      </c>
      <c r="AD16" s="108">
        <v>0.15000000000000002</v>
      </c>
      <c r="AE16" s="108">
        <v>0.15000000000000002</v>
      </c>
      <c r="AF16" s="108">
        <v>0.15000000000000002</v>
      </c>
      <c r="AG16" s="108">
        <v>0.15000000000000002</v>
      </c>
      <c r="AH16" s="108">
        <v>0.15000000000000002</v>
      </c>
      <c r="AI16" s="108">
        <v>0.15000000000000002</v>
      </c>
      <c r="AJ16" s="108">
        <v>0.15000000000000002</v>
      </c>
      <c r="AK16" s="108">
        <v>0.15000000000000002</v>
      </c>
      <c r="AL16" s="108">
        <v>0.15000000000000002</v>
      </c>
      <c r="AM16" s="108">
        <v>0.15000000000000002</v>
      </c>
      <c r="AN16" s="108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18</v>
      </c>
      <c r="F21" s="120">
        <v>18</v>
      </c>
      <c r="G21" s="120">
        <v>18</v>
      </c>
      <c r="H21" s="120">
        <v>18</v>
      </c>
      <c r="I21" s="120">
        <v>18</v>
      </c>
      <c r="J21" s="120">
        <v>18</v>
      </c>
      <c r="K21" s="120">
        <v>18</v>
      </c>
      <c r="L21" s="120">
        <v>18</v>
      </c>
      <c r="M21" s="120">
        <v>18</v>
      </c>
      <c r="N21" s="120">
        <v>18</v>
      </c>
      <c r="O21" s="120">
        <v>18</v>
      </c>
      <c r="P21" s="120">
        <v>18</v>
      </c>
      <c r="Q21" s="120">
        <v>18</v>
      </c>
      <c r="R21" s="120">
        <v>18</v>
      </c>
      <c r="S21" s="120">
        <v>18</v>
      </c>
      <c r="T21" s="120">
        <v>18</v>
      </c>
      <c r="U21" s="120">
        <v>18</v>
      </c>
      <c r="V21" s="120">
        <v>18</v>
      </c>
      <c r="W21" s="120">
        <v>18</v>
      </c>
      <c r="X21" s="120">
        <v>18</v>
      </c>
      <c r="Y21" s="120">
        <v>18</v>
      </c>
      <c r="Z21" s="120">
        <v>18</v>
      </c>
      <c r="AA21" s="120">
        <v>18</v>
      </c>
      <c r="AB21" s="120">
        <v>18</v>
      </c>
      <c r="AC21" s="120">
        <v>18</v>
      </c>
      <c r="AD21" s="120">
        <v>18</v>
      </c>
      <c r="AE21" s="120">
        <v>18</v>
      </c>
      <c r="AF21" s="120">
        <v>18</v>
      </c>
      <c r="AG21" s="120">
        <v>18</v>
      </c>
      <c r="AH21" s="120">
        <v>18</v>
      </c>
      <c r="AI21" s="120">
        <v>18</v>
      </c>
      <c r="AJ21" s="120">
        <v>18</v>
      </c>
      <c r="AK21" s="120">
        <v>18</v>
      </c>
      <c r="AL21" s="120">
        <v>18</v>
      </c>
      <c r="AM21" s="120">
        <v>18</v>
      </c>
      <c r="AN21" s="120">
        <v>18</v>
      </c>
    </row>
    <row r="22" spans="2:50" x14ac:dyDescent="0.25">
      <c r="B22" s="2" t="s">
        <v>464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97.138317045454542</v>
      </c>
      <c r="F22" s="78">
        <v>97.138317045454542</v>
      </c>
      <c r="G22" s="78">
        <v>97.138317045454542</v>
      </c>
      <c r="H22" s="78">
        <v>97.138317045454542</v>
      </c>
      <c r="I22" s="78">
        <v>97.138317045454542</v>
      </c>
      <c r="J22" s="78">
        <v>97.138317045454542</v>
      </c>
      <c r="K22" s="78">
        <v>97.138317045454542</v>
      </c>
      <c r="L22" s="78">
        <v>97.138317045454542</v>
      </c>
      <c r="M22" s="78">
        <v>97.138317045454542</v>
      </c>
      <c r="N22" s="78">
        <v>97.138317045454542</v>
      </c>
      <c r="O22" s="78">
        <v>97.138317045454542</v>
      </c>
      <c r="P22" s="78">
        <v>97.138317045454542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150937.65179999996</v>
      </c>
      <c r="F26" s="12">
        <v>150937.65179999996</v>
      </c>
      <c r="G26" s="12">
        <v>150937.65179999996</v>
      </c>
      <c r="H26" s="12">
        <v>150937.65179999996</v>
      </c>
      <c r="I26" s="12">
        <v>150937.65179999996</v>
      </c>
      <c r="J26" s="12">
        <v>150937.65179999996</v>
      </c>
      <c r="K26" s="12">
        <v>150937.65179999996</v>
      </c>
      <c r="L26" s="12">
        <v>150937.65179999996</v>
      </c>
      <c r="M26" s="12">
        <v>150937.65179999996</v>
      </c>
      <c r="N26" s="12">
        <v>150937.65179999996</v>
      </c>
      <c r="O26" s="12">
        <v>150937.65179999996</v>
      </c>
      <c r="P26" s="12">
        <v>150937.65179999996</v>
      </c>
      <c r="Q26" s="12">
        <v>155465.78135399995</v>
      </c>
      <c r="R26" s="12">
        <v>155465.78135399995</v>
      </c>
      <c r="S26" s="12">
        <v>155465.78135399995</v>
      </c>
      <c r="T26" s="12">
        <v>155465.78135399995</v>
      </c>
      <c r="U26" s="12">
        <v>155465.78135399995</v>
      </c>
      <c r="V26" s="12">
        <v>155465.78135399995</v>
      </c>
      <c r="W26" s="12">
        <v>155465.78135399995</v>
      </c>
      <c r="X26" s="12">
        <v>155465.78135399995</v>
      </c>
      <c r="Y26" s="12">
        <v>155465.78135399995</v>
      </c>
      <c r="Z26" s="12">
        <v>155465.78135399995</v>
      </c>
      <c r="AA26" s="12">
        <v>155465.78135399995</v>
      </c>
      <c r="AB26" s="12">
        <v>155465.78135399995</v>
      </c>
      <c r="AC26" s="12">
        <v>155465.78135399995</v>
      </c>
      <c r="AD26" s="12">
        <v>155465.78135399995</v>
      </c>
      <c r="AE26" s="12">
        <v>155465.78135399995</v>
      </c>
      <c r="AF26" s="12">
        <v>155465.78135399995</v>
      </c>
      <c r="AG26" s="12">
        <v>155465.78135399995</v>
      </c>
      <c r="AH26" s="12">
        <v>155465.78135399995</v>
      </c>
      <c r="AI26" s="12">
        <v>155465.78135399995</v>
      </c>
      <c r="AJ26" s="12">
        <v>155465.78135399995</v>
      </c>
      <c r="AK26" s="12">
        <v>155465.78135399995</v>
      </c>
      <c r="AL26" s="12">
        <v>155465.78135399995</v>
      </c>
      <c r="AM26" s="12">
        <v>155465.78135399995</v>
      </c>
      <c r="AN26" s="12">
        <v>155465.78135399995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30479.197319999999</v>
      </c>
      <c r="F28" s="12">
        <v>30479.197319999999</v>
      </c>
      <c r="G28" s="12">
        <v>30479.197319999999</v>
      </c>
      <c r="H28" s="12">
        <v>30479.197319999999</v>
      </c>
      <c r="I28" s="12">
        <v>30479.197319999999</v>
      </c>
      <c r="J28" s="12">
        <v>30479.197319999999</v>
      </c>
      <c r="K28" s="12">
        <v>30479.197319999999</v>
      </c>
      <c r="L28" s="12">
        <v>30479.197319999999</v>
      </c>
      <c r="M28" s="12">
        <v>30479.197319999999</v>
      </c>
      <c r="N28" s="12">
        <v>30479.197319999999</v>
      </c>
      <c r="O28" s="12">
        <v>30479.197319999999</v>
      </c>
      <c r="P28" s="12">
        <v>30479.197319999999</v>
      </c>
      <c r="Q28" s="12">
        <v>31393.573239599998</v>
      </c>
      <c r="R28" s="12">
        <v>31393.573239599998</v>
      </c>
      <c r="S28" s="12">
        <v>31393.573239599998</v>
      </c>
      <c r="T28" s="12">
        <v>31393.573239599998</v>
      </c>
      <c r="U28" s="12">
        <v>31393.573239599998</v>
      </c>
      <c r="V28" s="12">
        <v>31393.573239599998</v>
      </c>
      <c r="W28" s="12">
        <v>31393.573239599998</v>
      </c>
      <c r="X28" s="12">
        <v>31393.573239599998</v>
      </c>
      <c r="Y28" s="12">
        <v>31393.573239599998</v>
      </c>
      <c r="Z28" s="12">
        <v>31393.573239599998</v>
      </c>
      <c r="AA28" s="12">
        <v>31393.573239599998</v>
      </c>
      <c r="AB28" s="12">
        <v>31393.573239599998</v>
      </c>
      <c r="AC28" s="12">
        <v>31393.573239599998</v>
      </c>
      <c r="AD28" s="12">
        <v>31393.573239599998</v>
      </c>
      <c r="AE28" s="12">
        <v>31393.573239599998</v>
      </c>
      <c r="AF28" s="12">
        <v>31393.573239599998</v>
      </c>
      <c r="AG28" s="12">
        <v>31393.573239599998</v>
      </c>
      <c r="AH28" s="12">
        <v>31393.573239599998</v>
      </c>
      <c r="AI28" s="12">
        <v>31393.573239599998</v>
      </c>
      <c r="AJ28" s="12">
        <v>31393.573239599998</v>
      </c>
      <c r="AK28" s="12">
        <v>31393.573239599998</v>
      </c>
      <c r="AL28" s="12">
        <v>31393.573239599998</v>
      </c>
      <c r="AM28" s="12">
        <v>31393.573239599998</v>
      </c>
      <c r="AN28" s="12">
        <v>31393.573239599998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4689.1072799999993</v>
      </c>
      <c r="F29" s="12">
        <v>4689.1072799999993</v>
      </c>
      <c r="G29" s="12">
        <v>4689.1072799999993</v>
      </c>
      <c r="H29" s="12">
        <v>4689.1072799999993</v>
      </c>
      <c r="I29" s="12">
        <v>4689.1072799999993</v>
      </c>
      <c r="J29" s="12">
        <v>4689.1072799999993</v>
      </c>
      <c r="K29" s="12">
        <v>4689.1072799999993</v>
      </c>
      <c r="L29" s="12">
        <v>4689.1072799999993</v>
      </c>
      <c r="M29" s="12">
        <v>4689.1072799999993</v>
      </c>
      <c r="N29" s="12">
        <v>4689.1072799999993</v>
      </c>
      <c r="O29" s="12">
        <v>4689.1072799999993</v>
      </c>
      <c r="P29" s="12">
        <v>4689.1072799999993</v>
      </c>
      <c r="Q29" s="12">
        <v>4829.7804983999995</v>
      </c>
      <c r="R29" s="12">
        <v>4829.7804983999995</v>
      </c>
      <c r="S29" s="12">
        <v>4829.7804983999995</v>
      </c>
      <c r="T29" s="12">
        <v>4829.7804983999995</v>
      </c>
      <c r="U29" s="12">
        <v>4829.7804983999995</v>
      </c>
      <c r="V29" s="12">
        <v>4829.7804983999995</v>
      </c>
      <c r="W29" s="12">
        <v>4829.7804983999995</v>
      </c>
      <c r="X29" s="12">
        <v>4829.7804983999995</v>
      </c>
      <c r="Y29" s="12">
        <v>4829.7804983999995</v>
      </c>
      <c r="Z29" s="12">
        <v>4829.7804983999995</v>
      </c>
      <c r="AA29" s="12">
        <v>4829.7804983999995</v>
      </c>
      <c r="AB29" s="12">
        <v>4829.7804983999995</v>
      </c>
      <c r="AC29" s="12">
        <v>4829.7804983999995</v>
      </c>
      <c r="AD29" s="12">
        <v>4829.7804983999995</v>
      </c>
      <c r="AE29" s="12">
        <v>4829.7804983999995</v>
      </c>
      <c r="AF29" s="12">
        <v>4829.7804983999995</v>
      </c>
      <c r="AG29" s="12">
        <v>4829.7804983999995</v>
      </c>
      <c r="AH29" s="12">
        <v>4829.7804983999995</v>
      </c>
      <c r="AI29" s="12">
        <v>4829.7804983999995</v>
      </c>
      <c r="AJ29" s="12">
        <v>4829.7804983999995</v>
      </c>
      <c r="AK29" s="12">
        <v>4829.7804983999995</v>
      </c>
      <c r="AL29" s="12">
        <v>4829.7804983999995</v>
      </c>
      <c r="AM29" s="12">
        <v>4829.7804983999995</v>
      </c>
      <c r="AN29" s="12">
        <v>4829.7804983999995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6740.8016639999987</v>
      </c>
      <c r="F30" s="12">
        <v>6740.8016639999987</v>
      </c>
      <c r="G30" s="12">
        <v>6740.8016639999987</v>
      </c>
      <c r="H30" s="12">
        <v>6740.8016639999987</v>
      </c>
      <c r="I30" s="12">
        <v>6740.8016639999987</v>
      </c>
      <c r="J30" s="12">
        <v>6740.8016639999987</v>
      </c>
      <c r="K30" s="12">
        <v>6740.8016639999987</v>
      </c>
      <c r="L30" s="12">
        <v>6740.8016639999987</v>
      </c>
      <c r="M30" s="12">
        <v>6740.8016639999987</v>
      </c>
      <c r="N30" s="12">
        <v>6740.8016639999987</v>
      </c>
      <c r="O30" s="12">
        <v>6740.8016639999987</v>
      </c>
      <c r="P30" s="12">
        <v>6740.8016639999987</v>
      </c>
      <c r="Q30" s="12">
        <v>6943.0257139199985</v>
      </c>
      <c r="R30" s="12">
        <v>6943.0257139199985</v>
      </c>
      <c r="S30" s="12">
        <v>6943.0257139199985</v>
      </c>
      <c r="T30" s="12">
        <v>6943.0257139199985</v>
      </c>
      <c r="U30" s="12">
        <v>6943.0257139199985</v>
      </c>
      <c r="V30" s="12">
        <v>6943.0257139199985</v>
      </c>
      <c r="W30" s="12">
        <v>6943.0257139199985</v>
      </c>
      <c r="X30" s="12">
        <v>6943.0257139199985</v>
      </c>
      <c r="Y30" s="12">
        <v>6943.0257139199985</v>
      </c>
      <c r="Z30" s="12">
        <v>6943.0257139199985</v>
      </c>
      <c r="AA30" s="12">
        <v>6943.0257139199985</v>
      </c>
      <c r="AB30" s="12">
        <v>6943.0257139199985</v>
      </c>
      <c r="AC30" s="12">
        <v>6943.0257139199985</v>
      </c>
      <c r="AD30" s="12">
        <v>6943.0257139199985</v>
      </c>
      <c r="AE30" s="12">
        <v>6943.0257139199985</v>
      </c>
      <c r="AF30" s="12">
        <v>6943.0257139199985</v>
      </c>
      <c r="AG30" s="12">
        <v>6943.0257139199985</v>
      </c>
      <c r="AH30" s="12">
        <v>6943.0257139199985</v>
      </c>
      <c r="AI30" s="12">
        <v>6943.0257139199985</v>
      </c>
      <c r="AJ30" s="12">
        <v>6943.0257139199985</v>
      </c>
      <c r="AK30" s="12">
        <v>6943.0257139199985</v>
      </c>
      <c r="AL30" s="12">
        <v>6943.0257139199985</v>
      </c>
      <c r="AM30" s="12">
        <v>6943.0257139199985</v>
      </c>
      <c r="AN30" s="12">
        <v>6943.0257139199985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-23141.610967679993</v>
      </c>
      <c r="F35" s="12">
        <v>-23141.610967679993</v>
      </c>
      <c r="G35" s="12">
        <v>-23141.610967679993</v>
      </c>
      <c r="H35" s="12">
        <v>-23141.610967679993</v>
      </c>
      <c r="I35" s="12">
        <v>-23141.610967679993</v>
      </c>
      <c r="J35" s="12">
        <v>-23141.610967679993</v>
      </c>
      <c r="K35" s="12">
        <v>-23141.610967679993</v>
      </c>
      <c r="L35" s="12">
        <v>-23141.610967679993</v>
      </c>
      <c r="M35" s="12">
        <v>-23141.610967679993</v>
      </c>
      <c r="N35" s="12">
        <v>-23141.610967679993</v>
      </c>
      <c r="O35" s="12">
        <v>-23141.610967679993</v>
      </c>
      <c r="P35" s="12">
        <v>-23141.610967679993</v>
      </c>
      <c r="Q35" s="12">
        <v>-23835.859296710394</v>
      </c>
      <c r="R35" s="12">
        <v>-23835.859296710394</v>
      </c>
      <c r="S35" s="12">
        <v>-23835.859296710394</v>
      </c>
      <c r="T35" s="12">
        <v>-23835.859296710394</v>
      </c>
      <c r="U35" s="12">
        <v>-23835.859296710394</v>
      </c>
      <c r="V35" s="12">
        <v>-23835.859296710394</v>
      </c>
      <c r="W35" s="12">
        <v>-23835.859296710394</v>
      </c>
      <c r="X35" s="12">
        <v>-23835.859296710394</v>
      </c>
      <c r="Y35" s="12">
        <v>-23835.859296710394</v>
      </c>
      <c r="Z35" s="12">
        <v>-23835.859296710394</v>
      </c>
      <c r="AA35" s="12">
        <v>-23835.859296710394</v>
      </c>
      <c r="AB35" s="12">
        <v>-23835.859296710394</v>
      </c>
      <c r="AC35" s="12">
        <v>-23835.859296710394</v>
      </c>
      <c r="AD35" s="12">
        <v>-23835.859296710394</v>
      </c>
      <c r="AE35" s="12">
        <v>-23835.859296710394</v>
      </c>
      <c r="AF35" s="12">
        <v>-23835.859296710394</v>
      </c>
      <c r="AG35" s="12">
        <v>-23835.859296710394</v>
      </c>
      <c r="AH35" s="12">
        <v>-23835.859296710394</v>
      </c>
      <c r="AI35" s="12">
        <v>-23835.859296710394</v>
      </c>
      <c r="AJ35" s="12">
        <v>-23835.859296710394</v>
      </c>
      <c r="AK35" s="12">
        <v>-23835.859296710394</v>
      </c>
      <c r="AL35" s="12">
        <v>-23835.859296710394</v>
      </c>
      <c r="AM35" s="12">
        <v>-23835.859296710394</v>
      </c>
      <c r="AN35" s="12">
        <v>-23835.859296710394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169705.14709631997</v>
      </c>
      <c r="F37" s="13">
        <v>169705.14709631997</v>
      </c>
      <c r="G37" s="13">
        <v>169705.14709631997</v>
      </c>
      <c r="H37" s="13">
        <v>169705.14709631997</v>
      </c>
      <c r="I37" s="13">
        <v>169705.14709631997</v>
      </c>
      <c r="J37" s="13">
        <v>169705.14709631997</v>
      </c>
      <c r="K37" s="13">
        <v>169705.14709631997</v>
      </c>
      <c r="L37" s="13">
        <v>169705.14709631997</v>
      </c>
      <c r="M37" s="13">
        <v>169705.14709631997</v>
      </c>
      <c r="N37" s="13">
        <v>169705.14709631997</v>
      </c>
      <c r="O37" s="13">
        <v>169705.14709631997</v>
      </c>
      <c r="P37" s="13">
        <v>169705.14709631997</v>
      </c>
      <c r="Q37" s="13">
        <v>174796.30150920956</v>
      </c>
      <c r="R37" s="13">
        <v>174796.30150920956</v>
      </c>
      <c r="S37" s="13">
        <v>174796.30150920956</v>
      </c>
      <c r="T37" s="13">
        <v>174796.30150920956</v>
      </c>
      <c r="U37" s="13">
        <v>174796.30150920956</v>
      </c>
      <c r="V37" s="13">
        <v>174796.30150920956</v>
      </c>
      <c r="W37" s="13">
        <v>174796.30150920956</v>
      </c>
      <c r="X37" s="13">
        <v>174796.30150920956</v>
      </c>
      <c r="Y37" s="13">
        <v>174796.30150920956</v>
      </c>
      <c r="Z37" s="13">
        <v>174796.30150920956</v>
      </c>
      <c r="AA37" s="13">
        <v>174796.30150920956</v>
      </c>
      <c r="AB37" s="13">
        <v>174796.30150920956</v>
      </c>
      <c r="AC37" s="13">
        <v>174796.30150920956</v>
      </c>
      <c r="AD37" s="13">
        <v>174796.30150920956</v>
      </c>
      <c r="AE37" s="13">
        <v>174796.30150920956</v>
      </c>
      <c r="AF37" s="13">
        <v>174796.30150920956</v>
      </c>
      <c r="AG37" s="13">
        <v>174796.30150920956</v>
      </c>
      <c r="AH37" s="13">
        <v>174796.30150920956</v>
      </c>
      <c r="AI37" s="13">
        <v>174796.30150920956</v>
      </c>
      <c r="AJ37" s="13">
        <v>174796.30150920956</v>
      </c>
      <c r="AK37" s="13">
        <v>174796.30150920956</v>
      </c>
      <c r="AL37" s="13">
        <v>174796.30150920956</v>
      </c>
      <c r="AM37" s="13">
        <v>174796.30150920956</v>
      </c>
      <c r="AN37" s="13">
        <v>174796.30150920956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74418.177991751305</v>
      </c>
      <c r="F40" s="12">
        <v>74418.177991751305</v>
      </c>
      <c r="G40" s="12">
        <v>74418.177991751305</v>
      </c>
      <c r="H40" s="12">
        <v>74418.177991751305</v>
      </c>
      <c r="I40" s="12">
        <v>74418.177991751305</v>
      </c>
      <c r="J40" s="12">
        <v>74418.177991751305</v>
      </c>
      <c r="K40" s="12">
        <v>74418.177991751305</v>
      </c>
      <c r="L40" s="12">
        <v>74418.177991751305</v>
      </c>
      <c r="M40" s="12">
        <v>74418.177991751305</v>
      </c>
      <c r="N40" s="12">
        <v>74418.177991751305</v>
      </c>
      <c r="O40" s="12">
        <v>74418.177991751305</v>
      </c>
      <c r="P40" s="12">
        <v>74418.177991751305</v>
      </c>
      <c r="Q40" s="12">
        <v>81859.995790926434</v>
      </c>
      <c r="R40" s="12">
        <v>81859.995790926434</v>
      </c>
      <c r="S40" s="12">
        <v>81859.995790926434</v>
      </c>
      <c r="T40" s="12">
        <v>81859.995790926434</v>
      </c>
      <c r="U40" s="12">
        <v>81859.995790926434</v>
      </c>
      <c r="V40" s="12">
        <v>81859.995790926434</v>
      </c>
      <c r="W40" s="12">
        <v>81859.995790926434</v>
      </c>
      <c r="X40" s="12">
        <v>81859.995790926434</v>
      </c>
      <c r="Y40" s="12">
        <v>81859.995790926434</v>
      </c>
      <c r="Z40" s="12">
        <v>81859.995790926434</v>
      </c>
      <c r="AA40" s="12">
        <v>81859.995790926434</v>
      </c>
      <c r="AB40" s="12">
        <v>81859.995790926434</v>
      </c>
      <c r="AC40" s="12">
        <v>90045.995370019082</v>
      </c>
      <c r="AD40" s="12">
        <v>90045.995370019082</v>
      </c>
      <c r="AE40" s="12">
        <v>90045.995370019082</v>
      </c>
      <c r="AF40" s="12">
        <v>90045.995370019082</v>
      </c>
      <c r="AG40" s="12">
        <v>90045.995370019082</v>
      </c>
      <c r="AH40" s="12">
        <v>90045.995370019082</v>
      </c>
      <c r="AI40" s="12">
        <v>90045.995370019082</v>
      </c>
      <c r="AJ40" s="12">
        <v>90045.995370019082</v>
      </c>
      <c r="AK40" s="12">
        <v>90045.995370019082</v>
      </c>
      <c r="AL40" s="12">
        <v>90045.995370019082</v>
      </c>
      <c r="AM40" s="12">
        <v>90045.995370019082</v>
      </c>
      <c r="AN40" s="12">
        <v>90045.995370019082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11974.999999999998</v>
      </c>
      <c r="F46" s="12">
        <v>11974.999999999998</v>
      </c>
      <c r="G46" s="12">
        <v>11974.999999999998</v>
      </c>
      <c r="H46" s="12">
        <v>11974.999999999998</v>
      </c>
      <c r="I46" s="12">
        <v>11974.999999999998</v>
      </c>
      <c r="J46" s="12">
        <v>11974.999999999998</v>
      </c>
      <c r="K46" s="12">
        <v>11974.999999999998</v>
      </c>
      <c r="L46" s="12">
        <v>11974.999999999998</v>
      </c>
      <c r="M46" s="12">
        <v>11974.999999999998</v>
      </c>
      <c r="N46" s="12">
        <v>11974.999999999998</v>
      </c>
      <c r="O46" s="12">
        <v>11974.999999999998</v>
      </c>
      <c r="P46" s="12">
        <v>11974.999999999998</v>
      </c>
      <c r="Q46" s="12">
        <v>12214.5</v>
      </c>
      <c r="R46" s="12">
        <v>12214.5</v>
      </c>
      <c r="S46" s="12">
        <v>12214.5</v>
      </c>
      <c r="T46" s="12">
        <v>12214.5</v>
      </c>
      <c r="U46" s="12">
        <v>12214.5</v>
      </c>
      <c r="V46" s="12">
        <v>12214.5</v>
      </c>
      <c r="W46" s="12">
        <v>12214.5</v>
      </c>
      <c r="X46" s="12">
        <v>12214.5</v>
      </c>
      <c r="Y46" s="12">
        <v>12214.5</v>
      </c>
      <c r="Z46" s="12">
        <v>12214.5</v>
      </c>
      <c r="AA46" s="12">
        <v>12214.5</v>
      </c>
      <c r="AB46" s="12">
        <v>12214.5</v>
      </c>
      <c r="AC46" s="12">
        <v>12458.789999999999</v>
      </c>
      <c r="AD46" s="12">
        <v>12458.789999999999</v>
      </c>
      <c r="AE46" s="12">
        <v>12458.789999999999</v>
      </c>
      <c r="AF46" s="12">
        <v>12458.789999999999</v>
      </c>
      <c r="AG46" s="12">
        <v>12458.789999999999</v>
      </c>
      <c r="AH46" s="12">
        <v>12458.789999999999</v>
      </c>
      <c r="AI46" s="12">
        <v>12458.789999999999</v>
      </c>
      <c r="AJ46" s="12">
        <v>12458.789999999999</v>
      </c>
      <c r="AK46" s="12">
        <v>12458.789999999999</v>
      </c>
      <c r="AL46" s="12">
        <v>12458.789999999999</v>
      </c>
      <c r="AM46" s="12">
        <v>12458.789999999999</v>
      </c>
      <c r="AN46" s="12">
        <v>12458.789999999999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39386.5176695474</v>
      </c>
      <c r="F49" s="12">
        <f>'Corp.'!F$50*(F$37-(F31-F32-F34)*$C$35)/(SUM('MDA1:NCA9'!F$37)-SUM('MDA1:NCA9'!F$31)-SUM('MDA1:NCA9'!F$32)-SUM('MDA1:NCA9'!F$34))</f>
        <v>37028.787813889932</v>
      </c>
      <c r="G49" s="12">
        <f>'Corp.'!G$50*(G$37-(G31-G32-G34)*$C$35)/(SUM('MDA1:NCA9'!G$37)-SUM('MDA1:NCA9'!G$31)-SUM('MDA1:NCA9'!G$32)-SUM('MDA1:NCA9'!G$34))</f>
        <v>33755.432463669291</v>
      </c>
      <c r="H49" s="12">
        <f>'Corp.'!H$50*(H$37-(H31-H32-H34)*$C$35)/(SUM('MDA1:NCA9'!H$37)-SUM('MDA1:NCA9'!H$31)-SUM('MDA1:NCA9'!H$32)-SUM('MDA1:NCA9'!H$34))</f>
        <v>30926.264477175966</v>
      </c>
      <c r="I49" s="12">
        <f>'Corp.'!I$50*(I$37-(I31-I32-I34)*$C$35)/(SUM('MDA1:NCA9'!I$37)-SUM('MDA1:NCA9'!I$31)-SUM('MDA1:NCA9'!I$32)-SUM('MDA1:NCA9'!I$34))</f>
        <v>29150.705696307068</v>
      </c>
      <c r="J49" s="12">
        <f>'Corp.'!J$50*(J$37-(J31-J32-J34)*$C$35)/(SUM('MDA1:NCA9'!J$37)-SUM('MDA1:NCA9'!J$31)-SUM('MDA1:NCA9'!J$32)-SUM('MDA1:NCA9'!J$34))</f>
        <v>27301.999878302071</v>
      </c>
      <c r="K49" s="12">
        <f>'Corp.'!K$50*(K$37-(K31-K32-K34)*$C$35)/(SUM('MDA1:NCA9'!K$37)-SUM('MDA1:NCA9'!K$31)-SUM('MDA1:NCA9'!K$32)-SUM('MDA1:NCA9'!K$34))</f>
        <v>25141.245970036322</v>
      </c>
      <c r="L49" s="12">
        <f>'Corp.'!L$50*(L$37-(L31-L32-L34)*$C$35)/(SUM('MDA1:NCA9'!L$37)-SUM('MDA1:NCA9'!L$31)-SUM('MDA1:NCA9'!L$32)-SUM('MDA1:NCA9'!L$34))</f>
        <v>23797.583288864738</v>
      </c>
      <c r="M49" s="12">
        <f>'Corp.'!M$50*(M$37-(M31-M32-M34)*$C$35)/(SUM('MDA1:NCA9'!M$37)-SUM('MDA1:NCA9'!M$31)-SUM('MDA1:NCA9'!M$32)-SUM('MDA1:NCA9'!M$34))</f>
        <v>22351.964852504596</v>
      </c>
      <c r="N49" s="12">
        <f>'Corp.'!N$50*(N$37-(N31-N32-N34)*$C$35)/(SUM('MDA1:NCA9'!N$37)-SUM('MDA1:NCA9'!N$31)-SUM('MDA1:NCA9'!N$32)-SUM('MDA1:NCA9'!N$34))</f>
        <v>21111.329918038835</v>
      </c>
      <c r="O49" s="12">
        <f>'Corp.'!O$50*(O$37-(O31-O32-O34)*$C$35)/(SUM('MDA1:NCA9'!O$37)-SUM('MDA1:NCA9'!O$31)-SUM('MDA1:NCA9'!O$32)-SUM('MDA1:NCA9'!O$34))</f>
        <v>19809.738768890587</v>
      </c>
      <c r="P49" s="12">
        <f>'Corp.'!P$50*(P$37-(P31-P32-P34)*$C$35)/(SUM('MDA1:NCA9'!P$37)-SUM('MDA1:NCA9'!P$31)-SUM('MDA1:NCA9'!P$32)-SUM('MDA1:NCA9'!P$34))</f>
        <v>18743.523966580786</v>
      </c>
      <c r="Q49" s="12">
        <f>'Corp.'!Q$50*(Q$37-(Q31-Q32-Q34)*$C$35)/(SUM('MDA1:NCA9'!Q$37)-SUM('MDA1:NCA9'!Q$31)-SUM('MDA1:NCA9'!Q$32)-SUM('MDA1:NCA9'!Q$34))</f>
        <v>19591.890598963844</v>
      </c>
      <c r="R49" s="12">
        <f>'Corp.'!R$50*(R$37-(R31-R32-R34)*$C$35)/(SUM('MDA1:NCA9'!R$37)-SUM('MDA1:NCA9'!R$31)-SUM('MDA1:NCA9'!R$32)-SUM('MDA1:NCA9'!R$34))</f>
        <v>18887.293313417835</v>
      </c>
      <c r="S49" s="12">
        <f>'Corp.'!S$50*(S$37-(S31-S32-S34)*$C$35)/(SUM('MDA1:NCA9'!S$37)-SUM('MDA1:NCA9'!S$31)-SUM('MDA1:NCA9'!S$32)-SUM('MDA1:NCA9'!S$34))</f>
        <v>18107.329129300684</v>
      </c>
      <c r="T49" s="12">
        <f>'Corp.'!T$50*(T$37-(T31-T32-T34)*$C$35)/(SUM('MDA1:NCA9'!T$37)-SUM('MDA1:NCA9'!T$31)-SUM('MDA1:NCA9'!T$32)-SUM('MDA1:NCA9'!T$34))</f>
        <v>17449.653998339065</v>
      </c>
      <c r="U49" s="12">
        <f>'Corp.'!U$50*(U$37-(U31-U32-U34)*$C$35)/(SUM('MDA1:NCA9'!U$37)-SUM('MDA1:NCA9'!U$31)-SUM('MDA1:NCA9'!U$32)-SUM('MDA1:NCA9'!U$34))</f>
        <v>17000.871526429721</v>
      </c>
      <c r="V49" s="12">
        <f>'Corp.'!V$50*(V$37-(V31-V32-V34)*$C$35)/(SUM('MDA1:NCA9'!V$37)-SUM('MDA1:NCA9'!V$31)-SUM('MDA1:NCA9'!V$32)-SUM('MDA1:NCA9'!V$34))</f>
        <v>16636.670764476061</v>
      </c>
      <c r="W49" s="12">
        <f>'Corp.'!W$50*(W$37-(W31-W32-W34)*$C$35)/(SUM('MDA1:NCA9'!W$37)-SUM('MDA1:NCA9'!W$31)-SUM('MDA1:NCA9'!W$32)-SUM('MDA1:NCA9'!W$34))</f>
        <v>16157.839541313475</v>
      </c>
      <c r="X49" s="12">
        <f>'Corp.'!X$50*(X$37-(X31-X32-X34)*$C$35)/(SUM('MDA1:NCA9'!X$37)-SUM('MDA1:NCA9'!X$31)-SUM('MDA1:NCA9'!X$32)-SUM('MDA1:NCA9'!X$34))</f>
        <v>15677.608246898904</v>
      </c>
      <c r="Y49" s="12">
        <f>'Corp.'!Y$50*(Y$37-(Y31-Y32-Y34)*$C$35)/(SUM('MDA1:NCA9'!Y$37)-SUM('MDA1:NCA9'!Y$31)-SUM('MDA1:NCA9'!Y$32)-SUM('MDA1:NCA9'!Y$34))</f>
        <v>15366.447712966088</v>
      </c>
      <c r="Z49" s="12">
        <f>'Corp.'!Z$50*(Z$37-(Z31-Z32-Z34)*$C$35)/(SUM('MDA1:NCA9'!Z$37)-SUM('MDA1:NCA9'!Z$31)-SUM('MDA1:NCA9'!Z$32)-SUM('MDA1:NCA9'!Z$34))</f>
        <v>15055.114933771338</v>
      </c>
      <c r="AA49" s="12">
        <f>'Corp.'!AA$50*(AA$37-(AA31-AA32-AA34)*$C$35)/(SUM('MDA1:NCA9'!AA$37)-SUM('MDA1:NCA9'!AA$31)-SUM('MDA1:NCA9'!AA$32)-SUM('MDA1:NCA9'!AA$34))</f>
        <v>14732.223879659061</v>
      </c>
      <c r="AB49" s="12">
        <f>'Corp.'!AB$50*(AB$37-(AB31-AB32-AB34)*$C$35)/(SUM('MDA1:NCA9'!AB$37)-SUM('MDA1:NCA9'!AB$31)-SUM('MDA1:NCA9'!AB$32)-SUM('MDA1:NCA9'!AB$34))</f>
        <v>14416.616180633298</v>
      </c>
      <c r="AC49" s="12">
        <f>'Corp.'!AC$50*(AC$37-(AC31-AC32-AC34)*$C$35)/(SUM('MDA1:NCA9'!AC$37)-SUM('MDA1:NCA9'!AC$31)-SUM('MDA1:NCA9'!AC$32)-SUM('MDA1:NCA9'!AC$34))</f>
        <v>15600.765825497012</v>
      </c>
      <c r="AD49" s="12">
        <f>'Corp.'!AD$50*(AD$37-(AD31-AD32-AD34)*$C$35)/(SUM('MDA1:NCA9'!AD$37)-SUM('MDA1:NCA9'!AD$31)-SUM('MDA1:NCA9'!AD$32)-SUM('MDA1:NCA9'!AD$34))</f>
        <v>15361.230356213378</v>
      </c>
      <c r="AE49" s="12">
        <f>'Corp.'!AE$50*(AE$37-(AE31-AE32-AE34)*$C$35)/(SUM('MDA1:NCA9'!AE$37)-SUM('MDA1:NCA9'!AE$31)-SUM('MDA1:NCA9'!AE$32)-SUM('MDA1:NCA9'!AE$34))</f>
        <v>15134.45880467236</v>
      </c>
      <c r="AF49" s="12">
        <f>'Corp.'!AF$50*(AF$37-(AF31-AF32-AF34)*$C$35)/(SUM('MDA1:NCA9'!AF$37)-SUM('MDA1:NCA9'!AF$31)-SUM('MDA1:NCA9'!AF$32)-SUM('MDA1:NCA9'!AF$34))</f>
        <v>14921.211936035288</v>
      </c>
      <c r="AG49" s="12">
        <f>'Corp.'!AG$50*(AG$37-(AG31-AG32-AG34)*$C$35)/(SUM('MDA1:NCA9'!AG$37)-SUM('MDA1:NCA9'!AG$31)-SUM('MDA1:NCA9'!AG$32)-SUM('MDA1:NCA9'!AG$34))</f>
        <v>14751.391287675018</v>
      </c>
      <c r="AH49" s="12">
        <f>'Corp.'!AH$50*(AH$37-(AH31-AH32-AH34)*$C$35)/(SUM('MDA1:NCA9'!AH$37)-SUM('MDA1:NCA9'!AH$31)-SUM('MDA1:NCA9'!AH$32)-SUM('MDA1:NCA9'!AH$34))</f>
        <v>14526.251765047007</v>
      </c>
      <c r="AI49" s="12">
        <f>'Corp.'!AI$50*(AI$37-(AI31-AI32-AI34)*$C$35)/(SUM('MDA1:NCA9'!AI$37)-SUM('MDA1:NCA9'!AI$31)-SUM('MDA1:NCA9'!AI$32)-SUM('MDA1:NCA9'!AI$34))</f>
        <v>14292.835117554197</v>
      </c>
      <c r="AJ49" s="12">
        <f>'Corp.'!AJ$50*(AJ$37-(AJ31-AJ32-AJ34)*$C$35)/(SUM('MDA1:NCA9'!AJ$37)-SUM('MDA1:NCA9'!AJ$31)-SUM('MDA1:NCA9'!AJ$32)-SUM('MDA1:NCA9'!AJ$34))</f>
        <v>14051.872500080748</v>
      </c>
      <c r="AK49" s="12">
        <f>'Corp.'!AK$50*(AK$37-(AK31-AK32-AK34)*$C$35)/(SUM('MDA1:NCA9'!AK$37)-SUM('MDA1:NCA9'!AK$31)-SUM('MDA1:NCA9'!AK$32)-SUM('MDA1:NCA9'!AK$34))</f>
        <v>13829.295938346486</v>
      </c>
      <c r="AL49" s="12">
        <f>'Corp.'!AL$50*(AL$37-(AL31-AL32-AL34)*$C$35)/(SUM('MDA1:NCA9'!AL$37)-SUM('MDA1:NCA9'!AL$31)-SUM('MDA1:NCA9'!AL$32)-SUM('MDA1:NCA9'!AL$34))</f>
        <v>13624.70346499932</v>
      </c>
      <c r="AM49" s="12">
        <f>'Corp.'!AM$50*(AM$37-(AM31-AM32-AM34)*$C$35)/(SUM('MDA1:NCA9'!AM$37)-SUM('MDA1:NCA9'!AM$31)-SUM('MDA1:NCA9'!AM$32)-SUM('MDA1:NCA9'!AM$34))</f>
        <v>13404.110077816113</v>
      </c>
      <c r="AN49" s="12">
        <f>'Corp.'!AN$50*(AN$37-(AN31-AN32-AN34)*$C$35)/(SUM('MDA1:NCA9'!AN$37)-SUM('MDA1:NCA9'!AN$31)-SUM('MDA1:NCA9'!AN$32)-SUM('MDA1:NCA9'!AN$34))</f>
        <v>13216.363430343878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132229.6956612987</v>
      </c>
      <c r="F50" s="13">
        <v>129871.96580564123</v>
      </c>
      <c r="G50" s="13">
        <v>126598.6104554206</v>
      </c>
      <c r="H50" s="13">
        <v>123769.44246892727</v>
      </c>
      <c r="I50" s="13">
        <v>121993.88368805837</v>
      </c>
      <c r="J50" s="13">
        <v>120145.17787005338</v>
      </c>
      <c r="K50" s="13">
        <v>117984.42396178763</v>
      </c>
      <c r="L50" s="13">
        <v>116640.76128061605</v>
      </c>
      <c r="M50" s="13">
        <v>115195.1428442559</v>
      </c>
      <c r="N50" s="13">
        <v>113954.50790979015</v>
      </c>
      <c r="O50" s="13">
        <v>112652.91676064189</v>
      </c>
      <c r="P50" s="13">
        <v>111586.70195833209</v>
      </c>
      <c r="Q50" s="13">
        <v>120303.88638989028</v>
      </c>
      <c r="R50" s="13">
        <v>119599.28910434427</v>
      </c>
      <c r="S50" s="13">
        <v>118819.32492022711</v>
      </c>
      <c r="T50" s="13">
        <v>118161.6497892655</v>
      </c>
      <c r="U50" s="13">
        <v>117712.86731735615</v>
      </c>
      <c r="V50" s="13">
        <v>117348.66655540249</v>
      </c>
      <c r="W50" s="13">
        <v>116869.83533223991</v>
      </c>
      <c r="X50" s="13">
        <v>116389.60403782534</v>
      </c>
      <c r="Y50" s="13">
        <v>116078.44350389251</v>
      </c>
      <c r="Z50" s="13">
        <v>115767.11072469778</v>
      </c>
      <c r="AA50" s="13">
        <v>115444.2196705855</v>
      </c>
      <c r="AB50" s="13">
        <v>115128.61197155973</v>
      </c>
      <c r="AC50" s="13">
        <v>124937.22619551609</v>
      </c>
      <c r="AD50" s="13">
        <v>124697.69072623245</v>
      </c>
      <c r="AE50" s="13">
        <v>124470.91917469144</v>
      </c>
      <c r="AF50" s="13">
        <v>124257.67230605436</v>
      </c>
      <c r="AG50" s="13">
        <v>124087.85165769409</v>
      </c>
      <c r="AH50" s="13">
        <v>123862.71213506609</v>
      </c>
      <c r="AI50" s="13">
        <v>123629.29548757328</v>
      </c>
      <c r="AJ50" s="13">
        <v>123388.33287009982</v>
      </c>
      <c r="AK50" s="13">
        <v>123165.75630836557</v>
      </c>
      <c r="AL50" s="13">
        <v>122961.16383501839</v>
      </c>
      <c r="AM50" s="13">
        <v>122740.5704478352</v>
      </c>
      <c r="AN50" s="13">
        <v>122552.82380036295</v>
      </c>
    </row>
    <row r="52" spans="2:40" x14ac:dyDescent="0.25">
      <c r="B52" s="1" t="s">
        <v>50</v>
      </c>
      <c r="E52" s="74">
        <f>E37-E50</f>
        <v>37475.45143502127</v>
      </c>
      <c r="F52" s="74">
        <f t="shared" ref="F52:AN52" si="0">F37-F50</f>
        <v>39833.181290678738</v>
      </c>
      <c r="G52" s="74">
        <f t="shared" si="0"/>
        <v>43106.536640899372</v>
      </c>
      <c r="H52" s="74">
        <f t="shared" si="0"/>
        <v>45935.704627392697</v>
      </c>
      <c r="I52" s="74">
        <f t="shared" si="0"/>
        <v>47711.263408261599</v>
      </c>
      <c r="J52" s="74">
        <f t="shared" si="0"/>
        <v>49559.969226266592</v>
      </c>
      <c r="K52" s="74">
        <f t="shared" si="0"/>
        <v>51720.723134532338</v>
      </c>
      <c r="L52" s="74">
        <f t="shared" si="0"/>
        <v>53064.385815703921</v>
      </c>
      <c r="M52" s="74">
        <f t="shared" si="0"/>
        <v>54510.004252064071</v>
      </c>
      <c r="N52" s="74">
        <f t="shared" si="0"/>
        <v>55750.639186529821</v>
      </c>
      <c r="O52" s="74">
        <f t="shared" si="0"/>
        <v>57052.230335678076</v>
      </c>
      <c r="P52" s="74">
        <f t="shared" si="0"/>
        <v>58118.445137987874</v>
      </c>
      <c r="Q52" s="74">
        <f t="shared" si="0"/>
        <v>54492.415119319281</v>
      </c>
      <c r="R52" s="74">
        <f t="shared" si="0"/>
        <v>55197.012404865294</v>
      </c>
      <c r="S52" s="74">
        <f t="shared" si="0"/>
        <v>55976.976588982448</v>
      </c>
      <c r="T52" s="74">
        <f t="shared" si="0"/>
        <v>56634.651719944057</v>
      </c>
      <c r="U52" s="74">
        <f t="shared" si="0"/>
        <v>57083.434191853405</v>
      </c>
      <c r="V52" s="74">
        <f t="shared" si="0"/>
        <v>57447.634953807064</v>
      </c>
      <c r="W52" s="74">
        <f t="shared" si="0"/>
        <v>57926.466176969654</v>
      </c>
      <c r="X52" s="74">
        <f t="shared" si="0"/>
        <v>58406.697471384221</v>
      </c>
      <c r="Y52" s="74">
        <f t="shared" si="0"/>
        <v>58717.858005317044</v>
      </c>
      <c r="Z52" s="74">
        <f t="shared" si="0"/>
        <v>59029.190784511782</v>
      </c>
      <c r="AA52" s="74">
        <f t="shared" si="0"/>
        <v>59352.081838624057</v>
      </c>
      <c r="AB52" s="74">
        <f t="shared" si="0"/>
        <v>59667.689537649829</v>
      </c>
      <c r="AC52" s="74">
        <f t="shared" si="0"/>
        <v>49859.075313693465</v>
      </c>
      <c r="AD52" s="74">
        <f t="shared" si="0"/>
        <v>50098.610782977106</v>
      </c>
      <c r="AE52" s="74">
        <f t="shared" si="0"/>
        <v>50325.382334518115</v>
      </c>
      <c r="AF52" s="74">
        <f t="shared" si="0"/>
        <v>50538.6292031552</v>
      </c>
      <c r="AG52" s="74">
        <f t="shared" si="0"/>
        <v>50708.44985151547</v>
      </c>
      <c r="AH52" s="74">
        <f t="shared" si="0"/>
        <v>50933.58937414347</v>
      </c>
      <c r="AI52" s="74">
        <f t="shared" si="0"/>
        <v>51167.006021636276</v>
      </c>
      <c r="AJ52" s="74">
        <f t="shared" si="0"/>
        <v>51407.968639109735</v>
      </c>
      <c r="AK52" s="74">
        <f t="shared" si="0"/>
        <v>51630.54520084399</v>
      </c>
      <c r="AL52" s="74">
        <f t="shared" si="0"/>
        <v>51835.137674191166</v>
      </c>
      <c r="AM52" s="74">
        <f t="shared" si="0"/>
        <v>52055.731061374361</v>
      </c>
      <c r="AN52" s="74">
        <f t="shared" si="0"/>
        <v>52243.477708846607</v>
      </c>
    </row>
    <row r="53" spans="2:40" x14ac:dyDescent="0.25">
      <c r="E53" s="107">
        <f>IFERROR(E52/E37,"")</f>
        <v>0.22082684041251405</v>
      </c>
      <c r="F53" s="107">
        <f t="shared" ref="F53:AN53" si="1">IFERROR(F52/F37,"")</f>
        <v>0.23471993614943523</v>
      </c>
      <c r="G53" s="107">
        <f t="shared" si="1"/>
        <v>0.25400842212778196</v>
      </c>
      <c r="H53" s="107">
        <f t="shared" si="1"/>
        <v>0.2706795015552525</v>
      </c>
      <c r="I53" s="107">
        <f t="shared" si="1"/>
        <v>0.28114211162482894</v>
      </c>
      <c r="J53" s="107">
        <f t="shared" si="1"/>
        <v>0.29203574596436793</v>
      </c>
      <c r="K53" s="107">
        <f t="shared" si="1"/>
        <v>0.30476814651459616</v>
      </c>
      <c r="L53" s="107">
        <f t="shared" si="1"/>
        <v>0.31268577720619184</v>
      </c>
      <c r="M53" s="107">
        <f t="shared" si="1"/>
        <v>0.32120418964738701</v>
      </c>
      <c r="N53" s="107">
        <f t="shared" si="1"/>
        <v>0.32851472180090857</v>
      </c>
      <c r="O53" s="107">
        <f t="shared" si="1"/>
        <v>0.3361844429108376</v>
      </c>
      <c r="P53" s="107">
        <f t="shared" si="1"/>
        <v>0.34246719166980505</v>
      </c>
      <c r="Q53" s="107">
        <f t="shared" si="1"/>
        <v>0.31174810135469727</v>
      </c>
      <c r="R53" s="107">
        <f t="shared" si="1"/>
        <v>0.31577906356306462</v>
      </c>
      <c r="S53" s="107">
        <f t="shared" si="1"/>
        <v>0.32024119564127718</v>
      </c>
      <c r="T53" s="107">
        <f t="shared" si="1"/>
        <v>0.32400371879127043</v>
      </c>
      <c r="U53" s="107">
        <f t="shared" si="1"/>
        <v>0.32657117856035317</v>
      </c>
      <c r="V53" s="107">
        <f t="shared" si="1"/>
        <v>0.328654751031905</v>
      </c>
      <c r="W53" s="107">
        <f t="shared" si="1"/>
        <v>0.33139411804956104</v>
      </c>
      <c r="X53" s="107">
        <f t="shared" si="1"/>
        <v>0.33414149479762834</v>
      </c>
      <c r="Y53" s="107">
        <f t="shared" si="1"/>
        <v>0.33592162705012013</v>
      </c>
      <c r="Z53" s="107">
        <f t="shared" si="1"/>
        <v>0.33770274470825512</v>
      </c>
      <c r="AA53" s="107">
        <f t="shared" si="1"/>
        <v>0.33954998661969371</v>
      </c>
      <c r="AB53" s="107">
        <f t="shared" si="1"/>
        <v>0.34135556085839774</v>
      </c>
      <c r="AC53" s="107">
        <f t="shared" si="1"/>
        <v>0.28524101987973999</v>
      </c>
      <c r="AD53" s="107">
        <f t="shared" si="1"/>
        <v>0.28661138908787231</v>
      </c>
      <c r="AE53" s="107">
        <f t="shared" si="1"/>
        <v>0.28790873662659622</v>
      </c>
      <c r="AF53" s="107">
        <f t="shared" si="1"/>
        <v>0.28912871020038405</v>
      </c>
      <c r="AG53" s="107">
        <f t="shared" si="1"/>
        <v>0.29010024476315233</v>
      </c>
      <c r="AH53" s="107">
        <f t="shared" si="1"/>
        <v>0.29138825555447989</v>
      </c>
      <c r="AI53" s="107">
        <f t="shared" si="1"/>
        <v>0.29272361932063201</v>
      </c>
      <c r="AJ53" s="107">
        <f t="shared" si="1"/>
        <v>0.29410215316484362</v>
      </c>
      <c r="AK53" s="107">
        <f t="shared" si="1"/>
        <v>0.29537550139825874</v>
      </c>
      <c r="AL53" s="107">
        <f t="shared" si="1"/>
        <v>0.29654596365392838</v>
      </c>
      <c r="AM53" s="107">
        <f t="shared" si="1"/>
        <v>0.29780796625511941</v>
      </c>
      <c r="AN53" s="107">
        <f t="shared" si="1"/>
        <v>0.29888205447009436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-25455.772064447996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-25455.772064447996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-25455.772064447996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-25455.772064447996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-25455.772064447996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12019.679370573274</v>
      </c>
      <c r="F58" s="13">
        <f t="shared" ref="F58:AN58" si="2">F37-F50-F55+F56</f>
        <v>14377.409226230742</v>
      </c>
      <c r="G58" s="13">
        <f t="shared" si="2"/>
        <v>17650.764576451376</v>
      </c>
      <c r="H58" s="13">
        <f t="shared" si="2"/>
        <v>20479.932562944701</v>
      </c>
      <c r="I58" s="13">
        <f t="shared" si="2"/>
        <v>22255.491343813603</v>
      </c>
      <c r="J58" s="13">
        <f t="shared" si="2"/>
        <v>24104.197161818596</v>
      </c>
      <c r="K58" s="13">
        <f t="shared" si="2"/>
        <v>26264.951070084342</v>
      </c>
      <c r="L58" s="13">
        <f t="shared" si="2"/>
        <v>27608.613751255925</v>
      </c>
      <c r="M58" s="13">
        <f t="shared" si="2"/>
        <v>29054.232187616075</v>
      </c>
      <c r="N58" s="13">
        <f t="shared" si="2"/>
        <v>30294.867122081825</v>
      </c>
      <c r="O58" s="13">
        <f t="shared" si="2"/>
        <v>31596.45827123008</v>
      </c>
      <c r="P58" s="13">
        <f t="shared" si="2"/>
        <v>32662.673073539878</v>
      </c>
      <c r="Q58" s="13">
        <f t="shared" si="2"/>
        <v>29036.643054871285</v>
      </c>
      <c r="R58" s="13">
        <f t="shared" si="2"/>
        <v>29741.240340417298</v>
      </c>
      <c r="S58" s="13">
        <f t="shared" si="2"/>
        <v>30521.204524534453</v>
      </c>
      <c r="T58" s="13">
        <f t="shared" si="2"/>
        <v>31178.879655496061</v>
      </c>
      <c r="U58" s="13">
        <f t="shared" si="2"/>
        <v>31627.662127405409</v>
      </c>
      <c r="V58" s="13">
        <f t="shared" si="2"/>
        <v>31228.18972742563</v>
      </c>
      <c r="W58" s="13">
        <f t="shared" si="2"/>
        <v>31707.020950588219</v>
      </c>
      <c r="X58" s="13">
        <f t="shared" si="2"/>
        <v>32187.252245002786</v>
      </c>
      <c r="Y58" s="13">
        <f t="shared" si="2"/>
        <v>32498.41277893561</v>
      </c>
      <c r="Z58" s="13">
        <f t="shared" si="2"/>
        <v>32809.745558130351</v>
      </c>
      <c r="AA58" s="13">
        <f t="shared" si="2"/>
        <v>33132.636612242626</v>
      </c>
      <c r="AB58" s="13">
        <f t="shared" si="2"/>
        <v>33448.244311268398</v>
      </c>
      <c r="AC58" s="13">
        <f t="shared" si="2"/>
        <v>23639.630087312031</v>
      </c>
      <c r="AD58" s="13">
        <f t="shared" si="2"/>
        <v>23879.165556595672</v>
      </c>
      <c r="AE58" s="13">
        <f t="shared" si="2"/>
        <v>24105.937108136681</v>
      </c>
      <c r="AF58" s="13">
        <f t="shared" si="2"/>
        <v>24319.183976773766</v>
      </c>
      <c r="AG58" s="13">
        <f t="shared" si="2"/>
        <v>24489.004625134035</v>
      </c>
      <c r="AH58" s="13">
        <f t="shared" si="2"/>
        <v>24714.144147762036</v>
      </c>
      <c r="AI58" s="13">
        <f t="shared" si="2"/>
        <v>24947.560795254842</v>
      </c>
      <c r="AJ58" s="13">
        <f t="shared" si="2"/>
        <v>25188.5234127283</v>
      </c>
      <c r="AK58" s="13">
        <f t="shared" si="2"/>
        <v>25411.099974462555</v>
      </c>
      <c r="AL58" s="13">
        <f t="shared" si="2"/>
        <v>25615.692447809732</v>
      </c>
      <c r="AM58" s="13">
        <f t="shared" si="2"/>
        <v>25836.285834992927</v>
      </c>
      <c r="AN58" s="13">
        <f t="shared" si="2"/>
        <v>26024.032482465173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12019.679370573274</v>
      </c>
      <c r="F59" s="12">
        <v>26397.088596804017</v>
      </c>
      <c r="G59" s="12">
        <v>44047.853173255397</v>
      </c>
      <c r="H59" s="12">
        <v>64527.785736200094</v>
      </c>
      <c r="I59" s="12">
        <v>86783.277080013693</v>
      </c>
      <c r="J59" s="12">
        <v>110887.47424183229</v>
      </c>
      <c r="K59" s="12">
        <v>137152.42531191662</v>
      </c>
      <c r="L59" s="12">
        <v>164761.03906317256</v>
      </c>
      <c r="M59" s="12">
        <v>193815.27125078865</v>
      </c>
      <c r="N59" s="12">
        <v>224110.13837287048</v>
      </c>
      <c r="O59" s="12">
        <v>255706.59664410056</v>
      </c>
      <c r="P59" s="12">
        <v>288369.26971764042</v>
      </c>
      <c r="Q59" s="12">
        <v>317405.91277251171</v>
      </c>
      <c r="R59" s="12">
        <v>347147.15311292902</v>
      </c>
      <c r="S59" s="12">
        <v>377668.35763746349</v>
      </c>
      <c r="T59" s="12">
        <v>408847.23729295953</v>
      </c>
      <c r="U59" s="12">
        <v>440474.89942036493</v>
      </c>
      <c r="V59" s="12">
        <v>471703.08914779057</v>
      </c>
      <c r="W59" s="12">
        <v>503410.11009837879</v>
      </c>
      <c r="X59" s="12">
        <v>535597.36234338162</v>
      </c>
      <c r="Y59" s="12">
        <v>568095.77512231725</v>
      </c>
      <c r="Z59" s="12">
        <v>600905.52068044757</v>
      </c>
      <c r="AA59" s="12">
        <v>634038.15729269024</v>
      </c>
      <c r="AB59" s="12">
        <v>667486.40160395869</v>
      </c>
      <c r="AC59" s="12">
        <v>691126.03169127076</v>
      </c>
      <c r="AD59" s="12">
        <v>715005.19724786642</v>
      </c>
      <c r="AE59" s="12">
        <v>739111.13435600314</v>
      </c>
      <c r="AF59" s="12">
        <v>763430.31833277689</v>
      </c>
      <c r="AG59" s="12">
        <v>787919.32295791095</v>
      </c>
      <c r="AH59" s="12">
        <v>812633.46710567293</v>
      </c>
      <c r="AI59" s="12">
        <v>837581.02790092782</v>
      </c>
      <c r="AJ59" s="12">
        <v>862769.55131365615</v>
      </c>
      <c r="AK59" s="12">
        <v>888180.65128811868</v>
      </c>
      <c r="AL59" s="12">
        <v>913796.34373592841</v>
      </c>
      <c r="AM59" s="12">
        <v>939632.6295709213</v>
      </c>
      <c r="AN59" s="12">
        <v>965656.66205338645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B511-BF71-423C-9350-523321FB82EA}">
  <dimension ref="A1:AX75"/>
  <sheetViews>
    <sheetView workbookViewId="0">
      <pane xSplit="4" ySplit="25" topLeftCell="E5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490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8">
        <v>8.48</v>
      </c>
      <c r="G7" s="108">
        <v>11.299999999999999</v>
      </c>
      <c r="H7" s="108">
        <v>14.12</v>
      </c>
      <c r="I7" s="108">
        <v>16.950000000000003</v>
      </c>
      <c r="J7" s="108">
        <v>19.770000000000003</v>
      </c>
      <c r="K7" s="108">
        <v>22.59</v>
      </c>
      <c r="L7" s="108">
        <v>25.42</v>
      </c>
      <c r="M7" s="108">
        <v>28.240000000000002</v>
      </c>
      <c r="N7" s="108">
        <v>31.060000000000002</v>
      </c>
      <c r="O7" s="108">
        <v>33.89</v>
      </c>
      <c r="P7" s="108">
        <v>36.71</v>
      </c>
      <c r="Q7" s="108">
        <v>39.53</v>
      </c>
      <c r="R7" s="108">
        <v>39.53</v>
      </c>
      <c r="S7" s="108">
        <v>39.53</v>
      </c>
      <c r="T7" s="108">
        <v>39.53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0.86</v>
      </c>
      <c r="F8" s="108">
        <v>1.29</v>
      </c>
      <c r="G8" s="108">
        <v>1.72</v>
      </c>
      <c r="H8" s="108">
        <v>2.15</v>
      </c>
      <c r="I8" s="108">
        <v>2.5799999999999996</v>
      </c>
      <c r="J8" s="108">
        <v>3</v>
      </c>
      <c r="K8" s="108">
        <v>3.4299999999999997</v>
      </c>
      <c r="L8" s="108">
        <v>3.86</v>
      </c>
      <c r="M8" s="108">
        <v>4.29</v>
      </c>
      <c r="N8" s="108">
        <v>4.72</v>
      </c>
      <c r="O8" s="108">
        <v>5.1499999999999995</v>
      </c>
      <c r="P8" s="108">
        <v>5.58</v>
      </c>
      <c r="Q8" s="108">
        <v>6</v>
      </c>
      <c r="R8" s="108">
        <v>6</v>
      </c>
      <c r="S8" s="108">
        <v>6</v>
      </c>
      <c r="T8" s="108">
        <v>6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0.25</v>
      </c>
      <c r="F12" s="108">
        <v>0.26</v>
      </c>
      <c r="G12" s="108">
        <v>0.27</v>
      </c>
      <c r="H12" s="108">
        <v>0.29000000000000004</v>
      </c>
      <c r="I12" s="108">
        <v>0.3</v>
      </c>
      <c r="J12" s="108">
        <v>0.31</v>
      </c>
      <c r="K12" s="108">
        <v>0.33</v>
      </c>
      <c r="L12" s="108">
        <v>0.34</v>
      </c>
      <c r="M12" s="108">
        <v>0.35000000000000003</v>
      </c>
      <c r="N12" s="108">
        <v>0.36</v>
      </c>
      <c r="O12" s="108">
        <v>0.38</v>
      </c>
      <c r="P12" s="108">
        <v>0.39</v>
      </c>
      <c r="Q12" s="108">
        <v>0.17</v>
      </c>
      <c r="R12" s="108">
        <v>0.18000000000000002</v>
      </c>
      <c r="S12" s="108">
        <v>0.2</v>
      </c>
      <c r="T12" s="108">
        <v>0.21000000000000002</v>
      </c>
      <c r="U12" s="108">
        <v>0.22</v>
      </c>
      <c r="V12" s="108">
        <v>0.24000000000000002</v>
      </c>
      <c r="W12" s="108">
        <v>0.25</v>
      </c>
      <c r="X12" s="108">
        <v>0.26</v>
      </c>
      <c r="Y12" s="108">
        <v>0.27</v>
      </c>
      <c r="Z12" s="108">
        <v>0.29000000000000004</v>
      </c>
      <c r="AA12" s="108">
        <v>0.3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0.35000000000000003</v>
      </c>
      <c r="F13" s="108">
        <v>0.39</v>
      </c>
      <c r="G13" s="108">
        <v>0.42</v>
      </c>
      <c r="H13" s="108">
        <v>0.45</v>
      </c>
      <c r="I13" s="108">
        <v>0.49</v>
      </c>
      <c r="J13" s="108">
        <v>0.52</v>
      </c>
      <c r="K13" s="108">
        <v>0.55000000000000004</v>
      </c>
      <c r="L13" s="108">
        <v>0.59</v>
      </c>
      <c r="M13" s="108">
        <v>0.62</v>
      </c>
      <c r="N13" s="108">
        <v>0.65</v>
      </c>
      <c r="O13" s="108">
        <v>0.69000000000000006</v>
      </c>
      <c r="P13" s="108">
        <v>0.72</v>
      </c>
      <c r="Q13" s="108">
        <v>0.45</v>
      </c>
      <c r="R13" s="108">
        <v>0.47000000000000003</v>
      </c>
      <c r="S13" s="108">
        <v>0.49</v>
      </c>
      <c r="T13" s="108">
        <v>0.5</v>
      </c>
      <c r="U13" s="108">
        <v>0.52</v>
      </c>
      <c r="V13" s="108">
        <v>0.54</v>
      </c>
      <c r="W13" s="108">
        <v>0.55000000000000004</v>
      </c>
      <c r="X13" s="108">
        <v>0.57000000000000006</v>
      </c>
      <c r="Y13" s="108">
        <v>0.59</v>
      </c>
      <c r="Z13" s="108">
        <v>0.6</v>
      </c>
      <c r="AA13" s="108">
        <v>0.62</v>
      </c>
      <c r="AB13" s="108">
        <v>0.64</v>
      </c>
      <c r="AC13" s="108">
        <v>0.64</v>
      </c>
      <c r="AD13" s="108">
        <v>0.64</v>
      </c>
      <c r="AE13" s="108">
        <v>0.64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0.2</v>
      </c>
      <c r="F14" s="108">
        <v>0.22</v>
      </c>
      <c r="G14" s="108">
        <v>0.25</v>
      </c>
      <c r="H14" s="108">
        <v>0.27</v>
      </c>
      <c r="I14" s="108">
        <v>0.3</v>
      </c>
      <c r="J14" s="108">
        <v>0.32</v>
      </c>
      <c r="K14" s="108">
        <v>0.35000000000000003</v>
      </c>
      <c r="L14" s="108">
        <v>0.37</v>
      </c>
      <c r="M14" s="108">
        <v>0.39</v>
      </c>
      <c r="N14" s="108">
        <v>0.42</v>
      </c>
      <c r="O14" s="108">
        <v>0.44</v>
      </c>
      <c r="P14" s="108">
        <v>0.47000000000000003</v>
      </c>
      <c r="Q14" s="108">
        <v>0.34</v>
      </c>
      <c r="R14" s="108">
        <v>0.35000000000000003</v>
      </c>
      <c r="S14" s="108">
        <v>0.36</v>
      </c>
      <c r="T14" s="108">
        <v>0.37</v>
      </c>
      <c r="U14" s="108">
        <v>0.38</v>
      </c>
      <c r="V14" s="108">
        <v>0.39</v>
      </c>
      <c r="W14" s="108">
        <v>0.39</v>
      </c>
      <c r="X14" s="108">
        <v>0.4</v>
      </c>
      <c r="Y14" s="108">
        <v>0.41000000000000003</v>
      </c>
      <c r="Z14" s="108">
        <v>0.42</v>
      </c>
      <c r="AA14" s="108">
        <v>0.43</v>
      </c>
      <c r="AB14" s="108">
        <v>0.44</v>
      </c>
      <c r="AC14" s="108">
        <v>0.44</v>
      </c>
      <c r="AD14" s="108">
        <v>0.44</v>
      </c>
      <c r="AE14" s="108">
        <v>0.44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0.03</v>
      </c>
      <c r="F15" s="108">
        <v>0.04</v>
      </c>
      <c r="G15" s="108">
        <v>0.05</v>
      </c>
      <c r="H15" s="108">
        <v>0.06</v>
      </c>
      <c r="I15" s="108">
        <v>0.08</v>
      </c>
      <c r="J15" s="108">
        <v>0.09</v>
      </c>
      <c r="K15" s="108">
        <v>9.9999999999999992E-2</v>
      </c>
      <c r="L15" s="108">
        <v>0.11</v>
      </c>
      <c r="M15" s="108">
        <v>0.12</v>
      </c>
      <c r="N15" s="108">
        <v>0.14000000000000001</v>
      </c>
      <c r="O15" s="108">
        <v>0.15000000000000002</v>
      </c>
      <c r="P15" s="108">
        <v>0.16</v>
      </c>
      <c r="Q15" s="108">
        <v>0.17</v>
      </c>
      <c r="R15" s="108">
        <v>0.17</v>
      </c>
      <c r="S15" s="108">
        <v>0.17</v>
      </c>
      <c r="T15" s="108">
        <v>0.17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0.03</v>
      </c>
      <c r="F16" s="108">
        <v>0.04</v>
      </c>
      <c r="G16" s="108">
        <v>0.05</v>
      </c>
      <c r="H16" s="108">
        <v>0.06</v>
      </c>
      <c r="I16" s="108">
        <v>0.08</v>
      </c>
      <c r="J16" s="108">
        <v>0.09</v>
      </c>
      <c r="K16" s="108">
        <v>9.9999999999999992E-2</v>
      </c>
      <c r="L16" s="108">
        <v>0.11</v>
      </c>
      <c r="M16" s="108">
        <v>0.12</v>
      </c>
      <c r="N16" s="108">
        <v>0.14000000000000001</v>
      </c>
      <c r="O16" s="108">
        <v>0.15000000000000002</v>
      </c>
      <c r="P16" s="108">
        <v>0.16</v>
      </c>
      <c r="Q16" s="108">
        <v>0.17</v>
      </c>
      <c r="R16" s="108">
        <v>0.17</v>
      </c>
      <c r="S16" s="108">
        <v>0.17</v>
      </c>
      <c r="T16" s="108">
        <v>0.17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0.6</v>
      </c>
      <c r="F17" s="108">
        <v>0.9</v>
      </c>
      <c r="G17" s="108">
        <v>1.2</v>
      </c>
      <c r="H17" s="108">
        <v>1.5</v>
      </c>
      <c r="I17" s="108">
        <v>1.8</v>
      </c>
      <c r="J17" s="108">
        <v>2.1</v>
      </c>
      <c r="K17" s="108">
        <v>2.4</v>
      </c>
      <c r="L17" s="108">
        <v>2.7</v>
      </c>
      <c r="M17" s="108">
        <v>3</v>
      </c>
      <c r="N17" s="108">
        <v>3.3</v>
      </c>
      <c r="O17" s="108">
        <v>3.6</v>
      </c>
      <c r="P17" s="108">
        <v>3.9</v>
      </c>
      <c r="Q17" s="108">
        <v>4.2</v>
      </c>
      <c r="R17" s="108">
        <v>4.2</v>
      </c>
      <c r="S17" s="108">
        <v>4.2</v>
      </c>
      <c r="T17" s="108">
        <v>4.2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7</v>
      </c>
      <c r="F21" s="120">
        <v>10</v>
      </c>
      <c r="G21" s="120">
        <v>13</v>
      </c>
      <c r="H21" s="120">
        <v>16</v>
      </c>
      <c r="I21" s="120">
        <v>20</v>
      </c>
      <c r="J21" s="120">
        <v>23</v>
      </c>
      <c r="K21" s="120">
        <v>26</v>
      </c>
      <c r="L21" s="120">
        <v>29</v>
      </c>
      <c r="M21" s="120">
        <v>33</v>
      </c>
      <c r="N21" s="120">
        <v>36</v>
      </c>
      <c r="O21" s="120">
        <v>39</v>
      </c>
      <c r="P21" s="120">
        <v>42</v>
      </c>
      <c r="Q21" s="120">
        <v>46</v>
      </c>
      <c r="R21" s="120">
        <v>46</v>
      </c>
      <c r="S21" s="120">
        <v>46</v>
      </c>
      <c r="T21" s="120">
        <v>46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18750</v>
      </c>
      <c r="F42" s="12">
        <v>18750</v>
      </c>
      <c r="G42" s="12">
        <v>18750</v>
      </c>
      <c r="H42" s="12">
        <v>18750</v>
      </c>
      <c r="I42" s="12">
        <v>18750</v>
      </c>
      <c r="J42" s="12">
        <v>18750</v>
      </c>
      <c r="K42" s="12">
        <v>18750</v>
      </c>
      <c r="L42" s="12">
        <v>18750</v>
      </c>
      <c r="M42" s="12">
        <v>18750</v>
      </c>
      <c r="N42" s="12">
        <v>18750</v>
      </c>
      <c r="O42" s="12">
        <v>18750</v>
      </c>
      <c r="P42" s="12">
        <v>18750</v>
      </c>
      <c r="Q42" s="12">
        <v>19312.5</v>
      </c>
      <c r="R42" s="12">
        <v>19312.5</v>
      </c>
      <c r="S42" s="12">
        <v>19312.5</v>
      </c>
      <c r="T42" s="12">
        <v>19312.5</v>
      </c>
      <c r="U42" s="12">
        <v>19312.5</v>
      </c>
      <c r="V42" s="12">
        <v>19312.5</v>
      </c>
      <c r="W42" s="12">
        <v>19312.5</v>
      </c>
      <c r="X42" s="12">
        <v>19312.5</v>
      </c>
      <c r="Y42" s="12">
        <v>19312.5</v>
      </c>
      <c r="Z42" s="12">
        <v>19312.5</v>
      </c>
      <c r="AA42" s="12">
        <v>19312.5</v>
      </c>
      <c r="AB42" s="12">
        <v>19312.5</v>
      </c>
      <c r="AC42" s="12">
        <v>19891.875</v>
      </c>
      <c r="AD42" s="12">
        <v>19891.875</v>
      </c>
      <c r="AE42" s="12">
        <v>19891.875</v>
      </c>
      <c r="AF42" s="12">
        <v>19891.875</v>
      </c>
      <c r="AG42" s="12">
        <v>19891.875</v>
      </c>
      <c r="AH42" s="12">
        <v>19891.875</v>
      </c>
      <c r="AI42" s="12">
        <v>19891.875</v>
      </c>
      <c r="AJ42" s="12">
        <v>19891.875</v>
      </c>
      <c r="AK42" s="12">
        <v>19891.875</v>
      </c>
      <c r="AL42" s="12">
        <v>19891.875</v>
      </c>
      <c r="AM42" s="12">
        <v>19891.875</v>
      </c>
      <c r="AN42" s="12">
        <v>19891.875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6000</v>
      </c>
      <c r="F43" s="12">
        <v>6000</v>
      </c>
      <c r="G43" s="12">
        <v>6000</v>
      </c>
      <c r="H43" s="12">
        <v>6000</v>
      </c>
      <c r="I43" s="12">
        <v>6000</v>
      </c>
      <c r="J43" s="12">
        <v>6000</v>
      </c>
      <c r="K43" s="12">
        <v>6000</v>
      </c>
      <c r="L43" s="12">
        <v>6000</v>
      </c>
      <c r="M43" s="12">
        <v>6000</v>
      </c>
      <c r="N43" s="12">
        <v>6000</v>
      </c>
      <c r="O43" s="12">
        <v>6000</v>
      </c>
      <c r="P43" s="12">
        <v>6000</v>
      </c>
      <c r="Q43" s="12">
        <v>6240</v>
      </c>
      <c r="R43" s="12">
        <v>6240</v>
      </c>
      <c r="S43" s="12">
        <v>6240</v>
      </c>
      <c r="T43" s="12">
        <v>6240</v>
      </c>
      <c r="U43" s="12">
        <v>6240</v>
      </c>
      <c r="V43" s="12">
        <v>6240</v>
      </c>
      <c r="W43" s="12">
        <v>6240</v>
      </c>
      <c r="X43" s="12">
        <v>6240</v>
      </c>
      <c r="Y43" s="12">
        <v>6240</v>
      </c>
      <c r="Z43" s="12">
        <v>6240</v>
      </c>
      <c r="AA43" s="12">
        <v>6240</v>
      </c>
      <c r="AB43" s="12">
        <v>6240</v>
      </c>
      <c r="AC43" s="12">
        <v>6489.6</v>
      </c>
      <c r="AD43" s="12">
        <v>6489.6</v>
      </c>
      <c r="AE43" s="12">
        <v>6489.6</v>
      </c>
      <c r="AF43" s="12">
        <v>6489.6</v>
      </c>
      <c r="AG43" s="12">
        <v>6489.6</v>
      </c>
      <c r="AH43" s="12">
        <v>6489.6</v>
      </c>
      <c r="AI43" s="12">
        <v>6489.6</v>
      </c>
      <c r="AJ43" s="12">
        <v>6489.6</v>
      </c>
      <c r="AK43" s="12">
        <v>6489.6</v>
      </c>
      <c r="AL43" s="12">
        <v>6489.6</v>
      </c>
      <c r="AM43" s="12">
        <v>6489.6</v>
      </c>
      <c r="AN43" s="12">
        <v>6489.6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26746.958461481525</v>
      </c>
      <c r="F49" s="12">
        <f>'Corp.'!F$50*(F$37-(F31-F32-F34)*$C$35)/(SUM('MDA1:NCA9'!F$37)-SUM('MDA1:NCA9'!F$31)-SUM('MDA1:NCA9'!F$32)-SUM('MDA1:NCA9'!F$34))</f>
        <v>35231.122709043113</v>
      </c>
      <c r="G49" s="12">
        <f>'Corp.'!G$50*(G$37-(G31-G32-G34)*$C$35)/(SUM('MDA1:NCA9'!G$37)-SUM('MDA1:NCA9'!G$31)-SUM('MDA1:NCA9'!G$32)-SUM('MDA1:NCA9'!G$34))</f>
        <v>41310.413569697186</v>
      </c>
      <c r="H49" s="12">
        <f>'Corp.'!H$50*(H$37-(H31-H32-H34)*$C$35)/(SUM('MDA1:NCA9'!H$37)-SUM('MDA1:NCA9'!H$31)-SUM('MDA1:NCA9'!H$32)-SUM('MDA1:NCA9'!H$34))</f>
        <v>46271.205917026382</v>
      </c>
      <c r="I49" s="12">
        <f>'Corp.'!I$50*(I$37-(I31-I32-I34)*$C$35)/(SUM('MDA1:NCA9'!I$37)-SUM('MDA1:NCA9'!I$31)-SUM('MDA1:NCA9'!I$32)-SUM('MDA1:NCA9'!I$34))</f>
        <v>51554.228130590229</v>
      </c>
      <c r="J49" s="12">
        <f>'Corp.'!J$50*(J$37-(J31-J32-J34)*$C$35)/(SUM('MDA1:NCA9'!J$37)-SUM('MDA1:NCA9'!J$31)-SUM('MDA1:NCA9'!J$32)-SUM('MDA1:NCA9'!J$34))</f>
        <v>55720.771071521536</v>
      </c>
      <c r="K49" s="12">
        <f>'Corp.'!K$50*(K$37-(K31-K32-K34)*$C$35)/(SUM('MDA1:NCA9'!K$37)-SUM('MDA1:NCA9'!K$31)-SUM('MDA1:NCA9'!K$32)-SUM('MDA1:NCA9'!K$34))</f>
        <v>58158.425070684068</v>
      </c>
      <c r="L49" s="12">
        <f>'Corp.'!L$50*(L$37-(L31-L32-L34)*$C$35)/(SUM('MDA1:NCA9'!L$37)-SUM('MDA1:NCA9'!L$31)-SUM('MDA1:NCA9'!L$32)-SUM('MDA1:NCA9'!L$34))</f>
        <v>61531.756034752965</v>
      </c>
      <c r="M49" s="12">
        <f>'Corp.'!M$50*(M$37-(M31-M32-M34)*$C$35)/(SUM('MDA1:NCA9'!M$37)-SUM('MDA1:NCA9'!M$31)-SUM('MDA1:NCA9'!M$32)-SUM('MDA1:NCA9'!M$34))</f>
        <v>63881.770016869268</v>
      </c>
      <c r="N49" s="12">
        <f>'Corp.'!N$50*(N$37-(N31-N32-N34)*$C$35)/(SUM('MDA1:NCA9'!N$37)-SUM('MDA1:NCA9'!N$31)-SUM('MDA1:NCA9'!N$32)-SUM('MDA1:NCA9'!N$34))</f>
        <v>66085.989386188114</v>
      </c>
      <c r="O49" s="12">
        <f>'Corp.'!O$50*(O$37-(O31-O32-O34)*$C$35)/(SUM('MDA1:NCA9'!O$37)-SUM('MDA1:NCA9'!O$31)-SUM('MDA1:NCA9'!O$32)-SUM('MDA1:NCA9'!O$34))</f>
        <v>67406.985653853728</v>
      </c>
      <c r="P49" s="12">
        <f>'Corp.'!P$50*(P$37-(P31-P32-P34)*$C$35)/(SUM('MDA1:NCA9'!P$37)-SUM('MDA1:NCA9'!P$31)-SUM('MDA1:NCA9'!P$32)-SUM('MDA1:NCA9'!P$34))</f>
        <v>68883.998801380425</v>
      </c>
      <c r="Q49" s="12">
        <f>'Corp.'!Q$50*(Q$37-(Q31-Q32-Q34)*$C$35)/(SUM('MDA1:NCA9'!Q$37)-SUM('MDA1:NCA9'!Q$31)-SUM('MDA1:NCA9'!Q$32)-SUM('MDA1:NCA9'!Q$34))</f>
        <v>77337.923077566316</v>
      </c>
      <c r="R49" s="12">
        <f>'Corp.'!R$50*(R$37-(R31-R32-R34)*$C$35)/(SUM('MDA1:NCA9'!R$37)-SUM('MDA1:NCA9'!R$31)-SUM('MDA1:NCA9'!R$32)-SUM('MDA1:NCA9'!R$34))</f>
        <v>74556.563596460328</v>
      </c>
      <c r="S49" s="12">
        <f>'Corp.'!S$50*(S$37-(S31-S32-S34)*$C$35)/(SUM('MDA1:NCA9'!S$37)-SUM('MDA1:NCA9'!S$31)-SUM('MDA1:NCA9'!S$32)-SUM('MDA1:NCA9'!S$34))</f>
        <v>71477.697380368903</v>
      </c>
      <c r="T49" s="12">
        <f>'Corp.'!T$50*(T$37-(T31-T32-T34)*$C$35)/(SUM('MDA1:NCA9'!T$37)-SUM('MDA1:NCA9'!T$31)-SUM('MDA1:NCA9'!T$32)-SUM('MDA1:NCA9'!T$34))</f>
        <v>68881.5605536847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144818.34284282144</v>
      </c>
      <c r="F50" s="13">
        <v>174041.79701438631</v>
      </c>
      <c r="G50" s="13">
        <v>200816.64899904365</v>
      </c>
      <c r="H50" s="13">
        <v>226505.86913704281</v>
      </c>
      <c r="I50" s="13">
        <v>252805.48127460998</v>
      </c>
      <c r="J50" s="13">
        <v>277501.56867287785</v>
      </c>
      <c r="K50" s="13">
        <v>300734.95046271035</v>
      </c>
      <c r="L50" s="13">
        <v>324847.57135078253</v>
      </c>
      <c r="M50" s="13">
        <v>347825.8464569021</v>
      </c>
      <c r="N50" s="13">
        <v>370935.62695022428</v>
      </c>
      <c r="O50" s="13">
        <v>393096.07980855985</v>
      </c>
      <c r="P50" s="13">
        <v>415268.65408008988</v>
      </c>
      <c r="Q50" s="13">
        <v>470963.53612055036</v>
      </c>
      <c r="R50" s="13">
        <v>468506.94997277769</v>
      </c>
      <c r="S50" s="13">
        <v>465862.76042335283</v>
      </c>
      <c r="T50" s="13">
        <v>463520.83693000203</v>
      </c>
      <c r="U50" s="13">
        <v>462074.06585235754</v>
      </c>
      <c r="V50" s="13">
        <v>461071.07981003303</v>
      </c>
      <c r="W50" s="13">
        <v>459361.38292033807</v>
      </c>
      <c r="X50" s="13">
        <v>457790.46932548692</v>
      </c>
      <c r="Y50" s="13">
        <v>456886.95336654835</v>
      </c>
      <c r="Z50" s="13">
        <v>456022.10081213526</v>
      </c>
      <c r="AA50" s="13">
        <v>455072.27926248725</v>
      </c>
      <c r="AB50" s="13">
        <v>454151.20836110273</v>
      </c>
      <c r="AC50" s="13">
        <v>494213.86608197185</v>
      </c>
      <c r="AD50" s="13">
        <v>493268.31283869344</v>
      </c>
      <c r="AE50" s="13">
        <v>492373.14446682704</v>
      </c>
      <c r="AF50" s="13">
        <v>491531.36404548993</v>
      </c>
      <c r="AG50" s="13">
        <v>490861.00626794272</v>
      </c>
      <c r="AH50" s="13">
        <v>489972.28024148941</v>
      </c>
      <c r="AI50" s="13">
        <v>489050.88071459654</v>
      </c>
      <c r="AJ50" s="13">
        <v>488099.69388142199</v>
      </c>
      <c r="AK50" s="13">
        <v>487221.08500376809</v>
      </c>
      <c r="AL50" s="13">
        <v>486413.46733736439</v>
      </c>
      <c r="AM50" s="13">
        <v>485542.68693344068</v>
      </c>
      <c r="AN50" s="13">
        <v>484801.56724889902</v>
      </c>
    </row>
    <row r="52" spans="2:40" x14ac:dyDescent="0.25">
      <c r="B52" s="1" t="s">
        <v>50</v>
      </c>
      <c r="E52" s="74">
        <f>E37-E50</f>
        <v>-29573.411616154757</v>
      </c>
      <c r="F52" s="74">
        <f t="shared" ref="F52:AN52" si="0">F37-F50</f>
        <v>-12575.456507719675</v>
      </c>
      <c r="G52" s="74">
        <f t="shared" si="0"/>
        <v>6871.1007876230287</v>
      </c>
      <c r="H52" s="74">
        <f t="shared" si="0"/>
        <v>27403.289929623803</v>
      </c>
      <c r="I52" s="74">
        <f t="shared" si="0"/>
        <v>47325.087072056602</v>
      </c>
      <c r="J52" s="74">
        <f t="shared" si="0"/>
        <v>68850.408953788748</v>
      </c>
      <c r="K52" s="74">
        <f t="shared" si="0"/>
        <v>91838.436443956336</v>
      </c>
      <c r="L52" s="74">
        <f t="shared" si="0"/>
        <v>113947.22483588406</v>
      </c>
      <c r="M52" s="74">
        <f t="shared" si="0"/>
        <v>137190.35900976456</v>
      </c>
      <c r="N52" s="74">
        <f t="shared" si="0"/>
        <v>160301.98779644235</v>
      </c>
      <c r="O52" s="74">
        <f t="shared" si="0"/>
        <v>184362.94421810668</v>
      </c>
      <c r="P52" s="74">
        <f t="shared" si="0"/>
        <v>208411.77922657679</v>
      </c>
      <c r="Q52" s="74">
        <f t="shared" si="0"/>
        <v>219035.36174371617</v>
      </c>
      <c r="R52" s="74">
        <f t="shared" si="0"/>
        <v>221491.94789148885</v>
      </c>
      <c r="S52" s="74">
        <f t="shared" si="0"/>
        <v>224136.13744091371</v>
      </c>
      <c r="T52" s="74">
        <f t="shared" si="0"/>
        <v>226478.0609342645</v>
      </c>
      <c r="U52" s="74">
        <f t="shared" si="0"/>
        <v>227924.83201190899</v>
      </c>
      <c r="V52" s="74">
        <f t="shared" si="0"/>
        <v>228927.8180542335</v>
      </c>
      <c r="W52" s="74">
        <f t="shared" si="0"/>
        <v>230637.51494392846</v>
      </c>
      <c r="X52" s="74">
        <f t="shared" si="0"/>
        <v>232208.42853877961</v>
      </c>
      <c r="Y52" s="74">
        <f t="shared" si="0"/>
        <v>233111.94449771818</v>
      </c>
      <c r="Z52" s="74">
        <f t="shared" si="0"/>
        <v>233976.79705213127</v>
      </c>
      <c r="AA52" s="74">
        <f t="shared" si="0"/>
        <v>234926.61860177928</v>
      </c>
      <c r="AB52" s="74">
        <f t="shared" si="0"/>
        <v>235847.6895031638</v>
      </c>
      <c r="AC52" s="74">
        <f t="shared" si="0"/>
        <v>195785.03178229468</v>
      </c>
      <c r="AD52" s="74">
        <f t="shared" si="0"/>
        <v>196730.58502557309</v>
      </c>
      <c r="AE52" s="74">
        <f t="shared" si="0"/>
        <v>197625.75339743949</v>
      </c>
      <c r="AF52" s="74">
        <f t="shared" si="0"/>
        <v>198467.5338187766</v>
      </c>
      <c r="AG52" s="74">
        <f t="shared" si="0"/>
        <v>199137.89159632381</v>
      </c>
      <c r="AH52" s="74">
        <f t="shared" si="0"/>
        <v>200026.61762277712</v>
      </c>
      <c r="AI52" s="74">
        <f t="shared" si="0"/>
        <v>200948.01714966999</v>
      </c>
      <c r="AJ52" s="74">
        <f t="shared" si="0"/>
        <v>201899.20398284454</v>
      </c>
      <c r="AK52" s="74">
        <f t="shared" si="0"/>
        <v>202777.81286049844</v>
      </c>
      <c r="AL52" s="74">
        <f t="shared" si="0"/>
        <v>203585.43052690214</v>
      </c>
      <c r="AM52" s="74">
        <f t="shared" si="0"/>
        <v>204456.21093082585</v>
      </c>
      <c r="AN52" s="74">
        <f t="shared" si="0"/>
        <v>205197.33061536751</v>
      </c>
    </row>
    <row r="53" spans="2:40" x14ac:dyDescent="0.25">
      <c r="E53" s="107">
        <f>IFERROR(E52/E37,"")</f>
        <v>-0.2566135560269372</v>
      </c>
      <c r="F53" s="107">
        <f t="shared" ref="F53:AN53" si="1">IFERROR(F52/F37,"")</f>
        <v>-7.7882835941280648E-2</v>
      </c>
      <c r="G53" s="107">
        <f t="shared" si="1"/>
        <v>3.3083803906012302E-2</v>
      </c>
      <c r="H53" s="107">
        <f t="shared" si="1"/>
        <v>0.10792556688523698</v>
      </c>
      <c r="I53" s="107">
        <f t="shared" si="1"/>
        <v>0.15768166279348672</v>
      </c>
      <c r="J53" s="107">
        <f t="shared" si="1"/>
        <v>0.19878739952801056</v>
      </c>
      <c r="K53" s="107">
        <f t="shared" si="1"/>
        <v>0.23393953718465049</v>
      </c>
      <c r="L53" s="107">
        <f t="shared" si="1"/>
        <v>0.25968226110733106</v>
      </c>
      <c r="M53" s="107">
        <f t="shared" si="1"/>
        <v>0.28285726840356706</v>
      </c>
      <c r="N53" s="107">
        <f t="shared" si="1"/>
        <v>0.30175195307449415</v>
      </c>
      <c r="O53" s="107">
        <f t="shared" si="1"/>
        <v>0.31926584666134333</v>
      </c>
      <c r="P53" s="107">
        <f t="shared" si="1"/>
        <v>0.33416437023942952</v>
      </c>
      <c r="Q53" s="107">
        <f t="shared" si="1"/>
        <v>0.31744306030298008</v>
      </c>
      <c r="R53" s="107">
        <f t="shared" si="1"/>
        <v>0.32100333576918227</v>
      </c>
      <c r="S53" s="107">
        <f t="shared" si="1"/>
        <v>0.32483550065757461</v>
      </c>
      <c r="T53" s="107">
        <f t="shared" si="1"/>
        <v>0.32822959809830921</v>
      </c>
      <c r="U53" s="107">
        <f t="shared" si="1"/>
        <v>0.33032637112522656</v>
      </c>
      <c r="V53" s="107">
        <f t="shared" si="1"/>
        <v>0.33177997640695817</v>
      </c>
      <c r="W53" s="107">
        <f t="shared" si="1"/>
        <v>0.33425780194405241</v>
      </c>
      <c r="X53" s="107">
        <f t="shared" si="1"/>
        <v>0.33653449194995466</v>
      </c>
      <c r="Y53" s="107">
        <f t="shared" si="1"/>
        <v>0.33784393746028113</v>
      </c>
      <c r="Z53" s="107">
        <f t="shared" si="1"/>
        <v>0.33909734896150245</v>
      </c>
      <c r="AA53" s="107">
        <f t="shared" si="1"/>
        <v>0.34047390413077583</v>
      </c>
      <c r="AB53" s="107">
        <f t="shared" si="1"/>
        <v>0.34180879162731459</v>
      </c>
      <c r="AC53" s="107">
        <f t="shared" si="1"/>
        <v>0.28374687610125521</v>
      </c>
      <c r="AD53" s="107">
        <f t="shared" si="1"/>
        <v>0.28511724530938748</v>
      </c>
      <c r="AE53" s="107">
        <f t="shared" si="1"/>
        <v>0.28641459284811138</v>
      </c>
      <c r="AF53" s="107">
        <f t="shared" si="1"/>
        <v>0.28763456642189916</v>
      </c>
      <c r="AG53" s="107">
        <f t="shared" si="1"/>
        <v>0.28860610098466755</v>
      </c>
      <c r="AH53" s="107">
        <f t="shared" si="1"/>
        <v>0.28989411177599511</v>
      </c>
      <c r="AI53" s="107">
        <f t="shared" si="1"/>
        <v>0.29122947554214729</v>
      </c>
      <c r="AJ53" s="107">
        <f t="shared" si="1"/>
        <v>0.29260800938635884</v>
      </c>
      <c r="AK53" s="107">
        <f t="shared" si="1"/>
        <v>0.29388135761977402</v>
      </c>
      <c r="AL53" s="107">
        <f t="shared" si="1"/>
        <v>0.29505181987544354</v>
      </c>
      <c r="AM53" s="107">
        <f t="shared" si="1"/>
        <v>0.29631382247663468</v>
      </c>
      <c r="AN53" s="107">
        <f t="shared" si="1"/>
        <v>0.29738791069160952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-84128.799795466679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-49875.919146133296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-48279.771259466695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-59360.565807733306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-62140.022203999964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-63995.050414666664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-67230.549064266728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-70466.047713866617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-350535.54474495479</v>
      </c>
      <c r="F58" s="13">
        <f t="shared" ref="F58:AN58" si="2">F37-F50-F55+F56</f>
        <v>-299284.70898718631</v>
      </c>
      <c r="G58" s="13">
        <f t="shared" si="2"/>
        <v>-278242.003805177</v>
      </c>
      <c r="H58" s="13">
        <f t="shared" si="2"/>
        <v>-31957.275878109504</v>
      </c>
      <c r="I58" s="13">
        <f t="shared" si="2"/>
        <v>-14814.935131943363</v>
      </c>
      <c r="J58" s="13">
        <f t="shared" si="2"/>
        <v>4855.358539122084</v>
      </c>
      <c r="K58" s="13">
        <f t="shared" si="2"/>
        <v>24607.887379689608</v>
      </c>
      <c r="L58" s="13">
        <f t="shared" si="2"/>
        <v>43481.177122017441</v>
      </c>
      <c r="M58" s="13">
        <f t="shared" si="2"/>
        <v>99103.985149764572</v>
      </c>
      <c r="N58" s="13">
        <f t="shared" si="2"/>
        <v>115282.40254444236</v>
      </c>
      <c r="O58" s="13">
        <f t="shared" si="2"/>
        <v>132410.1475741067</v>
      </c>
      <c r="P58" s="13">
        <f t="shared" si="2"/>
        <v>149525.77119057678</v>
      </c>
      <c r="Q58" s="13">
        <f t="shared" si="2"/>
        <v>153216.14231571619</v>
      </c>
      <c r="R58" s="13">
        <f t="shared" si="2"/>
        <v>148739.51707148884</v>
      </c>
      <c r="S58" s="13">
        <f t="shared" si="2"/>
        <v>144450.49522891373</v>
      </c>
      <c r="T58" s="13">
        <f t="shared" si="2"/>
        <v>139859.20733026453</v>
      </c>
      <c r="U58" s="13">
        <f t="shared" si="2"/>
        <v>134372.76701590899</v>
      </c>
      <c r="V58" s="13">
        <f t="shared" si="2"/>
        <v>125427.98337459353</v>
      </c>
      <c r="W58" s="13">
        <f t="shared" si="2"/>
        <v>127137.68026428849</v>
      </c>
      <c r="X58" s="13">
        <f t="shared" si="2"/>
        <v>128708.59385913964</v>
      </c>
      <c r="Y58" s="13">
        <f t="shared" si="2"/>
        <v>129612.10981807821</v>
      </c>
      <c r="Z58" s="13">
        <f t="shared" si="2"/>
        <v>130476.9623724913</v>
      </c>
      <c r="AA58" s="13">
        <f t="shared" si="2"/>
        <v>131426.78392213932</v>
      </c>
      <c r="AB58" s="13">
        <f t="shared" si="2"/>
        <v>132347.85482352384</v>
      </c>
      <c r="AC58" s="13">
        <f t="shared" si="2"/>
        <v>92285.197102654711</v>
      </c>
      <c r="AD58" s="13">
        <f t="shared" si="2"/>
        <v>93230.75034593312</v>
      </c>
      <c r="AE58" s="13">
        <f t="shared" si="2"/>
        <v>94125.918717799519</v>
      </c>
      <c r="AF58" s="13">
        <f t="shared" si="2"/>
        <v>94967.699139136632</v>
      </c>
      <c r="AG58" s="13">
        <f t="shared" si="2"/>
        <v>95638.05691668384</v>
      </c>
      <c r="AH58" s="13">
        <f t="shared" si="2"/>
        <v>96526.78294313715</v>
      </c>
      <c r="AI58" s="13">
        <f t="shared" si="2"/>
        <v>97448.18247003002</v>
      </c>
      <c r="AJ58" s="13">
        <f t="shared" si="2"/>
        <v>98399.36930320457</v>
      </c>
      <c r="AK58" s="13">
        <f t="shared" si="2"/>
        <v>99277.978180858467</v>
      </c>
      <c r="AL58" s="13">
        <f t="shared" si="2"/>
        <v>100085.59584726217</v>
      </c>
      <c r="AM58" s="13">
        <f t="shared" si="2"/>
        <v>100956.37625118588</v>
      </c>
      <c r="AN58" s="13">
        <f t="shared" si="2"/>
        <v>101697.49593572754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-1061035.5447449549</v>
      </c>
      <c r="F59" s="12">
        <v>-1360320.2537321411</v>
      </c>
      <c r="G59" s="12">
        <v>-1638562.2575373182</v>
      </c>
      <c r="H59" s="12">
        <v>-1670519.5334154277</v>
      </c>
      <c r="I59" s="12">
        <v>-1685334.468547371</v>
      </c>
      <c r="J59" s="12">
        <v>-1680479.1100082488</v>
      </c>
      <c r="K59" s="12">
        <v>-1655871.2226285592</v>
      </c>
      <c r="L59" s="12">
        <v>-1612390.0455065419</v>
      </c>
      <c r="M59" s="12">
        <v>-1513286.0603567772</v>
      </c>
      <c r="N59" s="12">
        <v>-1398003.6578123348</v>
      </c>
      <c r="O59" s="12">
        <v>-1265593.5102382281</v>
      </c>
      <c r="P59" s="12">
        <v>-1116067.7390476514</v>
      </c>
      <c r="Q59" s="12">
        <v>-962851.59673193516</v>
      </c>
      <c r="R59" s="12">
        <v>-814112.07966044638</v>
      </c>
      <c r="S59" s="12">
        <v>-669661.58443153265</v>
      </c>
      <c r="T59" s="12">
        <v>-529802.37710126815</v>
      </c>
      <c r="U59" s="12">
        <v>-395429.61008535919</v>
      </c>
      <c r="V59" s="12">
        <v>-270001.62671076565</v>
      </c>
      <c r="W59" s="12">
        <v>-142863.94644647714</v>
      </c>
      <c r="X59" s="12">
        <v>-14155.352587337504</v>
      </c>
      <c r="Y59" s="12">
        <v>115456.75723074071</v>
      </c>
      <c r="Z59" s="12">
        <v>245933.71960323199</v>
      </c>
      <c r="AA59" s="12">
        <v>377360.50352537131</v>
      </c>
      <c r="AB59" s="12">
        <v>509708.35834889516</v>
      </c>
      <c r="AC59" s="12">
        <v>601993.55545154982</v>
      </c>
      <c r="AD59" s="12">
        <v>695224.30579748296</v>
      </c>
      <c r="AE59" s="12">
        <v>789350.22451528243</v>
      </c>
      <c r="AF59" s="12">
        <v>884317.92365441902</v>
      </c>
      <c r="AG59" s="12">
        <v>979955.98057110282</v>
      </c>
      <c r="AH59" s="12">
        <v>1076482.76351424</v>
      </c>
      <c r="AI59" s="12">
        <v>1173930.94598427</v>
      </c>
      <c r="AJ59" s="12">
        <v>1272330.3152874745</v>
      </c>
      <c r="AK59" s="12">
        <v>1371608.2934683331</v>
      </c>
      <c r="AL59" s="12">
        <v>1471693.8893155952</v>
      </c>
      <c r="AM59" s="12">
        <v>1572650.2655667809</v>
      </c>
      <c r="AN59" s="12">
        <v>1674347.7615025085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0E71-D5EC-42E2-BBFD-990432092C41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855468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492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8">
        <v>8.48</v>
      </c>
      <c r="G7" s="108">
        <v>11.299999999999999</v>
      </c>
      <c r="H7" s="108">
        <v>14.12</v>
      </c>
      <c r="I7" s="108">
        <v>16.950000000000003</v>
      </c>
      <c r="J7" s="108">
        <v>19.770000000000003</v>
      </c>
      <c r="K7" s="108">
        <v>22.59</v>
      </c>
      <c r="L7" s="108">
        <v>25.42</v>
      </c>
      <c r="M7" s="108">
        <v>28.240000000000002</v>
      </c>
      <c r="N7" s="108">
        <v>31.060000000000002</v>
      </c>
      <c r="O7" s="108">
        <v>33.89</v>
      </c>
      <c r="P7" s="108">
        <v>36.71</v>
      </c>
      <c r="Q7" s="108">
        <v>39.53</v>
      </c>
      <c r="R7" s="108">
        <v>39.53</v>
      </c>
      <c r="S7" s="108">
        <v>39.53</v>
      </c>
      <c r="T7" s="108">
        <v>39.53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0.86</v>
      </c>
      <c r="F8" s="108">
        <v>1.29</v>
      </c>
      <c r="G8" s="108">
        <v>1.72</v>
      </c>
      <c r="H8" s="108">
        <v>2.15</v>
      </c>
      <c r="I8" s="108">
        <v>2.5799999999999996</v>
      </c>
      <c r="J8" s="108">
        <v>3</v>
      </c>
      <c r="K8" s="108">
        <v>3.4299999999999997</v>
      </c>
      <c r="L8" s="108">
        <v>3.86</v>
      </c>
      <c r="M8" s="108">
        <v>4.29</v>
      </c>
      <c r="N8" s="108">
        <v>4.72</v>
      </c>
      <c r="O8" s="108">
        <v>5.1499999999999995</v>
      </c>
      <c r="P8" s="108">
        <v>5.58</v>
      </c>
      <c r="Q8" s="108">
        <v>6</v>
      </c>
      <c r="R8" s="108">
        <v>6</v>
      </c>
      <c r="S8" s="108">
        <v>6</v>
      </c>
      <c r="T8" s="108">
        <v>6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0.25</v>
      </c>
      <c r="F12" s="108">
        <v>0.26</v>
      </c>
      <c r="G12" s="108">
        <v>0.27</v>
      </c>
      <c r="H12" s="108">
        <v>0.29000000000000004</v>
      </c>
      <c r="I12" s="108">
        <v>0.3</v>
      </c>
      <c r="J12" s="108">
        <v>0.31</v>
      </c>
      <c r="K12" s="108">
        <v>0.33</v>
      </c>
      <c r="L12" s="108">
        <v>0.34</v>
      </c>
      <c r="M12" s="108">
        <v>0.35000000000000003</v>
      </c>
      <c r="N12" s="108">
        <v>0.36</v>
      </c>
      <c r="O12" s="108">
        <v>0.38</v>
      </c>
      <c r="P12" s="108">
        <v>0.39</v>
      </c>
      <c r="Q12" s="108">
        <v>0.17</v>
      </c>
      <c r="R12" s="108">
        <v>0.18000000000000002</v>
      </c>
      <c r="S12" s="108">
        <v>0.2</v>
      </c>
      <c r="T12" s="108">
        <v>0.21000000000000002</v>
      </c>
      <c r="U12" s="108">
        <v>0.22</v>
      </c>
      <c r="V12" s="108">
        <v>0.24000000000000002</v>
      </c>
      <c r="W12" s="108">
        <v>0.25</v>
      </c>
      <c r="X12" s="108">
        <v>0.26</v>
      </c>
      <c r="Y12" s="108">
        <v>0.27</v>
      </c>
      <c r="Z12" s="108">
        <v>0.29000000000000004</v>
      </c>
      <c r="AA12" s="108">
        <v>0.3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0.35000000000000003</v>
      </c>
      <c r="F13" s="108">
        <v>0.39</v>
      </c>
      <c r="G13" s="108">
        <v>0.42</v>
      </c>
      <c r="H13" s="108">
        <v>0.45</v>
      </c>
      <c r="I13" s="108">
        <v>0.49</v>
      </c>
      <c r="J13" s="108">
        <v>0.52</v>
      </c>
      <c r="K13" s="108">
        <v>0.55000000000000004</v>
      </c>
      <c r="L13" s="108">
        <v>0.59</v>
      </c>
      <c r="M13" s="108">
        <v>0.62</v>
      </c>
      <c r="N13" s="108">
        <v>0.65</v>
      </c>
      <c r="O13" s="108">
        <v>0.69000000000000006</v>
      </c>
      <c r="P13" s="108">
        <v>0.72</v>
      </c>
      <c r="Q13" s="108">
        <v>0.45</v>
      </c>
      <c r="R13" s="108">
        <v>0.47000000000000003</v>
      </c>
      <c r="S13" s="108">
        <v>0.49</v>
      </c>
      <c r="T13" s="108">
        <v>0.5</v>
      </c>
      <c r="U13" s="108">
        <v>0.52</v>
      </c>
      <c r="V13" s="108">
        <v>0.54</v>
      </c>
      <c r="W13" s="108">
        <v>0.55000000000000004</v>
      </c>
      <c r="X13" s="108">
        <v>0.57000000000000006</v>
      </c>
      <c r="Y13" s="108">
        <v>0.59</v>
      </c>
      <c r="Z13" s="108">
        <v>0.6</v>
      </c>
      <c r="AA13" s="108">
        <v>0.62</v>
      </c>
      <c r="AB13" s="108">
        <v>0.64</v>
      </c>
      <c r="AC13" s="108">
        <v>0.64</v>
      </c>
      <c r="AD13" s="108">
        <v>0.64</v>
      </c>
      <c r="AE13" s="108">
        <v>0.64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0.2</v>
      </c>
      <c r="F14" s="108">
        <v>0.22</v>
      </c>
      <c r="G14" s="108">
        <v>0.25</v>
      </c>
      <c r="H14" s="108">
        <v>0.27</v>
      </c>
      <c r="I14" s="108">
        <v>0.3</v>
      </c>
      <c r="J14" s="108">
        <v>0.32</v>
      </c>
      <c r="K14" s="108">
        <v>0.35000000000000003</v>
      </c>
      <c r="L14" s="108">
        <v>0.37</v>
      </c>
      <c r="M14" s="108">
        <v>0.39</v>
      </c>
      <c r="N14" s="108">
        <v>0.42</v>
      </c>
      <c r="O14" s="108">
        <v>0.44</v>
      </c>
      <c r="P14" s="108">
        <v>0.47000000000000003</v>
      </c>
      <c r="Q14" s="108">
        <v>0.34</v>
      </c>
      <c r="R14" s="108">
        <v>0.35000000000000003</v>
      </c>
      <c r="S14" s="108">
        <v>0.36</v>
      </c>
      <c r="T14" s="108">
        <v>0.37</v>
      </c>
      <c r="U14" s="108">
        <v>0.38</v>
      </c>
      <c r="V14" s="108">
        <v>0.39</v>
      </c>
      <c r="W14" s="108">
        <v>0.39</v>
      </c>
      <c r="X14" s="108">
        <v>0.4</v>
      </c>
      <c r="Y14" s="108">
        <v>0.41000000000000003</v>
      </c>
      <c r="Z14" s="108">
        <v>0.42</v>
      </c>
      <c r="AA14" s="108">
        <v>0.43</v>
      </c>
      <c r="AB14" s="108">
        <v>0.44</v>
      </c>
      <c r="AC14" s="108">
        <v>0.44</v>
      </c>
      <c r="AD14" s="108">
        <v>0.44</v>
      </c>
      <c r="AE14" s="108">
        <v>0.44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0.03</v>
      </c>
      <c r="F15" s="108">
        <v>0.04</v>
      </c>
      <c r="G15" s="108">
        <v>0.05</v>
      </c>
      <c r="H15" s="108">
        <v>0.06</v>
      </c>
      <c r="I15" s="108">
        <v>0.08</v>
      </c>
      <c r="J15" s="108">
        <v>0.09</v>
      </c>
      <c r="K15" s="108">
        <v>9.9999999999999992E-2</v>
      </c>
      <c r="L15" s="108">
        <v>0.11</v>
      </c>
      <c r="M15" s="108">
        <v>0.12</v>
      </c>
      <c r="N15" s="108">
        <v>0.14000000000000001</v>
      </c>
      <c r="O15" s="108">
        <v>0.15000000000000002</v>
      </c>
      <c r="P15" s="108">
        <v>0.16</v>
      </c>
      <c r="Q15" s="108">
        <v>0.17</v>
      </c>
      <c r="R15" s="108">
        <v>0.17</v>
      </c>
      <c r="S15" s="108">
        <v>0.17</v>
      </c>
      <c r="T15" s="108">
        <v>0.17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0.03</v>
      </c>
      <c r="F16" s="108">
        <v>0.04</v>
      </c>
      <c r="G16" s="108">
        <v>0.05</v>
      </c>
      <c r="H16" s="108">
        <v>0.06</v>
      </c>
      <c r="I16" s="108">
        <v>0.08</v>
      </c>
      <c r="J16" s="108">
        <v>0.09</v>
      </c>
      <c r="K16" s="108">
        <v>9.9999999999999992E-2</v>
      </c>
      <c r="L16" s="108">
        <v>0.11</v>
      </c>
      <c r="M16" s="108">
        <v>0.12</v>
      </c>
      <c r="N16" s="108">
        <v>0.14000000000000001</v>
      </c>
      <c r="O16" s="108">
        <v>0.15000000000000002</v>
      </c>
      <c r="P16" s="108">
        <v>0.16</v>
      </c>
      <c r="Q16" s="108">
        <v>0.17</v>
      </c>
      <c r="R16" s="108">
        <v>0.17</v>
      </c>
      <c r="S16" s="108">
        <v>0.17</v>
      </c>
      <c r="T16" s="108">
        <v>0.17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0.6</v>
      </c>
      <c r="F17" s="108">
        <v>0.9</v>
      </c>
      <c r="G17" s="108">
        <v>1.2</v>
      </c>
      <c r="H17" s="108">
        <v>1.5</v>
      </c>
      <c r="I17" s="108">
        <v>1.8</v>
      </c>
      <c r="J17" s="108">
        <v>2.1</v>
      </c>
      <c r="K17" s="108">
        <v>2.4</v>
      </c>
      <c r="L17" s="108">
        <v>2.7</v>
      </c>
      <c r="M17" s="108">
        <v>3</v>
      </c>
      <c r="N17" s="108">
        <v>3.3</v>
      </c>
      <c r="O17" s="108">
        <v>3.6</v>
      </c>
      <c r="P17" s="108">
        <v>3.9</v>
      </c>
      <c r="Q17" s="108">
        <v>4.2</v>
      </c>
      <c r="R17" s="108">
        <v>4.2</v>
      </c>
      <c r="S17" s="108">
        <v>4.2</v>
      </c>
      <c r="T17" s="108">
        <v>4.2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7</v>
      </c>
      <c r="F21" s="120">
        <v>10</v>
      </c>
      <c r="G21" s="120">
        <v>13</v>
      </c>
      <c r="H21" s="120">
        <v>16</v>
      </c>
      <c r="I21" s="120">
        <v>20</v>
      </c>
      <c r="J21" s="120">
        <v>23</v>
      </c>
      <c r="K21" s="120">
        <v>26</v>
      </c>
      <c r="L21" s="120">
        <v>29</v>
      </c>
      <c r="M21" s="120">
        <v>33</v>
      </c>
      <c r="N21" s="120">
        <v>36</v>
      </c>
      <c r="O21" s="120">
        <v>39</v>
      </c>
      <c r="P21" s="120">
        <v>42</v>
      </c>
      <c r="Q21" s="120">
        <v>46</v>
      </c>
      <c r="R21" s="120">
        <v>46</v>
      </c>
      <c r="S21" s="120">
        <v>46</v>
      </c>
      <c r="T21" s="120">
        <v>46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10000</v>
      </c>
      <c r="F42" s="12">
        <v>10000</v>
      </c>
      <c r="G42" s="12">
        <v>10000</v>
      </c>
      <c r="H42" s="12">
        <v>10000</v>
      </c>
      <c r="I42" s="12">
        <v>10000</v>
      </c>
      <c r="J42" s="12">
        <v>10000</v>
      </c>
      <c r="K42" s="12">
        <v>10000</v>
      </c>
      <c r="L42" s="12">
        <v>10000</v>
      </c>
      <c r="M42" s="12">
        <v>10000</v>
      </c>
      <c r="N42" s="12">
        <v>10000</v>
      </c>
      <c r="O42" s="12">
        <v>10000</v>
      </c>
      <c r="P42" s="12">
        <v>10000</v>
      </c>
      <c r="Q42" s="12">
        <v>10300</v>
      </c>
      <c r="R42" s="12">
        <v>10300</v>
      </c>
      <c r="S42" s="12">
        <v>10300</v>
      </c>
      <c r="T42" s="12">
        <v>10300</v>
      </c>
      <c r="U42" s="12">
        <v>10300</v>
      </c>
      <c r="V42" s="12">
        <v>10300</v>
      </c>
      <c r="W42" s="12">
        <v>10300</v>
      </c>
      <c r="X42" s="12">
        <v>10300</v>
      </c>
      <c r="Y42" s="12">
        <v>10300</v>
      </c>
      <c r="Z42" s="12">
        <v>10300</v>
      </c>
      <c r="AA42" s="12">
        <v>10300</v>
      </c>
      <c r="AB42" s="12">
        <v>10300</v>
      </c>
      <c r="AC42" s="12">
        <v>10609</v>
      </c>
      <c r="AD42" s="12">
        <v>10609</v>
      </c>
      <c r="AE42" s="12">
        <v>10609</v>
      </c>
      <c r="AF42" s="12">
        <v>10609</v>
      </c>
      <c r="AG42" s="12">
        <v>10609</v>
      </c>
      <c r="AH42" s="12">
        <v>10609</v>
      </c>
      <c r="AI42" s="12">
        <v>10609</v>
      </c>
      <c r="AJ42" s="12">
        <v>10609</v>
      </c>
      <c r="AK42" s="12">
        <v>10609</v>
      </c>
      <c r="AL42" s="12">
        <v>10609</v>
      </c>
      <c r="AM42" s="12">
        <v>10609</v>
      </c>
      <c r="AN42" s="12">
        <v>10609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8400</v>
      </c>
      <c r="F43" s="12">
        <v>8400</v>
      </c>
      <c r="G43" s="12">
        <v>8400</v>
      </c>
      <c r="H43" s="12">
        <v>8400</v>
      </c>
      <c r="I43" s="12">
        <v>8400</v>
      </c>
      <c r="J43" s="12">
        <v>8400</v>
      </c>
      <c r="K43" s="12">
        <v>8400</v>
      </c>
      <c r="L43" s="12">
        <v>8400</v>
      </c>
      <c r="M43" s="12">
        <v>8400</v>
      </c>
      <c r="N43" s="12">
        <v>8400</v>
      </c>
      <c r="O43" s="12">
        <v>8400</v>
      </c>
      <c r="P43" s="12">
        <v>8400</v>
      </c>
      <c r="Q43" s="12">
        <v>8736</v>
      </c>
      <c r="R43" s="12">
        <v>8736</v>
      </c>
      <c r="S43" s="12">
        <v>8736</v>
      </c>
      <c r="T43" s="12">
        <v>8736</v>
      </c>
      <c r="U43" s="12">
        <v>8736</v>
      </c>
      <c r="V43" s="12">
        <v>8736</v>
      </c>
      <c r="W43" s="12">
        <v>8736</v>
      </c>
      <c r="X43" s="12">
        <v>8736</v>
      </c>
      <c r="Y43" s="12">
        <v>8736</v>
      </c>
      <c r="Z43" s="12">
        <v>8736</v>
      </c>
      <c r="AA43" s="12">
        <v>8736</v>
      </c>
      <c r="AB43" s="12">
        <v>8736</v>
      </c>
      <c r="AC43" s="12">
        <v>9085.44</v>
      </c>
      <c r="AD43" s="12">
        <v>9085.44</v>
      </c>
      <c r="AE43" s="12">
        <v>9085.44</v>
      </c>
      <c r="AF43" s="12">
        <v>9085.44</v>
      </c>
      <c r="AG43" s="12">
        <v>9085.44</v>
      </c>
      <c r="AH43" s="12">
        <v>9085.44</v>
      </c>
      <c r="AI43" s="12">
        <v>9085.44</v>
      </c>
      <c r="AJ43" s="12">
        <v>9085.44</v>
      </c>
      <c r="AK43" s="12">
        <v>9085.44</v>
      </c>
      <c r="AL43" s="12">
        <v>9085.44</v>
      </c>
      <c r="AM43" s="12">
        <v>9085.44</v>
      </c>
      <c r="AN43" s="12">
        <v>9085.44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26746.958461481525</v>
      </c>
      <c r="F49" s="12">
        <f>'Corp.'!F$50*(F$37-(F31-F32-F34)*$C$35)/(SUM('MDA1:NCA9'!F$37)-SUM('MDA1:NCA9'!F$31)-SUM('MDA1:NCA9'!F$32)-SUM('MDA1:NCA9'!F$34))</f>
        <v>35231.122709043113</v>
      </c>
      <c r="G49" s="12">
        <f>'Corp.'!G$50*(G$37-(G31-G32-G34)*$C$35)/(SUM('MDA1:NCA9'!G$37)-SUM('MDA1:NCA9'!G$31)-SUM('MDA1:NCA9'!G$32)-SUM('MDA1:NCA9'!G$34))</f>
        <v>41310.413569697186</v>
      </c>
      <c r="H49" s="12">
        <f>'Corp.'!H$50*(H$37-(H31-H32-H34)*$C$35)/(SUM('MDA1:NCA9'!H$37)-SUM('MDA1:NCA9'!H$31)-SUM('MDA1:NCA9'!H$32)-SUM('MDA1:NCA9'!H$34))</f>
        <v>46271.205917026382</v>
      </c>
      <c r="I49" s="12">
        <f>'Corp.'!I$50*(I$37-(I31-I32-I34)*$C$35)/(SUM('MDA1:NCA9'!I$37)-SUM('MDA1:NCA9'!I$31)-SUM('MDA1:NCA9'!I$32)-SUM('MDA1:NCA9'!I$34))</f>
        <v>51554.228130590229</v>
      </c>
      <c r="J49" s="12">
        <f>'Corp.'!J$50*(J$37-(J31-J32-J34)*$C$35)/(SUM('MDA1:NCA9'!J$37)-SUM('MDA1:NCA9'!J$31)-SUM('MDA1:NCA9'!J$32)-SUM('MDA1:NCA9'!J$34))</f>
        <v>55720.771071521536</v>
      </c>
      <c r="K49" s="12">
        <f>'Corp.'!K$50*(K$37-(K31-K32-K34)*$C$35)/(SUM('MDA1:NCA9'!K$37)-SUM('MDA1:NCA9'!K$31)-SUM('MDA1:NCA9'!K$32)-SUM('MDA1:NCA9'!K$34))</f>
        <v>58158.425070684068</v>
      </c>
      <c r="L49" s="12">
        <f>'Corp.'!L$50*(L$37-(L31-L32-L34)*$C$35)/(SUM('MDA1:NCA9'!L$37)-SUM('MDA1:NCA9'!L$31)-SUM('MDA1:NCA9'!L$32)-SUM('MDA1:NCA9'!L$34))</f>
        <v>61531.756034752965</v>
      </c>
      <c r="M49" s="12">
        <f>'Corp.'!M$50*(M$37-(M31-M32-M34)*$C$35)/(SUM('MDA1:NCA9'!M$37)-SUM('MDA1:NCA9'!M$31)-SUM('MDA1:NCA9'!M$32)-SUM('MDA1:NCA9'!M$34))</f>
        <v>63881.770016869268</v>
      </c>
      <c r="N49" s="12">
        <f>'Corp.'!N$50*(N$37-(N31-N32-N34)*$C$35)/(SUM('MDA1:NCA9'!N$37)-SUM('MDA1:NCA9'!N$31)-SUM('MDA1:NCA9'!N$32)-SUM('MDA1:NCA9'!N$34))</f>
        <v>66085.989386188114</v>
      </c>
      <c r="O49" s="12">
        <f>'Corp.'!O$50*(O$37-(O31-O32-O34)*$C$35)/(SUM('MDA1:NCA9'!O$37)-SUM('MDA1:NCA9'!O$31)-SUM('MDA1:NCA9'!O$32)-SUM('MDA1:NCA9'!O$34))</f>
        <v>67406.985653853728</v>
      </c>
      <c r="P49" s="12">
        <f>'Corp.'!P$50*(P$37-(P31-P32-P34)*$C$35)/(SUM('MDA1:NCA9'!P$37)-SUM('MDA1:NCA9'!P$31)-SUM('MDA1:NCA9'!P$32)-SUM('MDA1:NCA9'!P$34))</f>
        <v>68883.998801380425</v>
      </c>
      <c r="Q49" s="12">
        <f>'Corp.'!Q$50*(Q$37-(Q31-Q32-Q34)*$C$35)/(SUM('MDA1:NCA9'!Q$37)-SUM('MDA1:NCA9'!Q$31)-SUM('MDA1:NCA9'!Q$32)-SUM('MDA1:NCA9'!Q$34))</f>
        <v>77337.923077566316</v>
      </c>
      <c r="R49" s="12">
        <f>'Corp.'!R$50*(R$37-(R31-R32-R34)*$C$35)/(SUM('MDA1:NCA9'!R$37)-SUM('MDA1:NCA9'!R$31)-SUM('MDA1:NCA9'!R$32)-SUM('MDA1:NCA9'!R$34))</f>
        <v>74556.563596460328</v>
      </c>
      <c r="S49" s="12">
        <f>'Corp.'!S$50*(S$37-(S31-S32-S34)*$C$35)/(SUM('MDA1:NCA9'!S$37)-SUM('MDA1:NCA9'!S$31)-SUM('MDA1:NCA9'!S$32)-SUM('MDA1:NCA9'!S$34))</f>
        <v>71477.697380368903</v>
      </c>
      <c r="T49" s="12">
        <f>'Corp.'!T$50*(T$37-(T31-T32-T34)*$C$35)/(SUM('MDA1:NCA9'!T$37)-SUM('MDA1:NCA9'!T$31)-SUM('MDA1:NCA9'!T$32)-SUM('MDA1:NCA9'!T$34))</f>
        <v>68881.5605536847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138468.34284282144</v>
      </c>
      <c r="F50" s="13">
        <v>167691.79701438631</v>
      </c>
      <c r="G50" s="13">
        <v>194466.64899904365</v>
      </c>
      <c r="H50" s="13">
        <v>220155.86913704281</v>
      </c>
      <c r="I50" s="13">
        <v>246455.48127460998</v>
      </c>
      <c r="J50" s="13">
        <v>271151.56867287785</v>
      </c>
      <c r="K50" s="13">
        <v>294384.95046271035</v>
      </c>
      <c r="L50" s="13">
        <v>318497.57135078259</v>
      </c>
      <c r="M50" s="13">
        <v>341475.8464569021</v>
      </c>
      <c r="N50" s="13">
        <v>364585.62695022428</v>
      </c>
      <c r="O50" s="13">
        <v>386746.07980855985</v>
      </c>
      <c r="P50" s="13">
        <v>408918.65408008988</v>
      </c>
      <c r="Q50" s="13">
        <v>464447.03612055036</v>
      </c>
      <c r="R50" s="13">
        <v>461990.44997277769</v>
      </c>
      <c r="S50" s="13">
        <v>459346.26042335283</v>
      </c>
      <c r="T50" s="13">
        <v>457004.33693000203</v>
      </c>
      <c r="U50" s="13">
        <v>455557.56585235754</v>
      </c>
      <c r="V50" s="13">
        <v>454554.57981003303</v>
      </c>
      <c r="W50" s="13">
        <v>452844.88292033807</v>
      </c>
      <c r="X50" s="13">
        <v>451273.96932548692</v>
      </c>
      <c r="Y50" s="13">
        <v>450370.45336654835</v>
      </c>
      <c r="Z50" s="13">
        <v>449505.60081213526</v>
      </c>
      <c r="AA50" s="13">
        <v>448555.77926248725</v>
      </c>
      <c r="AB50" s="13">
        <v>447634.70836110273</v>
      </c>
      <c r="AC50" s="13">
        <v>487526.83108197188</v>
      </c>
      <c r="AD50" s="13">
        <v>486581.27783869347</v>
      </c>
      <c r="AE50" s="13">
        <v>485686.10946682701</v>
      </c>
      <c r="AF50" s="13">
        <v>484844.32904548995</v>
      </c>
      <c r="AG50" s="13">
        <v>484173.97126794275</v>
      </c>
      <c r="AH50" s="13">
        <v>483285.24524148944</v>
      </c>
      <c r="AI50" s="13">
        <v>482363.84571459657</v>
      </c>
      <c r="AJ50" s="13">
        <v>481412.65888142202</v>
      </c>
      <c r="AK50" s="13">
        <v>480534.05000376812</v>
      </c>
      <c r="AL50" s="13">
        <v>479726.43233736441</v>
      </c>
      <c r="AM50" s="13">
        <v>478855.65193344071</v>
      </c>
      <c r="AN50" s="13">
        <v>478114.53224889905</v>
      </c>
    </row>
    <row r="52" spans="2:40" x14ac:dyDescent="0.25">
      <c r="B52" s="1" t="s">
        <v>50</v>
      </c>
      <c r="E52" s="74">
        <f>E37-E50</f>
        <v>-23223.411616154757</v>
      </c>
      <c r="F52" s="74">
        <f t="shared" ref="F52:AN52" si="0">F37-F50</f>
        <v>-6225.4565077196748</v>
      </c>
      <c r="G52" s="74">
        <f t="shared" si="0"/>
        <v>13221.100787623029</v>
      </c>
      <c r="H52" s="74">
        <f t="shared" si="0"/>
        <v>33753.289929623803</v>
      </c>
      <c r="I52" s="74">
        <f t="shared" si="0"/>
        <v>53675.087072056602</v>
      </c>
      <c r="J52" s="74">
        <f t="shared" si="0"/>
        <v>75200.408953788748</v>
      </c>
      <c r="K52" s="74">
        <f t="shared" si="0"/>
        <v>98188.436443956336</v>
      </c>
      <c r="L52" s="74">
        <f t="shared" si="0"/>
        <v>120297.224835884</v>
      </c>
      <c r="M52" s="74">
        <f t="shared" si="0"/>
        <v>143540.35900976456</v>
      </c>
      <c r="N52" s="74">
        <f t="shared" si="0"/>
        <v>166651.98779644235</v>
      </c>
      <c r="O52" s="74">
        <f t="shared" si="0"/>
        <v>190712.94421810668</v>
      </c>
      <c r="P52" s="74">
        <f t="shared" si="0"/>
        <v>214761.77922657679</v>
      </c>
      <c r="Q52" s="74">
        <f t="shared" si="0"/>
        <v>225551.86174371617</v>
      </c>
      <c r="R52" s="74">
        <f t="shared" si="0"/>
        <v>228008.44789148885</v>
      </c>
      <c r="S52" s="74">
        <f t="shared" si="0"/>
        <v>230652.63744091371</v>
      </c>
      <c r="T52" s="74">
        <f t="shared" si="0"/>
        <v>232994.5609342645</v>
      </c>
      <c r="U52" s="74">
        <f t="shared" si="0"/>
        <v>234441.33201190899</v>
      </c>
      <c r="V52" s="74">
        <f t="shared" si="0"/>
        <v>235444.3180542335</v>
      </c>
      <c r="W52" s="74">
        <f t="shared" si="0"/>
        <v>237154.01494392846</v>
      </c>
      <c r="X52" s="74">
        <f t="shared" si="0"/>
        <v>238724.92853877961</v>
      </c>
      <c r="Y52" s="74">
        <f t="shared" si="0"/>
        <v>239628.44449771818</v>
      </c>
      <c r="Z52" s="74">
        <f t="shared" si="0"/>
        <v>240493.29705213127</v>
      </c>
      <c r="AA52" s="74">
        <f t="shared" si="0"/>
        <v>241443.11860177928</v>
      </c>
      <c r="AB52" s="74">
        <f t="shared" si="0"/>
        <v>242364.1895031638</v>
      </c>
      <c r="AC52" s="74">
        <f t="shared" si="0"/>
        <v>202472.06678229466</v>
      </c>
      <c r="AD52" s="74">
        <f t="shared" si="0"/>
        <v>203417.62002557307</v>
      </c>
      <c r="AE52" s="74">
        <f t="shared" si="0"/>
        <v>204312.78839743952</v>
      </c>
      <c r="AF52" s="74">
        <f t="shared" si="0"/>
        <v>205154.56881877658</v>
      </c>
      <c r="AG52" s="74">
        <f t="shared" si="0"/>
        <v>205824.92659632378</v>
      </c>
      <c r="AH52" s="74">
        <f t="shared" si="0"/>
        <v>206713.6526227771</v>
      </c>
      <c r="AI52" s="74">
        <f t="shared" si="0"/>
        <v>207635.05214966997</v>
      </c>
      <c r="AJ52" s="74">
        <f t="shared" si="0"/>
        <v>208586.23898284452</v>
      </c>
      <c r="AK52" s="74">
        <f t="shared" si="0"/>
        <v>209464.84786049841</v>
      </c>
      <c r="AL52" s="74">
        <f t="shared" si="0"/>
        <v>210272.46552690212</v>
      </c>
      <c r="AM52" s="74">
        <f t="shared" si="0"/>
        <v>211143.24593082583</v>
      </c>
      <c r="AN52" s="74">
        <f t="shared" si="0"/>
        <v>211884.36561536748</v>
      </c>
    </row>
    <row r="53" spans="2:40" x14ac:dyDescent="0.25">
      <c r="E53" s="107">
        <f>IFERROR(E52/E37,"")</f>
        <v>-0.20151351880698645</v>
      </c>
      <c r="F53" s="107">
        <f t="shared" ref="F53:AN53" si="1">IFERROR(F52/F37,"")</f>
        <v>-3.8555754023933166E-2</v>
      </c>
      <c r="G53" s="107">
        <f t="shared" si="1"/>
        <v>6.3658548957285718E-2</v>
      </c>
      <c r="H53" s="107">
        <f t="shared" si="1"/>
        <v>0.13293451112081195</v>
      </c>
      <c r="I53" s="107">
        <f t="shared" si="1"/>
        <v>0.17883912114563105</v>
      </c>
      <c r="J53" s="107">
        <f t="shared" si="1"/>
        <v>0.21712134998936661</v>
      </c>
      <c r="K53" s="107">
        <f t="shared" si="1"/>
        <v>0.25011485678549161</v>
      </c>
      <c r="L53" s="107">
        <f t="shared" si="1"/>
        <v>0.27415371805072331</v>
      </c>
      <c r="M53" s="107">
        <f t="shared" si="1"/>
        <v>0.29594961444979917</v>
      </c>
      <c r="N53" s="107">
        <f t="shared" si="1"/>
        <v>0.31370517292137595</v>
      </c>
      <c r="O53" s="107">
        <f t="shared" si="1"/>
        <v>0.33026229789994543</v>
      </c>
      <c r="P53" s="107">
        <f t="shared" si="1"/>
        <v>0.34434586650079718</v>
      </c>
      <c r="Q53" s="107">
        <f t="shared" si="1"/>
        <v>0.32688727828676289</v>
      </c>
      <c r="R53" s="107">
        <f t="shared" si="1"/>
        <v>0.33044755375296503</v>
      </c>
      <c r="S53" s="107">
        <f t="shared" si="1"/>
        <v>0.33427971864135736</v>
      </c>
      <c r="T53" s="107">
        <f t="shared" si="1"/>
        <v>0.33767381608209196</v>
      </c>
      <c r="U53" s="107">
        <f t="shared" si="1"/>
        <v>0.33977058910900931</v>
      </c>
      <c r="V53" s="107">
        <f t="shared" si="1"/>
        <v>0.34122419439074098</v>
      </c>
      <c r="W53" s="107">
        <f t="shared" si="1"/>
        <v>0.34370201992783522</v>
      </c>
      <c r="X53" s="107">
        <f t="shared" si="1"/>
        <v>0.34597870993373747</v>
      </c>
      <c r="Y53" s="107">
        <f t="shared" si="1"/>
        <v>0.34728815544406394</v>
      </c>
      <c r="Z53" s="107">
        <f t="shared" si="1"/>
        <v>0.34854156694528521</v>
      </c>
      <c r="AA53" s="107">
        <f t="shared" si="1"/>
        <v>0.34991812211455864</v>
      </c>
      <c r="AB53" s="107">
        <f t="shared" si="1"/>
        <v>0.35125300961109734</v>
      </c>
      <c r="AC53" s="107">
        <f t="shared" si="1"/>
        <v>0.29343824665372731</v>
      </c>
      <c r="AD53" s="107">
        <f t="shared" si="1"/>
        <v>0.29480861586185964</v>
      </c>
      <c r="AE53" s="107">
        <f t="shared" si="1"/>
        <v>0.29610596340058359</v>
      </c>
      <c r="AF53" s="107">
        <f t="shared" si="1"/>
        <v>0.29732593697437132</v>
      </c>
      <c r="AG53" s="107">
        <f t="shared" si="1"/>
        <v>0.29829747153713965</v>
      </c>
      <c r="AH53" s="107">
        <f t="shared" si="1"/>
        <v>0.29958548232846727</v>
      </c>
      <c r="AI53" s="107">
        <f t="shared" si="1"/>
        <v>0.30092084609461939</v>
      </c>
      <c r="AJ53" s="107">
        <f t="shared" si="1"/>
        <v>0.30229937993883094</v>
      </c>
      <c r="AK53" s="107">
        <f t="shared" si="1"/>
        <v>0.30357272817224612</v>
      </c>
      <c r="AL53" s="107">
        <f t="shared" si="1"/>
        <v>0.3047431904279157</v>
      </c>
      <c r="AM53" s="107">
        <f t="shared" si="1"/>
        <v>0.30600519302910678</v>
      </c>
      <c r="AN53" s="107">
        <f t="shared" si="1"/>
        <v>0.30707928124408168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-84128.799795466679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-49875.919146133296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-48279.771259466695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-59360.565807733306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-62140.022203999964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-63995.050414666664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-67230.549064266728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-70466.047713866617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-344185.54474495479</v>
      </c>
      <c r="F58" s="13">
        <f t="shared" ref="F58:AN58" si="2">F37-F50-F55+F56</f>
        <v>-292934.70898718631</v>
      </c>
      <c r="G58" s="13">
        <f t="shared" si="2"/>
        <v>-271892.003805177</v>
      </c>
      <c r="H58" s="13">
        <f t="shared" si="2"/>
        <v>-25607.275878109504</v>
      </c>
      <c r="I58" s="13">
        <f t="shared" si="2"/>
        <v>-8464.9351319433626</v>
      </c>
      <c r="J58" s="13">
        <f t="shared" si="2"/>
        <v>11205.358539122084</v>
      </c>
      <c r="K58" s="13">
        <f t="shared" si="2"/>
        <v>30957.887379689608</v>
      </c>
      <c r="L58" s="13">
        <f t="shared" si="2"/>
        <v>49831.177122017383</v>
      </c>
      <c r="M58" s="13">
        <f t="shared" si="2"/>
        <v>105453.98514976457</v>
      </c>
      <c r="N58" s="13">
        <f t="shared" si="2"/>
        <v>121632.40254444236</v>
      </c>
      <c r="O58" s="13">
        <f t="shared" si="2"/>
        <v>138760.1475741067</v>
      </c>
      <c r="P58" s="13">
        <f t="shared" si="2"/>
        <v>155875.77119057678</v>
      </c>
      <c r="Q58" s="13">
        <f t="shared" si="2"/>
        <v>159732.64231571619</v>
      </c>
      <c r="R58" s="13">
        <f t="shared" si="2"/>
        <v>155256.01707148884</v>
      </c>
      <c r="S58" s="13">
        <f t="shared" si="2"/>
        <v>150966.99522891373</v>
      </c>
      <c r="T58" s="13">
        <f t="shared" si="2"/>
        <v>146375.70733026453</v>
      </c>
      <c r="U58" s="13">
        <f t="shared" si="2"/>
        <v>140889.26701590899</v>
      </c>
      <c r="V58" s="13">
        <f t="shared" si="2"/>
        <v>131944.48337459355</v>
      </c>
      <c r="W58" s="13">
        <f t="shared" si="2"/>
        <v>133654.1802642885</v>
      </c>
      <c r="X58" s="13">
        <f t="shared" si="2"/>
        <v>135225.09385913966</v>
      </c>
      <c r="Y58" s="13">
        <f t="shared" si="2"/>
        <v>136128.60981807823</v>
      </c>
      <c r="Z58" s="13">
        <f t="shared" si="2"/>
        <v>136993.46237249131</v>
      </c>
      <c r="AA58" s="13">
        <f t="shared" si="2"/>
        <v>137943.28392213932</v>
      </c>
      <c r="AB58" s="13">
        <f t="shared" si="2"/>
        <v>138864.35482352384</v>
      </c>
      <c r="AC58" s="13">
        <f t="shared" si="2"/>
        <v>98972.232102654685</v>
      </c>
      <c r="AD58" s="13">
        <f t="shared" si="2"/>
        <v>99917.785345933095</v>
      </c>
      <c r="AE58" s="13">
        <f t="shared" si="2"/>
        <v>100812.95371779955</v>
      </c>
      <c r="AF58" s="13">
        <f t="shared" si="2"/>
        <v>101654.73413913661</v>
      </c>
      <c r="AG58" s="13">
        <f t="shared" si="2"/>
        <v>102325.09191668381</v>
      </c>
      <c r="AH58" s="13">
        <f t="shared" si="2"/>
        <v>103213.81794313712</v>
      </c>
      <c r="AI58" s="13">
        <f t="shared" si="2"/>
        <v>104135.21747002999</v>
      </c>
      <c r="AJ58" s="13">
        <f t="shared" si="2"/>
        <v>105086.40430320454</v>
      </c>
      <c r="AK58" s="13">
        <f t="shared" si="2"/>
        <v>105965.01318085844</v>
      </c>
      <c r="AL58" s="13">
        <f t="shared" si="2"/>
        <v>106772.63084726215</v>
      </c>
      <c r="AM58" s="13">
        <f t="shared" si="2"/>
        <v>107643.41125118585</v>
      </c>
      <c r="AN58" s="13">
        <f t="shared" si="2"/>
        <v>108384.53093572751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-1054685.5447449549</v>
      </c>
      <c r="F59" s="12">
        <v>-1347620.2537321411</v>
      </c>
      <c r="G59" s="12">
        <v>-1619512.2575373182</v>
      </c>
      <c r="H59" s="12">
        <v>-1645119.5334154277</v>
      </c>
      <c r="I59" s="12">
        <v>-1653584.468547371</v>
      </c>
      <c r="J59" s="12">
        <v>-1642379.1100082488</v>
      </c>
      <c r="K59" s="12">
        <v>-1611421.2226285592</v>
      </c>
      <c r="L59" s="12">
        <v>-1561590.0455065419</v>
      </c>
      <c r="M59" s="12">
        <v>-1456136.0603567772</v>
      </c>
      <c r="N59" s="12">
        <v>-1334503.6578123348</v>
      </c>
      <c r="O59" s="12">
        <v>-1195743.5102382281</v>
      </c>
      <c r="P59" s="12">
        <v>-1039867.7390476514</v>
      </c>
      <c r="Q59" s="12">
        <v>-880135.09673193516</v>
      </c>
      <c r="R59" s="12">
        <v>-724879.07966044638</v>
      </c>
      <c r="S59" s="12">
        <v>-573912.08443153265</v>
      </c>
      <c r="T59" s="12">
        <v>-427536.37710126815</v>
      </c>
      <c r="U59" s="12">
        <v>-286647.11008535919</v>
      </c>
      <c r="V59" s="12">
        <v>-154702.62671076565</v>
      </c>
      <c r="W59" s="12">
        <v>-21048.446446477144</v>
      </c>
      <c r="X59" s="12">
        <v>114176.64741266251</v>
      </c>
      <c r="Y59" s="12">
        <v>250305.25723074074</v>
      </c>
      <c r="Z59" s="12">
        <v>387298.71960323205</v>
      </c>
      <c r="AA59" s="12">
        <v>525242.00352537143</v>
      </c>
      <c r="AB59" s="12">
        <v>664106.35834889533</v>
      </c>
      <c r="AC59" s="12">
        <v>763078.59045154997</v>
      </c>
      <c r="AD59" s="12">
        <v>862996.37579748302</v>
      </c>
      <c r="AE59" s="12">
        <v>963809.32951528253</v>
      </c>
      <c r="AF59" s="12">
        <v>1065464.063654419</v>
      </c>
      <c r="AG59" s="12">
        <v>1167789.1555711029</v>
      </c>
      <c r="AH59" s="12">
        <v>1271002.97351424</v>
      </c>
      <c r="AI59" s="12">
        <v>1375138.1909842701</v>
      </c>
      <c r="AJ59" s="12">
        <v>1480224.5952874746</v>
      </c>
      <c r="AK59" s="12">
        <v>1586189.608468333</v>
      </c>
      <c r="AL59" s="12">
        <v>1692962.2393155952</v>
      </c>
      <c r="AM59" s="12">
        <v>1800605.6505667812</v>
      </c>
      <c r="AN59" s="12">
        <v>1908990.1815025087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236A9-86A6-470B-A67A-BDFC9D0370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10" t="s">
        <v>493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2.8299999999999996</v>
      </c>
      <c r="H7" s="108">
        <v>5.6499999999999995</v>
      </c>
      <c r="I7" s="108">
        <v>8.48</v>
      </c>
      <c r="J7" s="108">
        <v>11.299999999999999</v>
      </c>
      <c r="K7" s="108">
        <v>14.12</v>
      </c>
      <c r="L7" s="108">
        <v>16.950000000000003</v>
      </c>
      <c r="M7" s="108">
        <v>19.770000000000003</v>
      </c>
      <c r="N7" s="108">
        <v>22.59</v>
      </c>
      <c r="O7" s="108">
        <v>25.42</v>
      </c>
      <c r="P7" s="108">
        <v>28.240000000000002</v>
      </c>
      <c r="Q7" s="108">
        <v>31.060000000000002</v>
      </c>
      <c r="R7" s="108">
        <v>33.89</v>
      </c>
      <c r="S7" s="108">
        <v>36.71</v>
      </c>
      <c r="T7" s="108">
        <v>39.53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0.43</v>
      </c>
      <c r="H8" s="108">
        <v>0.86</v>
      </c>
      <c r="I8" s="108">
        <v>1.29</v>
      </c>
      <c r="J8" s="108">
        <v>1.72</v>
      </c>
      <c r="K8" s="108">
        <v>2.15</v>
      </c>
      <c r="L8" s="108">
        <v>2.5799999999999996</v>
      </c>
      <c r="M8" s="108">
        <v>3</v>
      </c>
      <c r="N8" s="108">
        <v>3.4299999999999997</v>
      </c>
      <c r="O8" s="108">
        <v>3.86</v>
      </c>
      <c r="P8" s="108">
        <v>4.29</v>
      </c>
      <c r="Q8" s="108">
        <v>4.72</v>
      </c>
      <c r="R8" s="108">
        <v>5.1499999999999995</v>
      </c>
      <c r="S8" s="108">
        <v>5.58</v>
      </c>
      <c r="T8" s="108">
        <v>6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0.25</v>
      </c>
      <c r="I12" s="108">
        <v>0.26</v>
      </c>
      <c r="J12" s="108">
        <v>0.27</v>
      </c>
      <c r="K12" s="108">
        <v>0.29000000000000004</v>
      </c>
      <c r="L12" s="108">
        <v>0.3</v>
      </c>
      <c r="M12" s="108">
        <v>0.31</v>
      </c>
      <c r="N12" s="108">
        <v>0.33</v>
      </c>
      <c r="O12" s="108">
        <v>0.34</v>
      </c>
      <c r="P12" s="108">
        <v>0.35000000000000003</v>
      </c>
      <c r="Q12" s="108">
        <v>0.36</v>
      </c>
      <c r="R12" s="108">
        <v>0.38</v>
      </c>
      <c r="S12" s="108">
        <v>0.39</v>
      </c>
      <c r="T12" s="108">
        <v>0.17</v>
      </c>
      <c r="U12" s="108">
        <v>0.18000000000000002</v>
      </c>
      <c r="V12" s="108">
        <v>0.2</v>
      </c>
      <c r="W12" s="108">
        <v>0.21000000000000002</v>
      </c>
      <c r="X12" s="108">
        <v>0.22</v>
      </c>
      <c r="Y12" s="108">
        <v>0.24000000000000002</v>
      </c>
      <c r="Z12" s="108">
        <v>0.25</v>
      </c>
      <c r="AA12" s="108">
        <v>0.26</v>
      </c>
      <c r="AB12" s="108">
        <v>0.27</v>
      </c>
      <c r="AC12" s="108">
        <v>0.29000000000000004</v>
      </c>
      <c r="AD12" s="108">
        <v>0.3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0.02</v>
      </c>
      <c r="H13" s="108">
        <v>0.35000000000000003</v>
      </c>
      <c r="I13" s="108">
        <v>0.39</v>
      </c>
      <c r="J13" s="108">
        <v>0.42</v>
      </c>
      <c r="K13" s="108">
        <v>0.45</v>
      </c>
      <c r="L13" s="108">
        <v>0.49</v>
      </c>
      <c r="M13" s="108">
        <v>0.52</v>
      </c>
      <c r="N13" s="108">
        <v>0.55000000000000004</v>
      </c>
      <c r="O13" s="108">
        <v>0.59</v>
      </c>
      <c r="P13" s="108">
        <v>0.62</v>
      </c>
      <c r="Q13" s="108">
        <v>0.65</v>
      </c>
      <c r="R13" s="108">
        <v>0.69000000000000006</v>
      </c>
      <c r="S13" s="108">
        <v>0.72</v>
      </c>
      <c r="T13" s="108">
        <v>0.45</v>
      </c>
      <c r="U13" s="108">
        <v>0.47000000000000003</v>
      </c>
      <c r="V13" s="108">
        <v>0.49</v>
      </c>
      <c r="W13" s="108">
        <v>0.5</v>
      </c>
      <c r="X13" s="108">
        <v>0.52</v>
      </c>
      <c r="Y13" s="108">
        <v>0.54</v>
      </c>
      <c r="Z13" s="108">
        <v>0.55000000000000004</v>
      </c>
      <c r="AA13" s="108">
        <v>0.57000000000000006</v>
      </c>
      <c r="AB13" s="108">
        <v>0.59</v>
      </c>
      <c r="AC13" s="108">
        <v>0.6</v>
      </c>
      <c r="AD13" s="108">
        <v>0.62</v>
      </c>
      <c r="AE13" s="108">
        <v>0.64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0.02</v>
      </c>
      <c r="H14" s="108">
        <v>0.2</v>
      </c>
      <c r="I14" s="108">
        <v>0.22</v>
      </c>
      <c r="J14" s="108">
        <v>0.25</v>
      </c>
      <c r="K14" s="108">
        <v>0.27</v>
      </c>
      <c r="L14" s="108">
        <v>0.3</v>
      </c>
      <c r="M14" s="108">
        <v>0.32</v>
      </c>
      <c r="N14" s="108">
        <v>0.35000000000000003</v>
      </c>
      <c r="O14" s="108">
        <v>0.37</v>
      </c>
      <c r="P14" s="108">
        <v>0.39</v>
      </c>
      <c r="Q14" s="108">
        <v>0.42</v>
      </c>
      <c r="R14" s="108">
        <v>0.44</v>
      </c>
      <c r="S14" s="108">
        <v>0.47000000000000003</v>
      </c>
      <c r="T14" s="108">
        <v>0.34</v>
      </c>
      <c r="U14" s="108">
        <v>0.35000000000000003</v>
      </c>
      <c r="V14" s="108">
        <v>0.36</v>
      </c>
      <c r="W14" s="108">
        <v>0.37</v>
      </c>
      <c r="X14" s="108">
        <v>0.38</v>
      </c>
      <c r="Y14" s="108">
        <v>0.39</v>
      </c>
      <c r="Z14" s="108">
        <v>0.39</v>
      </c>
      <c r="AA14" s="108">
        <v>0.4</v>
      </c>
      <c r="AB14" s="108">
        <v>0.41000000000000003</v>
      </c>
      <c r="AC14" s="108">
        <v>0.42</v>
      </c>
      <c r="AD14" s="108">
        <v>0.43</v>
      </c>
      <c r="AE14" s="108">
        <v>0.44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0.02</v>
      </c>
      <c r="H15" s="108">
        <v>0.03</v>
      </c>
      <c r="I15" s="108">
        <v>0.04</v>
      </c>
      <c r="J15" s="108">
        <v>0.05</v>
      </c>
      <c r="K15" s="108">
        <v>0.06</v>
      </c>
      <c r="L15" s="108">
        <v>0.08</v>
      </c>
      <c r="M15" s="108">
        <v>0.09</v>
      </c>
      <c r="N15" s="108">
        <v>9.9999999999999992E-2</v>
      </c>
      <c r="O15" s="108">
        <v>0.11</v>
      </c>
      <c r="P15" s="108">
        <v>0.12</v>
      </c>
      <c r="Q15" s="108">
        <v>0.14000000000000001</v>
      </c>
      <c r="R15" s="108">
        <v>0.15000000000000002</v>
      </c>
      <c r="S15" s="108">
        <v>0.16</v>
      </c>
      <c r="T15" s="108">
        <v>0.17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0.02</v>
      </c>
      <c r="H16" s="108">
        <v>0.03</v>
      </c>
      <c r="I16" s="108">
        <v>0.04</v>
      </c>
      <c r="J16" s="108">
        <v>0.05</v>
      </c>
      <c r="K16" s="108">
        <v>0.06</v>
      </c>
      <c r="L16" s="108">
        <v>0.08</v>
      </c>
      <c r="M16" s="108">
        <v>0.09</v>
      </c>
      <c r="N16" s="108">
        <v>9.9999999999999992E-2</v>
      </c>
      <c r="O16" s="108">
        <v>0.11</v>
      </c>
      <c r="P16" s="108">
        <v>0.12</v>
      </c>
      <c r="Q16" s="108">
        <v>0.14000000000000001</v>
      </c>
      <c r="R16" s="108">
        <v>0.15000000000000002</v>
      </c>
      <c r="S16" s="108">
        <v>0.16</v>
      </c>
      <c r="T16" s="108">
        <v>0.17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0.3</v>
      </c>
      <c r="H17" s="108">
        <v>0.6</v>
      </c>
      <c r="I17" s="108">
        <v>0.9</v>
      </c>
      <c r="J17" s="108">
        <v>1.2</v>
      </c>
      <c r="K17" s="108">
        <v>1.5</v>
      </c>
      <c r="L17" s="108">
        <v>1.8</v>
      </c>
      <c r="M17" s="108">
        <v>2.1</v>
      </c>
      <c r="N17" s="108">
        <v>2.4</v>
      </c>
      <c r="O17" s="108">
        <v>2.7</v>
      </c>
      <c r="P17" s="108">
        <v>3</v>
      </c>
      <c r="Q17" s="108">
        <v>3.3</v>
      </c>
      <c r="R17" s="108">
        <v>3.6</v>
      </c>
      <c r="S17" s="108">
        <v>3.9</v>
      </c>
      <c r="T17" s="108">
        <v>4.2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3</v>
      </c>
      <c r="H21" s="120">
        <v>7</v>
      </c>
      <c r="I21" s="120">
        <v>10</v>
      </c>
      <c r="J21" s="120">
        <v>13</v>
      </c>
      <c r="K21" s="120">
        <v>16</v>
      </c>
      <c r="L21" s="120">
        <v>20</v>
      </c>
      <c r="M21" s="120">
        <v>23</v>
      </c>
      <c r="N21" s="120">
        <v>26</v>
      </c>
      <c r="O21" s="120">
        <v>29</v>
      </c>
      <c r="P21" s="120">
        <v>33</v>
      </c>
      <c r="Q21" s="120">
        <v>36</v>
      </c>
      <c r="R21" s="120">
        <v>39</v>
      </c>
      <c r="S21" s="120">
        <v>42</v>
      </c>
      <c r="T21" s="120">
        <v>46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129000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13729.217253221579</v>
      </c>
      <c r="H49" s="12">
        <f>'Corp.'!H$50*(H$37-(H31-H32-H34)*$C$35)/(SUM('MDA1:NCA9'!H$37)-SUM('MDA1:NCA9'!H$31)-SUM('MDA1:NCA9'!H$32)-SUM('MDA1:NCA9'!H$34))</f>
        <v>21001.691956620307</v>
      </c>
      <c r="I49" s="12">
        <f>'Corp.'!I$50*(I$37-(I31-I32-I34)*$C$35)/(SUM('MDA1:NCA9'!I$37)-SUM('MDA1:NCA9'!I$31)-SUM('MDA1:NCA9'!I$32)-SUM('MDA1:NCA9'!I$34))</f>
        <v>27735.503916672962</v>
      </c>
      <c r="J49" s="12">
        <f>'Corp.'!J$50*(J$37-(J31-J32-J34)*$C$35)/(SUM('MDA1:NCA9'!J$37)-SUM('MDA1:NCA9'!J$31)-SUM('MDA1:NCA9'!J$32)-SUM('MDA1:NCA9'!J$34))</f>
        <v>33412.60425166777</v>
      </c>
      <c r="K49" s="12">
        <f>'Corp.'!K$50*(K$37-(K31-K32-K34)*$C$35)/(SUM('MDA1:NCA9'!K$37)-SUM('MDA1:NCA9'!K$31)-SUM('MDA1:NCA9'!K$32)-SUM('MDA1:NCA9'!K$34))</f>
        <v>37615.786741677271</v>
      </c>
      <c r="L49" s="12">
        <f>'Corp.'!L$50*(L$37-(L31-L32-L34)*$C$35)/(SUM('MDA1:NCA9'!L$37)-SUM('MDA1:NCA9'!L$31)-SUM('MDA1:NCA9'!L$32)-SUM('MDA1:NCA9'!L$34))</f>
        <v>42087.00985191857</v>
      </c>
      <c r="M49" s="12">
        <f>'Corp.'!M$50*(M$37-(M31-M32-M34)*$C$35)/(SUM('MDA1:NCA9'!M$37)-SUM('MDA1:NCA9'!M$31)-SUM('MDA1:NCA9'!M$32)-SUM('MDA1:NCA9'!M$34))</f>
        <v>45618.222917615829</v>
      </c>
      <c r="N49" s="12">
        <f>'Corp.'!N$50*(N$37-(N31-N32-N34)*$C$35)/(SUM('MDA1:NCA9'!N$37)-SUM('MDA1:NCA9'!N$31)-SUM('MDA1:NCA9'!N$32)-SUM('MDA1:NCA9'!N$34))</f>
        <v>48836.151583102255</v>
      </c>
      <c r="O49" s="12">
        <f>'Corp.'!O$50*(O$37-(O31-O32-O34)*$C$35)/(SUM('MDA1:NCA9'!O$37)-SUM('MDA1:NCA9'!O$31)-SUM('MDA1:NCA9'!O$32)-SUM('MDA1:NCA9'!O$34))</f>
        <v>51220.663806224329</v>
      </c>
      <c r="P49" s="12">
        <f>'Corp.'!P$50*(P$37-(P31-P32-P34)*$C$35)/(SUM('MDA1:NCA9'!P$37)-SUM('MDA1:NCA9'!P$31)-SUM('MDA1:NCA9'!P$32)-SUM('MDA1:NCA9'!P$34))</f>
        <v>53568.869459125977</v>
      </c>
      <c r="Q49" s="12">
        <f>'Corp.'!Q$50*(Q$37-(Q31-Q32-Q34)*$C$35)/(SUM('MDA1:NCA9'!Q$37)-SUM('MDA1:NCA9'!Q$31)-SUM('MDA1:NCA9'!Q$32)-SUM('MDA1:NCA9'!Q$34))</f>
        <v>61329.602597521276</v>
      </c>
      <c r="R49" s="12">
        <f>'Corp.'!R$50*(R$37-(R31-R32-R34)*$C$35)/(SUM('MDA1:NCA9'!R$37)-SUM('MDA1:NCA9'!R$31)-SUM('MDA1:NCA9'!R$32)-SUM('MDA1:NCA9'!R$34))</f>
        <v>64268.162456388804</v>
      </c>
      <c r="S49" s="12">
        <f>'Corp.'!S$50*(S$37-(S31-S32-S34)*$C$35)/(SUM('MDA1:NCA9'!S$37)-SUM('MDA1:NCA9'!S$31)-SUM('MDA1:NCA9'!S$32)-SUM('MDA1:NCA9'!S$34))</f>
        <v>66545.930224373064</v>
      </c>
      <c r="T49" s="12">
        <f>'Corp.'!T$50*(T$37-(T31-T32-T34)*$C$35)/(SUM('MDA1:NCA9'!T$37)-SUM('MDA1:NCA9'!T$31)-SUM('MDA1:NCA9'!T$32)-SUM('MDA1:NCA9'!T$34))</f>
        <v>68881.5605536847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129000</v>
      </c>
      <c r="F50" s="13">
        <v>0</v>
      </c>
      <c r="G50" s="13">
        <v>98076.20717722486</v>
      </c>
      <c r="H50" s="13">
        <v>138023.07633796023</v>
      </c>
      <c r="I50" s="13">
        <v>165496.17822201614</v>
      </c>
      <c r="J50" s="13">
        <v>191868.83968101424</v>
      </c>
      <c r="K50" s="13">
        <v>216800.4499616937</v>
      </c>
      <c r="L50" s="13">
        <v>242288.2629959383</v>
      </c>
      <c r="M50" s="13">
        <v>266349.02051897219</v>
      </c>
      <c r="N50" s="13">
        <v>290362.67697512853</v>
      </c>
      <c r="O50" s="13">
        <v>313486.47912225395</v>
      </c>
      <c r="P50" s="13">
        <v>336462.94589915883</v>
      </c>
      <c r="Q50" s="13">
        <v>391686.28391796106</v>
      </c>
      <c r="R50" s="13">
        <v>417445.76602656551</v>
      </c>
      <c r="S50" s="13">
        <v>442386.73103095341</v>
      </c>
      <c r="T50" s="13">
        <v>461452.67359666876</v>
      </c>
      <c r="U50" s="13">
        <v>460005.90251902415</v>
      </c>
      <c r="V50" s="13">
        <v>459002.91647669964</v>
      </c>
      <c r="W50" s="13">
        <v>457366.96958700469</v>
      </c>
      <c r="X50" s="13">
        <v>455796.05599215371</v>
      </c>
      <c r="Y50" s="13">
        <v>455002.44336654834</v>
      </c>
      <c r="Z50" s="13">
        <v>453953.93747880193</v>
      </c>
      <c r="AA50" s="13">
        <v>453004.11592915386</v>
      </c>
      <c r="AB50" s="13">
        <v>452083.0450277694</v>
      </c>
      <c r="AC50" s="13">
        <v>492443.5945486385</v>
      </c>
      <c r="AD50" s="13">
        <v>491854.14957202674</v>
      </c>
      <c r="AE50" s="13">
        <v>491315.08946682699</v>
      </c>
      <c r="AF50" s="13">
        <v>490473.30904548994</v>
      </c>
      <c r="AG50" s="13">
        <v>489802.95126794273</v>
      </c>
      <c r="AH50" s="13">
        <v>488914.22524148942</v>
      </c>
      <c r="AI50" s="13">
        <v>487992.82571459655</v>
      </c>
      <c r="AJ50" s="13">
        <v>487041.638881422</v>
      </c>
      <c r="AK50" s="13">
        <v>486163.0300037681</v>
      </c>
      <c r="AL50" s="13">
        <v>485355.4123373644</v>
      </c>
      <c r="AM50" s="13">
        <v>484484.63193344069</v>
      </c>
      <c r="AN50" s="13">
        <v>483743.51224889903</v>
      </c>
    </row>
    <row r="52" spans="2:40" x14ac:dyDescent="0.25">
      <c r="B52" s="1" t="s">
        <v>50</v>
      </c>
      <c r="E52" s="74">
        <f>E37-E50</f>
        <v>-129000</v>
      </c>
      <c r="F52" s="74">
        <f t="shared" ref="F52:AN52" si="0">F37-F50</f>
        <v>0</v>
      </c>
      <c r="G52" s="74">
        <f t="shared" si="0"/>
        <v>-29052.685230558185</v>
      </c>
      <c r="H52" s="74">
        <f t="shared" si="0"/>
        <v>-22778.145111293547</v>
      </c>
      <c r="I52" s="74">
        <f t="shared" si="0"/>
        <v>-4029.8377153495094</v>
      </c>
      <c r="J52" s="74">
        <f t="shared" si="0"/>
        <v>15818.910105652438</v>
      </c>
      <c r="K52" s="74">
        <f t="shared" si="0"/>
        <v>37108.709104972921</v>
      </c>
      <c r="L52" s="74">
        <f t="shared" si="0"/>
        <v>57842.305350728275</v>
      </c>
      <c r="M52" s="74">
        <f t="shared" si="0"/>
        <v>80002.957107694412</v>
      </c>
      <c r="N52" s="74">
        <f t="shared" si="0"/>
        <v>102210.70993153815</v>
      </c>
      <c r="O52" s="74">
        <f t="shared" si="0"/>
        <v>125308.31706441264</v>
      </c>
      <c r="P52" s="74">
        <f t="shared" si="0"/>
        <v>148553.25956750783</v>
      </c>
      <c r="Q52" s="74">
        <f t="shared" si="0"/>
        <v>155488.45927110559</v>
      </c>
      <c r="R52" s="74">
        <f t="shared" si="0"/>
        <v>177337.02872090106</v>
      </c>
      <c r="S52" s="74">
        <f t="shared" si="0"/>
        <v>200004.11527491309</v>
      </c>
      <c r="T52" s="74">
        <f t="shared" si="0"/>
        <v>228546.22426759778</v>
      </c>
      <c r="U52" s="74">
        <f t="shared" si="0"/>
        <v>229992.99534524238</v>
      </c>
      <c r="V52" s="74">
        <f t="shared" si="0"/>
        <v>230995.98138756689</v>
      </c>
      <c r="W52" s="74">
        <f t="shared" si="0"/>
        <v>232631.92827726185</v>
      </c>
      <c r="X52" s="74">
        <f t="shared" si="0"/>
        <v>234202.84187211283</v>
      </c>
      <c r="Y52" s="74">
        <f t="shared" si="0"/>
        <v>234996.45449771819</v>
      </c>
      <c r="Z52" s="74">
        <f t="shared" si="0"/>
        <v>236044.9603854646</v>
      </c>
      <c r="AA52" s="74">
        <f t="shared" si="0"/>
        <v>236994.78193511267</v>
      </c>
      <c r="AB52" s="74">
        <f t="shared" si="0"/>
        <v>237915.85283649713</v>
      </c>
      <c r="AC52" s="74">
        <f t="shared" si="0"/>
        <v>197555.30331562803</v>
      </c>
      <c r="AD52" s="74">
        <f t="shared" si="0"/>
        <v>198144.74829223979</v>
      </c>
      <c r="AE52" s="74">
        <f t="shared" si="0"/>
        <v>198683.80839743954</v>
      </c>
      <c r="AF52" s="74">
        <f t="shared" si="0"/>
        <v>199525.5888187766</v>
      </c>
      <c r="AG52" s="74">
        <f t="shared" si="0"/>
        <v>200195.9465963238</v>
      </c>
      <c r="AH52" s="74">
        <f t="shared" si="0"/>
        <v>201084.67262277711</v>
      </c>
      <c r="AI52" s="74">
        <f t="shared" si="0"/>
        <v>202006.07214966998</v>
      </c>
      <c r="AJ52" s="74">
        <f t="shared" si="0"/>
        <v>202957.25898284453</v>
      </c>
      <c r="AK52" s="74">
        <f t="shared" si="0"/>
        <v>203835.86786049843</v>
      </c>
      <c r="AL52" s="74">
        <f t="shared" si="0"/>
        <v>204643.48552690214</v>
      </c>
      <c r="AM52" s="74">
        <f t="shared" si="0"/>
        <v>205514.26593082584</v>
      </c>
      <c r="AN52" s="74">
        <f t="shared" si="0"/>
        <v>206255.3856153675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>
        <f t="shared" si="1"/>
        <v>-0.42090992188151033</v>
      </c>
      <c r="H53" s="107">
        <f t="shared" si="1"/>
        <v>-0.19764986510767149</v>
      </c>
      <c r="I53" s="107">
        <f t="shared" si="1"/>
        <v>-2.4957757156719145E-2</v>
      </c>
      <c r="J53" s="107">
        <f t="shared" si="1"/>
        <v>7.6166794247139527E-2</v>
      </c>
      <c r="K53" s="107">
        <f t="shared" si="1"/>
        <v>0.14614954908038438</v>
      </c>
      <c r="L53" s="107">
        <f t="shared" si="1"/>
        <v>0.19272380574016496</v>
      </c>
      <c r="M53" s="107">
        <f t="shared" si="1"/>
        <v>0.2309874413188128</v>
      </c>
      <c r="N53" s="107">
        <f t="shared" si="1"/>
        <v>0.26036077161755872</v>
      </c>
      <c r="O53" s="107">
        <f t="shared" si="1"/>
        <v>0.28557384488923049</v>
      </c>
      <c r="P53" s="107">
        <f t="shared" si="1"/>
        <v>0.30628514654386602</v>
      </c>
      <c r="Q53" s="107">
        <f t="shared" si="1"/>
        <v>0.284166002189504</v>
      </c>
      <c r="R53" s="107">
        <f t="shared" si="1"/>
        <v>0.29815426788899463</v>
      </c>
      <c r="S53" s="107">
        <f t="shared" si="1"/>
        <v>0.31134334560502686</v>
      </c>
      <c r="T53" s="107">
        <f t="shared" si="1"/>
        <v>0.33122694105021072</v>
      </c>
      <c r="U53" s="107">
        <f t="shared" si="1"/>
        <v>0.33332371407712824</v>
      </c>
      <c r="V53" s="107">
        <f t="shared" si="1"/>
        <v>0.33477731935885985</v>
      </c>
      <c r="W53" s="107">
        <f t="shared" si="1"/>
        <v>0.33714826066725712</v>
      </c>
      <c r="X53" s="107">
        <f t="shared" si="1"/>
        <v>0.33942495067315914</v>
      </c>
      <c r="Y53" s="107">
        <f t="shared" si="1"/>
        <v>0.34057511573583071</v>
      </c>
      <c r="Z53" s="107">
        <f t="shared" si="1"/>
        <v>0.34209469191340403</v>
      </c>
      <c r="AA53" s="107">
        <f t="shared" si="1"/>
        <v>0.34347124708267751</v>
      </c>
      <c r="AB53" s="107">
        <f t="shared" si="1"/>
        <v>0.34480613457921616</v>
      </c>
      <c r="AC53" s="107">
        <f t="shared" si="1"/>
        <v>0.28631249111718177</v>
      </c>
      <c r="AD53" s="107">
        <f t="shared" si="1"/>
        <v>0.28716676056375084</v>
      </c>
      <c r="AE53" s="107">
        <f t="shared" si="1"/>
        <v>0.28794800834091144</v>
      </c>
      <c r="AF53" s="107">
        <f t="shared" si="1"/>
        <v>0.28916798191469917</v>
      </c>
      <c r="AG53" s="107">
        <f t="shared" si="1"/>
        <v>0.29013951647746755</v>
      </c>
      <c r="AH53" s="107">
        <f t="shared" si="1"/>
        <v>0.29142752726879512</v>
      </c>
      <c r="AI53" s="107">
        <f t="shared" si="1"/>
        <v>0.29276289103494729</v>
      </c>
      <c r="AJ53" s="107">
        <f t="shared" si="1"/>
        <v>0.29414142487915884</v>
      </c>
      <c r="AK53" s="107">
        <f t="shared" si="1"/>
        <v>0.29541477311257403</v>
      </c>
      <c r="AL53" s="107">
        <f t="shared" si="1"/>
        <v>0.29658523536824355</v>
      </c>
      <c r="AM53" s="107">
        <f t="shared" si="1"/>
        <v>0.29784723796943469</v>
      </c>
      <c r="AN53" s="107">
        <f t="shared" si="1"/>
        <v>0.29892132618440953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236833.33333333334</v>
      </c>
      <c r="I55" s="12">
        <v>236833.33333333334</v>
      </c>
      <c r="J55" s="12">
        <v>236833.33333333334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-50387.171021066672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-43404.921846933343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-49875.919146133296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-54276.210786933363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-57980.095368799972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-60759.55176506663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-63995.050414666664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-67230.549064266728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-70466.047713866617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-365833.33333333337</v>
      </c>
      <c r="F58" s="13">
        <f t="shared" ref="F58:AN58" si="2">F37-F50-F55+F56</f>
        <v>-236833.33333333334</v>
      </c>
      <c r="G58" s="13">
        <f t="shared" si="2"/>
        <v>-316273.18958495819</v>
      </c>
      <c r="H58" s="13">
        <f t="shared" si="2"/>
        <v>-303016.40029156022</v>
      </c>
      <c r="I58" s="13">
        <f t="shared" si="2"/>
        <v>-290739.09019481612</v>
      </c>
      <c r="J58" s="13">
        <f t="shared" si="2"/>
        <v>-275290.63401461428</v>
      </c>
      <c r="K58" s="13">
        <f t="shared" si="2"/>
        <v>-20871.386263827051</v>
      </c>
      <c r="L58" s="13">
        <f t="shared" si="2"/>
        <v>-2917.246414338355</v>
      </c>
      <c r="M58" s="13">
        <f t="shared" si="2"/>
        <v>16007.906693027748</v>
      </c>
      <c r="N58" s="13">
        <f t="shared" si="2"/>
        <v>34980.160867271421</v>
      </c>
      <c r="O58" s="13">
        <f t="shared" si="2"/>
        <v>54842.269350546019</v>
      </c>
      <c r="P58" s="13">
        <f t="shared" si="2"/>
        <v>110466.88570750784</v>
      </c>
      <c r="Q58" s="13">
        <f t="shared" si="2"/>
        <v>110468.8740191056</v>
      </c>
      <c r="R58" s="13">
        <f t="shared" si="2"/>
        <v>125384.23207690107</v>
      </c>
      <c r="S58" s="13">
        <f t="shared" si="2"/>
        <v>141118.10723891307</v>
      </c>
      <c r="T58" s="13">
        <f t="shared" si="2"/>
        <v>162727.00483959779</v>
      </c>
      <c r="U58" s="13">
        <f t="shared" si="2"/>
        <v>157240.56452524237</v>
      </c>
      <c r="V58" s="13">
        <f t="shared" si="2"/>
        <v>148919.76990920689</v>
      </c>
      <c r="W58" s="13">
        <f t="shared" si="2"/>
        <v>143414.50906514184</v>
      </c>
      <c r="X58" s="13">
        <f t="shared" si="2"/>
        <v>137844.21492623287</v>
      </c>
      <c r="Y58" s="13">
        <f t="shared" si="2"/>
        <v>131496.61981807824</v>
      </c>
      <c r="Z58" s="13">
        <f t="shared" si="2"/>
        <v>132545.12570582464</v>
      </c>
      <c r="AA58" s="13">
        <f t="shared" si="2"/>
        <v>133494.94725547271</v>
      </c>
      <c r="AB58" s="13">
        <f t="shared" si="2"/>
        <v>134416.01815685717</v>
      </c>
      <c r="AC58" s="13">
        <f t="shared" si="2"/>
        <v>94055.468635988058</v>
      </c>
      <c r="AD58" s="13">
        <f t="shared" si="2"/>
        <v>94644.913612599819</v>
      </c>
      <c r="AE58" s="13">
        <f t="shared" si="2"/>
        <v>95183.97371779957</v>
      </c>
      <c r="AF58" s="13">
        <f t="shared" si="2"/>
        <v>96025.754139136625</v>
      </c>
      <c r="AG58" s="13">
        <f t="shared" si="2"/>
        <v>96696.111916683833</v>
      </c>
      <c r="AH58" s="13">
        <f t="shared" si="2"/>
        <v>97584.837943137143</v>
      </c>
      <c r="AI58" s="13">
        <f t="shared" si="2"/>
        <v>98506.237470030013</v>
      </c>
      <c r="AJ58" s="13">
        <f t="shared" si="2"/>
        <v>99457.424303204563</v>
      </c>
      <c r="AK58" s="13">
        <f t="shared" si="2"/>
        <v>100336.03318085846</v>
      </c>
      <c r="AL58" s="13">
        <f t="shared" si="2"/>
        <v>101143.65084726216</v>
      </c>
      <c r="AM58" s="13">
        <f t="shared" si="2"/>
        <v>102014.43125118587</v>
      </c>
      <c r="AN58" s="13">
        <f t="shared" si="2"/>
        <v>102755.55093572753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-365833.33333333337</v>
      </c>
      <c r="F59" s="12">
        <v>-602666.66666666674</v>
      </c>
      <c r="G59" s="12">
        <v>-918939.85625162488</v>
      </c>
      <c r="H59" s="12">
        <v>-1221956.2565431851</v>
      </c>
      <c r="I59" s="12">
        <v>-1512695.3467380013</v>
      </c>
      <c r="J59" s="12">
        <v>-1787985.9807526157</v>
      </c>
      <c r="K59" s="12">
        <v>-1808857.3670164428</v>
      </c>
      <c r="L59" s="12">
        <v>-1811774.6134307813</v>
      </c>
      <c r="M59" s="12">
        <v>-1795766.7067377535</v>
      </c>
      <c r="N59" s="12">
        <v>-1760786.545870482</v>
      </c>
      <c r="O59" s="12">
        <v>-1705944.276519936</v>
      </c>
      <c r="P59" s="12">
        <v>-1595477.3908124282</v>
      </c>
      <c r="Q59" s="12">
        <v>-1485008.5167933225</v>
      </c>
      <c r="R59" s="12">
        <v>-1359624.2847164215</v>
      </c>
      <c r="S59" s="12">
        <v>-1218506.1774775083</v>
      </c>
      <c r="T59" s="12">
        <v>-1055779.1726379106</v>
      </c>
      <c r="U59" s="12">
        <v>-898538.60811266815</v>
      </c>
      <c r="V59" s="12">
        <v>-749618.83820346126</v>
      </c>
      <c r="W59" s="12">
        <v>-606204.32913831947</v>
      </c>
      <c r="X59" s="12">
        <v>-468360.1142120866</v>
      </c>
      <c r="Y59" s="12">
        <v>-336863.49439400836</v>
      </c>
      <c r="Z59" s="12">
        <v>-204318.36868818372</v>
      </c>
      <c r="AA59" s="12">
        <v>-70823.421432711009</v>
      </c>
      <c r="AB59" s="12">
        <v>63592.596724146162</v>
      </c>
      <c r="AC59" s="12">
        <v>157648.06536013423</v>
      </c>
      <c r="AD59" s="12">
        <v>252292.97897273407</v>
      </c>
      <c r="AE59" s="12">
        <v>347476.95269053365</v>
      </c>
      <c r="AF59" s="12">
        <v>443502.70682967029</v>
      </c>
      <c r="AG59" s="12">
        <v>540198.81874635408</v>
      </c>
      <c r="AH59" s="12">
        <v>637783.65668949124</v>
      </c>
      <c r="AI59" s="12">
        <v>736289.89415952121</v>
      </c>
      <c r="AJ59" s="12">
        <v>835747.31846272573</v>
      </c>
      <c r="AK59" s="12">
        <v>936083.3516435842</v>
      </c>
      <c r="AL59" s="12">
        <v>1037227.0024908463</v>
      </c>
      <c r="AM59" s="12">
        <v>1139241.4337420322</v>
      </c>
      <c r="AN59" s="12">
        <v>1241996.9846777597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AF41-15D8-4F2D-82F0-7B18A0F50FCE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494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1</v>
      </c>
      <c r="I1" s="69">
        <v>3</v>
      </c>
      <c r="J1" s="69">
        <v>5</v>
      </c>
      <c r="K1" s="69">
        <v>6</v>
      </c>
      <c r="L1" s="69">
        <v>8</v>
      </c>
      <c r="M1" s="69">
        <v>10</v>
      </c>
      <c r="N1" s="69">
        <v>12</v>
      </c>
      <c r="O1" s="69">
        <v>13</v>
      </c>
      <c r="P1" s="69">
        <v>15</v>
      </c>
      <c r="Q1" s="69">
        <v>17</v>
      </c>
      <c r="R1" s="69">
        <v>18</v>
      </c>
      <c r="S1" s="69">
        <v>20</v>
      </c>
      <c r="T1" s="69">
        <v>22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1.8809523809523809</v>
      </c>
      <c r="J2" s="69">
        <v>2.0476190476190474</v>
      </c>
      <c r="K2" s="69">
        <v>2.2142857142857144</v>
      </c>
      <c r="L2" s="69">
        <v>2.3809523809523809</v>
      </c>
      <c r="M2" s="69">
        <v>2.5476190476190474</v>
      </c>
      <c r="N2" s="69">
        <v>2.7142857142857144</v>
      </c>
      <c r="O2" s="69">
        <v>2.8809523809523809</v>
      </c>
      <c r="P2" s="69">
        <v>3.0476190476190474</v>
      </c>
      <c r="Q2" s="69">
        <v>3.2142857142857144</v>
      </c>
      <c r="R2" s="69">
        <v>3.3809523809523809</v>
      </c>
      <c r="S2" s="69">
        <v>3.5476190476190474</v>
      </c>
      <c r="T2" s="69">
        <v>3.7142857142857144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1</v>
      </c>
      <c r="I4" s="69">
        <v>4.8809523809523814</v>
      </c>
      <c r="J4" s="69">
        <v>7.0476190476190474</v>
      </c>
      <c r="K4" s="69">
        <v>8.2142857142857153</v>
      </c>
      <c r="L4" s="69">
        <v>10.380952380952381</v>
      </c>
      <c r="M4" s="69">
        <v>12.547619047619047</v>
      </c>
      <c r="N4" s="69">
        <v>14.714285714285715</v>
      </c>
      <c r="O4" s="69">
        <v>15.880952380952381</v>
      </c>
      <c r="P4" s="69">
        <v>18.047619047619047</v>
      </c>
      <c r="Q4" s="69">
        <v>20.214285714285715</v>
      </c>
      <c r="R4" s="69">
        <v>21.38095238095238</v>
      </c>
      <c r="S4" s="69">
        <v>23.547619047619047</v>
      </c>
      <c r="T4" s="69">
        <v>25.714285714285715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2</v>
      </c>
      <c r="I6" s="66">
        <v>4</v>
      </c>
      <c r="J6" s="66">
        <v>5</v>
      </c>
      <c r="K6" s="66">
        <v>6</v>
      </c>
      <c r="L6" s="66">
        <v>7</v>
      </c>
      <c r="M6" s="66">
        <v>8</v>
      </c>
      <c r="N6" s="66">
        <v>9</v>
      </c>
      <c r="O6" s="66">
        <v>10</v>
      </c>
      <c r="P6" s="66">
        <v>11</v>
      </c>
      <c r="Q6" s="66">
        <v>12</v>
      </c>
      <c r="R6" s="66">
        <v>13</v>
      </c>
      <c r="S6" s="66">
        <v>14</v>
      </c>
      <c r="T6" s="66">
        <v>15</v>
      </c>
      <c r="U6" s="66">
        <v>15</v>
      </c>
      <c r="V6" s="66">
        <v>15</v>
      </c>
      <c r="W6" s="66">
        <v>15</v>
      </c>
      <c r="X6" s="66">
        <v>15</v>
      </c>
      <c r="Y6" s="66">
        <v>15</v>
      </c>
      <c r="Z6" s="66">
        <v>15</v>
      </c>
      <c r="AA6" s="66">
        <v>15</v>
      </c>
      <c r="AB6" s="66">
        <v>15</v>
      </c>
      <c r="AC6" s="66">
        <v>15</v>
      </c>
      <c r="AD6" s="66">
        <v>15</v>
      </c>
      <c r="AE6" s="66">
        <v>15</v>
      </c>
      <c r="AF6" s="66">
        <v>15</v>
      </c>
      <c r="AG6" s="66">
        <v>15</v>
      </c>
      <c r="AH6" s="66">
        <v>15</v>
      </c>
      <c r="AI6" s="66">
        <v>15</v>
      </c>
      <c r="AJ6" s="66">
        <v>15</v>
      </c>
      <c r="AK6" s="66">
        <v>15</v>
      </c>
      <c r="AL6" s="66">
        <v>15</v>
      </c>
      <c r="AM6" s="66">
        <v>15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0.44</v>
      </c>
      <c r="I7" s="108">
        <v>1.3</v>
      </c>
      <c r="J7" s="108">
        <v>2.1599999999999997</v>
      </c>
      <c r="K7" s="108">
        <v>2.59</v>
      </c>
      <c r="L7" s="108">
        <v>3.46</v>
      </c>
      <c r="M7" s="108">
        <v>4.3199999999999994</v>
      </c>
      <c r="N7" s="108">
        <v>5.18</v>
      </c>
      <c r="O7" s="108">
        <v>5.6099999999999994</v>
      </c>
      <c r="P7" s="108">
        <v>6.4799999999999995</v>
      </c>
      <c r="Q7" s="108">
        <v>7.34</v>
      </c>
      <c r="R7" s="108">
        <v>7.77</v>
      </c>
      <c r="S7" s="108">
        <v>8.629999999999999</v>
      </c>
      <c r="T7" s="108">
        <v>9.5</v>
      </c>
      <c r="U7" s="108">
        <v>10.36</v>
      </c>
      <c r="V7" s="108">
        <v>10.36</v>
      </c>
      <c r="W7" s="108">
        <v>10.36</v>
      </c>
      <c r="X7" s="108">
        <v>10.36</v>
      </c>
      <c r="Y7" s="108">
        <v>10.36</v>
      </c>
      <c r="Z7" s="108">
        <v>10.36</v>
      </c>
      <c r="AA7" s="108">
        <v>10.36</v>
      </c>
      <c r="AB7" s="108">
        <v>10.36</v>
      </c>
      <c r="AC7" s="108">
        <v>10.36</v>
      </c>
      <c r="AD7" s="108">
        <v>10.36</v>
      </c>
      <c r="AE7" s="108">
        <v>10.36</v>
      </c>
      <c r="AF7" s="108">
        <v>10.36</v>
      </c>
      <c r="AG7" s="108">
        <v>10.36</v>
      </c>
      <c r="AH7" s="108">
        <v>10.36</v>
      </c>
      <c r="AI7" s="108">
        <v>10.36</v>
      </c>
      <c r="AJ7" s="108">
        <v>10.36</v>
      </c>
      <c r="AK7" s="108">
        <v>10.36</v>
      </c>
      <c r="AL7" s="108">
        <v>10.36</v>
      </c>
      <c r="AM7" s="108">
        <v>10.36</v>
      </c>
      <c r="AN7" s="108">
        <v>10.36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9.9999999999999992E-2</v>
      </c>
      <c r="I8" s="108">
        <v>0.28000000000000003</v>
      </c>
      <c r="J8" s="108">
        <v>0.46</v>
      </c>
      <c r="K8" s="108">
        <v>0.55000000000000004</v>
      </c>
      <c r="L8" s="108">
        <v>0.73</v>
      </c>
      <c r="M8" s="108">
        <v>0.91</v>
      </c>
      <c r="N8" s="108">
        <v>1.1000000000000001</v>
      </c>
      <c r="O8" s="108">
        <v>1.19</v>
      </c>
      <c r="P8" s="108">
        <v>1.37</v>
      </c>
      <c r="Q8" s="108">
        <v>1.55</v>
      </c>
      <c r="R8" s="108">
        <v>1.64</v>
      </c>
      <c r="S8" s="108">
        <v>1.82</v>
      </c>
      <c r="T8" s="108">
        <v>2</v>
      </c>
      <c r="U8" s="108">
        <v>2.19</v>
      </c>
      <c r="V8" s="108">
        <v>2.19</v>
      </c>
      <c r="W8" s="108">
        <v>2.19</v>
      </c>
      <c r="X8" s="108">
        <v>2.19</v>
      </c>
      <c r="Y8" s="108">
        <v>2.19</v>
      </c>
      <c r="Z8" s="108">
        <v>2.19</v>
      </c>
      <c r="AA8" s="108">
        <v>2.19</v>
      </c>
      <c r="AB8" s="108">
        <v>2.19</v>
      </c>
      <c r="AC8" s="108">
        <v>2.19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0.15000000000000002</v>
      </c>
      <c r="J12" s="108">
        <v>0.16</v>
      </c>
      <c r="K12" s="108">
        <v>0.18000000000000002</v>
      </c>
      <c r="L12" s="108">
        <v>0.19</v>
      </c>
      <c r="M12" s="108">
        <v>0.2</v>
      </c>
      <c r="N12" s="108">
        <v>0.21000000000000002</v>
      </c>
      <c r="O12" s="108">
        <v>0.23</v>
      </c>
      <c r="P12" s="108">
        <v>0.24000000000000002</v>
      </c>
      <c r="Q12" s="108">
        <v>0.25</v>
      </c>
      <c r="R12" s="108">
        <v>0.27</v>
      </c>
      <c r="S12" s="108">
        <v>0.28000000000000003</v>
      </c>
      <c r="T12" s="108">
        <v>0.29000000000000004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0.01</v>
      </c>
      <c r="I13" s="108">
        <v>0.21000000000000002</v>
      </c>
      <c r="J13" s="108">
        <v>0.24000000000000002</v>
      </c>
      <c r="K13" s="108">
        <v>0.26</v>
      </c>
      <c r="L13" s="108">
        <v>0.29000000000000004</v>
      </c>
      <c r="M13" s="108">
        <v>0.31</v>
      </c>
      <c r="N13" s="108">
        <v>0.34</v>
      </c>
      <c r="O13" s="108">
        <v>0.36</v>
      </c>
      <c r="P13" s="108">
        <v>0.39</v>
      </c>
      <c r="Q13" s="108">
        <v>0.42</v>
      </c>
      <c r="R13" s="108">
        <v>0.44</v>
      </c>
      <c r="S13" s="108">
        <v>0.47000000000000003</v>
      </c>
      <c r="T13" s="108">
        <v>0.5</v>
      </c>
      <c r="U13" s="108">
        <v>0.34</v>
      </c>
      <c r="V13" s="108">
        <v>0.34</v>
      </c>
      <c r="W13" s="108">
        <v>0.34</v>
      </c>
      <c r="X13" s="108">
        <v>0.34</v>
      </c>
      <c r="Y13" s="108">
        <v>0.34</v>
      </c>
      <c r="Z13" s="108">
        <v>0.34</v>
      </c>
      <c r="AA13" s="108">
        <v>0.34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0.01</v>
      </c>
      <c r="I14" s="108">
        <v>0.12</v>
      </c>
      <c r="J14" s="108">
        <v>0.13</v>
      </c>
      <c r="K14" s="108">
        <v>0.15000000000000002</v>
      </c>
      <c r="L14" s="108">
        <v>0.17</v>
      </c>
      <c r="M14" s="108">
        <v>0.19</v>
      </c>
      <c r="N14" s="108">
        <v>0.21000000000000002</v>
      </c>
      <c r="O14" s="108">
        <v>0.22</v>
      </c>
      <c r="P14" s="108">
        <v>0.24000000000000002</v>
      </c>
      <c r="Q14" s="108">
        <v>0.26</v>
      </c>
      <c r="R14" s="108">
        <v>0.27</v>
      </c>
      <c r="S14" s="108">
        <v>0.29000000000000004</v>
      </c>
      <c r="T14" s="108">
        <v>0.31</v>
      </c>
      <c r="U14" s="108">
        <v>0.24000000000000002</v>
      </c>
      <c r="V14" s="108">
        <v>0.24000000000000002</v>
      </c>
      <c r="W14" s="108">
        <v>0.24000000000000002</v>
      </c>
      <c r="X14" s="108">
        <v>0.24000000000000002</v>
      </c>
      <c r="Y14" s="108">
        <v>0.24000000000000002</v>
      </c>
      <c r="Z14" s="108">
        <v>0.24000000000000002</v>
      </c>
      <c r="AA14" s="108">
        <v>0.24000000000000002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0.01</v>
      </c>
      <c r="I15" s="108">
        <v>0.02</v>
      </c>
      <c r="J15" s="108">
        <v>0.02</v>
      </c>
      <c r="K15" s="108">
        <v>0.03</v>
      </c>
      <c r="L15" s="108">
        <v>0.04</v>
      </c>
      <c r="M15" s="108">
        <v>0.04</v>
      </c>
      <c r="N15" s="108">
        <v>0.05</v>
      </c>
      <c r="O15" s="108">
        <v>6.0000000000000005E-2</v>
      </c>
      <c r="P15" s="108">
        <v>0.06</v>
      </c>
      <c r="Q15" s="108">
        <v>6.9999999999999993E-2</v>
      </c>
      <c r="R15" s="108">
        <v>0.08</v>
      </c>
      <c r="S15" s="108">
        <v>0.08</v>
      </c>
      <c r="T15" s="108">
        <v>0.09</v>
      </c>
      <c r="U15" s="108">
        <v>9.9999999999999992E-2</v>
      </c>
      <c r="V15" s="108">
        <v>9.9999999999999992E-2</v>
      </c>
      <c r="W15" s="108">
        <v>9.9999999999999992E-2</v>
      </c>
      <c r="X15" s="108">
        <v>9.9999999999999992E-2</v>
      </c>
      <c r="Y15" s="108">
        <v>9.9999999999999992E-2</v>
      </c>
      <c r="Z15" s="108">
        <v>9.9999999999999992E-2</v>
      </c>
      <c r="AA15" s="108">
        <v>9.9999999999999992E-2</v>
      </c>
      <c r="AB15" s="108">
        <v>9.9999999999999992E-2</v>
      </c>
      <c r="AC15" s="108">
        <v>9.9999999999999992E-2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0.01</v>
      </c>
      <c r="I16" s="108">
        <v>0.02</v>
      </c>
      <c r="J16" s="108">
        <v>0.02</v>
      </c>
      <c r="K16" s="108">
        <v>0.03</v>
      </c>
      <c r="L16" s="108">
        <v>0.04</v>
      </c>
      <c r="M16" s="108">
        <v>0.04</v>
      </c>
      <c r="N16" s="108">
        <v>0.05</v>
      </c>
      <c r="O16" s="108">
        <v>6.0000000000000005E-2</v>
      </c>
      <c r="P16" s="108">
        <v>0.06</v>
      </c>
      <c r="Q16" s="108">
        <v>6.9999999999999993E-2</v>
      </c>
      <c r="R16" s="108">
        <v>0.08</v>
      </c>
      <c r="S16" s="108">
        <v>0.08</v>
      </c>
      <c r="T16" s="108">
        <v>0.09</v>
      </c>
      <c r="U16" s="108">
        <v>9.9999999999999992E-2</v>
      </c>
      <c r="V16" s="108">
        <v>9.9999999999999992E-2</v>
      </c>
      <c r="W16" s="108">
        <v>9.9999999999999992E-2</v>
      </c>
      <c r="X16" s="108">
        <v>9.9999999999999992E-2</v>
      </c>
      <c r="Y16" s="108">
        <v>9.9999999999999992E-2</v>
      </c>
      <c r="Z16" s="108">
        <v>9.9999999999999992E-2</v>
      </c>
      <c r="AA16" s="108">
        <v>9.9999999999999992E-2</v>
      </c>
      <c r="AB16" s="108">
        <v>9.9999999999999992E-2</v>
      </c>
      <c r="AC16" s="108">
        <v>9.9999999999999992E-2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1</v>
      </c>
      <c r="I21" s="120">
        <v>2</v>
      </c>
      <c r="J21" s="120">
        <v>3</v>
      </c>
      <c r="K21" s="120">
        <v>3</v>
      </c>
      <c r="L21" s="120">
        <v>4</v>
      </c>
      <c r="M21" s="120">
        <v>5</v>
      </c>
      <c r="N21" s="120">
        <v>6</v>
      </c>
      <c r="O21" s="120">
        <v>7</v>
      </c>
      <c r="P21" s="120">
        <v>8</v>
      </c>
      <c r="Q21" s="120">
        <v>9</v>
      </c>
      <c r="R21" s="120">
        <v>9</v>
      </c>
      <c r="S21" s="120">
        <v>10</v>
      </c>
      <c r="T21" s="120">
        <v>12</v>
      </c>
      <c r="U21" s="120">
        <v>13</v>
      </c>
      <c r="V21" s="120">
        <v>13</v>
      </c>
      <c r="W21" s="120">
        <v>13</v>
      </c>
      <c r="X21" s="120">
        <v>13</v>
      </c>
      <c r="Y21" s="120">
        <v>13</v>
      </c>
      <c r="Z21" s="120">
        <v>13</v>
      </c>
      <c r="AA21" s="120">
        <v>13</v>
      </c>
      <c r="AB21" s="120">
        <v>13</v>
      </c>
      <c r="AC21" s="120">
        <v>13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174.57588495575226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169.49115044247782</v>
      </c>
      <c r="I22" s="78">
        <v>169.49115044247787</v>
      </c>
      <c r="J22" s="78">
        <v>169.49115044247787</v>
      </c>
      <c r="K22" s="78">
        <v>169.49115044247787</v>
      </c>
      <c r="L22" s="78">
        <v>169.49115044247782</v>
      </c>
      <c r="M22" s="78">
        <v>169.49115044247787</v>
      </c>
      <c r="N22" s="78">
        <v>169.49115044247787</v>
      </c>
      <c r="O22" s="78">
        <v>169.4911504424779</v>
      </c>
      <c r="P22" s="78">
        <v>169.49115044247787</v>
      </c>
      <c r="Q22" s="78">
        <v>174.57588495575226</v>
      </c>
      <c r="R22" s="78">
        <v>174.57588495575223</v>
      </c>
      <c r="S22" s="78">
        <v>174.57588495575223</v>
      </c>
      <c r="T22" s="78">
        <v>174.5758849557522</v>
      </c>
      <c r="U22" s="78">
        <v>174.57588495575223</v>
      </c>
      <c r="V22" s="78">
        <v>174.57588495575223</v>
      </c>
      <c r="W22" s="78">
        <v>174.57588495575223</v>
      </c>
      <c r="X22" s="78">
        <v>174.57588495575223</v>
      </c>
      <c r="Y22" s="78">
        <v>174.57588495575223</v>
      </c>
      <c r="Z22" s="78">
        <v>174.57588495575223</v>
      </c>
      <c r="AA22" s="78">
        <v>174.57588495575223</v>
      </c>
      <c r="AB22" s="78">
        <v>174.57588495575223</v>
      </c>
      <c r="AC22" s="78">
        <v>174.57588495575223</v>
      </c>
      <c r="AD22" s="78">
        <v>174.57588495575223</v>
      </c>
      <c r="AE22" s="78">
        <v>174.57588495575223</v>
      </c>
      <c r="AF22" s="78">
        <v>174.57588495575223</v>
      </c>
      <c r="AG22" s="78">
        <v>174.57588495575223</v>
      </c>
      <c r="AH22" s="78">
        <v>174.57588495575223</v>
      </c>
      <c r="AI22" s="78">
        <v>174.57588495575223</v>
      </c>
      <c r="AJ22" s="78">
        <v>174.57588495575223</v>
      </c>
      <c r="AK22" s="78">
        <v>174.57588495575223</v>
      </c>
      <c r="AL22" s="78">
        <v>174.57588495575223</v>
      </c>
      <c r="AM22" s="78">
        <v>174.57588495575223</v>
      </c>
      <c r="AN22" s="78">
        <v>174.57588495575223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49.72</v>
      </c>
      <c r="I23" s="52">
        <v>149.16</v>
      </c>
      <c r="J23" s="52">
        <v>248.59999999999997</v>
      </c>
      <c r="K23" s="52">
        <v>298.32</v>
      </c>
      <c r="L23" s="52">
        <v>397.76</v>
      </c>
      <c r="M23" s="52">
        <v>497.19999999999993</v>
      </c>
      <c r="N23" s="52">
        <v>596.64</v>
      </c>
      <c r="O23" s="52">
        <v>646.3599999999999</v>
      </c>
      <c r="P23" s="52">
        <v>745.8</v>
      </c>
      <c r="Q23" s="52">
        <v>845.2399999999999</v>
      </c>
      <c r="R23" s="52">
        <v>894.95999999999992</v>
      </c>
      <c r="S23" s="52">
        <v>994.39999999999986</v>
      </c>
      <c r="T23" s="52">
        <v>1093.8399999999999</v>
      </c>
      <c r="U23" s="52">
        <v>1193.28</v>
      </c>
      <c r="V23" s="52">
        <v>1193.28</v>
      </c>
      <c r="W23" s="52">
        <v>1193.28</v>
      </c>
      <c r="X23" s="52">
        <v>1193.28</v>
      </c>
      <c r="Y23" s="52">
        <v>1193.28</v>
      </c>
      <c r="Z23" s="52">
        <v>1193.28</v>
      </c>
      <c r="AA23" s="52">
        <v>1193.28</v>
      </c>
      <c r="AB23" s="52">
        <v>1193.28</v>
      </c>
      <c r="AC23" s="52">
        <v>1193.28</v>
      </c>
      <c r="AD23" s="52">
        <v>1193.28</v>
      </c>
      <c r="AE23" s="52">
        <v>1193.28</v>
      </c>
      <c r="AF23" s="52">
        <v>1193.28</v>
      </c>
      <c r="AG23" s="52">
        <v>1193.28</v>
      </c>
      <c r="AH23" s="52">
        <v>1193.28</v>
      </c>
      <c r="AI23" s="52">
        <v>1193.28</v>
      </c>
      <c r="AJ23" s="52">
        <v>1193.28</v>
      </c>
      <c r="AK23" s="52">
        <v>1193.28</v>
      </c>
      <c r="AL23" s="52">
        <v>1193.28</v>
      </c>
      <c r="AM23" s="52">
        <v>1193.28</v>
      </c>
      <c r="AN23" s="52">
        <v>1193.28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7572.326666666665</v>
      </c>
      <c r="I26" s="12">
        <v>22716.98</v>
      </c>
      <c r="J26" s="12">
        <v>37861.633333333324</v>
      </c>
      <c r="K26" s="12">
        <v>45433.96</v>
      </c>
      <c r="L26" s="12">
        <v>60578.61333333332</v>
      </c>
      <c r="M26" s="12">
        <v>75723.266666666648</v>
      </c>
      <c r="N26" s="12">
        <v>90867.92</v>
      </c>
      <c r="O26" s="12">
        <v>98440.246666666659</v>
      </c>
      <c r="P26" s="12">
        <v>113584.89999999998</v>
      </c>
      <c r="Q26" s="12">
        <v>132591.43993333331</v>
      </c>
      <c r="R26" s="12">
        <v>140390.93640000001</v>
      </c>
      <c r="S26" s="12">
        <v>155989.92933333333</v>
      </c>
      <c r="T26" s="12">
        <v>171588.92226666666</v>
      </c>
      <c r="U26" s="12">
        <v>187187.91520000002</v>
      </c>
      <c r="V26" s="12">
        <v>187187.91520000002</v>
      </c>
      <c r="W26" s="12">
        <v>187187.91520000002</v>
      </c>
      <c r="X26" s="12">
        <v>187187.91520000002</v>
      </c>
      <c r="Y26" s="12">
        <v>187187.91520000002</v>
      </c>
      <c r="Z26" s="12">
        <v>187187.91520000002</v>
      </c>
      <c r="AA26" s="12">
        <v>187187.91520000002</v>
      </c>
      <c r="AB26" s="12">
        <v>187187.91520000002</v>
      </c>
      <c r="AC26" s="12">
        <v>187187.91520000002</v>
      </c>
      <c r="AD26" s="12">
        <v>187187.91520000002</v>
      </c>
      <c r="AE26" s="12">
        <v>187187.91520000002</v>
      </c>
      <c r="AF26" s="12">
        <v>187187.91520000002</v>
      </c>
      <c r="AG26" s="12">
        <v>187187.91520000002</v>
      </c>
      <c r="AH26" s="12">
        <v>187187.91520000002</v>
      </c>
      <c r="AI26" s="12">
        <v>187187.91520000002</v>
      </c>
      <c r="AJ26" s="12">
        <v>187187.91520000002</v>
      </c>
      <c r="AK26" s="12">
        <v>187187.91520000002</v>
      </c>
      <c r="AL26" s="12">
        <v>187187.91520000002</v>
      </c>
      <c r="AM26" s="12">
        <v>187187.91520000002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1055.1969999999997</v>
      </c>
      <c r="I28" s="12">
        <v>3165.590999999999</v>
      </c>
      <c r="J28" s="12">
        <v>5275.9849999999979</v>
      </c>
      <c r="K28" s="12">
        <v>6331.181999999998</v>
      </c>
      <c r="L28" s="12">
        <v>8441.5759999999973</v>
      </c>
      <c r="M28" s="12">
        <v>10551.969999999996</v>
      </c>
      <c r="N28" s="12">
        <v>12662.363999999996</v>
      </c>
      <c r="O28" s="12">
        <v>13717.560999999996</v>
      </c>
      <c r="P28" s="12">
        <v>15827.954999999994</v>
      </c>
      <c r="Q28" s="12">
        <v>18476.499469999999</v>
      </c>
      <c r="R28" s="12">
        <v>19563.352379999993</v>
      </c>
      <c r="S28" s="12">
        <v>21737.058199999992</v>
      </c>
      <c r="T28" s="12">
        <v>23910.764019999991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162.33799999999999</v>
      </c>
      <c r="I29" s="12">
        <v>487.01399999999995</v>
      </c>
      <c r="J29" s="12">
        <v>811.68999999999994</v>
      </c>
      <c r="K29" s="12">
        <v>974.02799999999991</v>
      </c>
      <c r="L29" s="12">
        <v>1298.704</v>
      </c>
      <c r="M29" s="12">
        <v>1623.3799999999999</v>
      </c>
      <c r="N29" s="12">
        <v>1948.0559999999998</v>
      </c>
      <c r="O29" s="12">
        <v>2110.3939999999998</v>
      </c>
      <c r="P29" s="12">
        <v>2435.0699999999997</v>
      </c>
      <c r="Q29" s="12">
        <v>2842.5383799999995</v>
      </c>
      <c r="R29" s="12">
        <v>3009.7465200000001</v>
      </c>
      <c r="S29" s="12">
        <v>3344.1628000000001</v>
      </c>
      <c r="T29" s="12">
        <v>3678.5790799999995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211.8133333333333</v>
      </c>
      <c r="I30" s="12">
        <v>635.43999999999994</v>
      </c>
      <c r="J30" s="12">
        <v>1059.0666666666666</v>
      </c>
      <c r="K30" s="12">
        <v>1270.8799999999999</v>
      </c>
      <c r="L30" s="12">
        <v>1694.5066666666664</v>
      </c>
      <c r="M30" s="12">
        <v>2118.1333333333332</v>
      </c>
      <c r="N30" s="12">
        <v>2541.7599999999998</v>
      </c>
      <c r="O30" s="12">
        <v>2753.5733333333328</v>
      </c>
      <c r="P30" s="12">
        <v>3177.1999999999994</v>
      </c>
      <c r="Q30" s="12">
        <v>3708.8514666666661</v>
      </c>
      <c r="R30" s="12">
        <v>3927.0191999999997</v>
      </c>
      <c r="S30" s="12">
        <v>4363.3546666666662</v>
      </c>
      <c r="T30" s="12">
        <v>4799.6901333333326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-1080.2009999999996</v>
      </c>
      <c r="I35" s="12">
        <v>-3240.6029999999996</v>
      </c>
      <c r="J35" s="12">
        <v>-5401.0049999999992</v>
      </c>
      <c r="K35" s="12">
        <v>-6481.2059999999992</v>
      </c>
      <c r="L35" s="12">
        <v>-8641.6079999999965</v>
      </c>
      <c r="M35" s="12">
        <v>-10802.009999999998</v>
      </c>
      <c r="N35" s="12">
        <v>-12962.411999999998</v>
      </c>
      <c r="O35" s="12">
        <v>-14042.612999999999</v>
      </c>
      <c r="P35" s="12">
        <v>-16203.014999999999</v>
      </c>
      <c r="Q35" s="12">
        <v>-18914.319510000001</v>
      </c>
      <c r="R35" s="12">
        <v>-20026.92654</v>
      </c>
      <c r="S35" s="12">
        <v>-22252.140599999999</v>
      </c>
      <c r="T35" s="12">
        <v>-24477.354659999997</v>
      </c>
      <c r="U35" s="12">
        <v>-26702.568719999999</v>
      </c>
      <c r="V35" s="12">
        <v>-26702.568719999999</v>
      </c>
      <c r="W35" s="12">
        <v>-26702.568719999999</v>
      </c>
      <c r="X35" s="12">
        <v>-26702.568719999999</v>
      </c>
      <c r="Y35" s="12">
        <v>-26702.568719999999</v>
      </c>
      <c r="Z35" s="12">
        <v>-26702.568719999999</v>
      </c>
      <c r="AA35" s="12">
        <v>-26702.568719999999</v>
      </c>
      <c r="AB35" s="12">
        <v>-26702.568719999999</v>
      </c>
      <c r="AC35" s="12">
        <v>-26702.568719999999</v>
      </c>
      <c r="AD35" s="12">
        <v>-26702.568719999999</v>
      </c>
      <c r="AE35" s="12">
        <v>-26702.568719999999</v>
      </c>
      <c r="AF35" s="12">
        <v>-26702.568719999999</v>
      </c>
      <c r="AG35" s="12">
        <v>-26702.568719999999</v>
      </c>
      <c r="AH35" s="12">
        <v>-26702.568719999999</v>
      </c>
      <c r="AI35" s="12">
        <v>-26702.568719999999</v>
      </c>
      <c r="AJ35" s="12">
        <v>-26702.568719999999</v>
      </c>
      <c r="AK35" s="12">
        <v>-26702.568719999999</v>
      </c>
      <c r="AL35" s="12">
        <v>-26702.568719999999</v>
      </c>
      <c r="AM35" s="12">
        <v>-26702.568719999999</v>
      </c>
      <c r="AN35" s="12">
        <v>-26702.568719999999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7921.4739999999983</v>
      </c>
      <c r="I37" s="13">
        <v>23764.421999999999</v>
      </c>
      <c r="J37" s="13">
        <v>39607.369999999995</v>
      </c>
      <c r="K37" s="13">
        <v>47528.843999999997</v>
      </c>
      <c r="L37" s="13">
        <v>63371.791999999987</v>
      </c>
      <c r="M37" s="13">
        <v>79214.739999999991</v>
      </c>
      <c r="N37" s="13">
        <v>95057.687999999995</v>
      </c>
      <c r="O37" s="13">
        <v>102979.162</v>
      </c>
      <c r="P37" s="13">
        <v>118822.11</v>
      </c>
      <c r="Q37" s="13">
        <v>138705.00974000001</v>
      </c>
      <c r="R37" s="13">
        <v>146864.12796000001</v>
      </c>
      <c r="S37" s="13">
        <v>163182.36440000002</v>
      </c>
      <c r="T37" s="13">
        <v>179500.60083999997</v>
      </c>
      <c r="U37" s="13">
        <v>195818.83728000001</v>
      </c>
      <c r="V37" s="13">
        <v>195818.83728000001</v>
      </c>
      <c r="W37" s="13">
        <v>195818.83728000001</v>
      </c>
      <c r="X37" s="13">
        <v>195818.83728000001</v>
      </c>
      <c r="Y37" s="13">
        <v>195818.83728000001</v>
      </c>
      <c r="Z37" s="13">
        <v>195818.83728000001</v>
      </c>
      <c r="AA37" s="13">
        <v>195818.83728000001</v>
      </c>
      <c r="AB37" s="13">
        <v>195818.83728000001</v>
      </c>
      <c r="AC37" s="13">
        <v>195818.83728000001</v>
      </c>
      <c r="AD37" s="13">
        <v>195818.83728000001</v>
      </c>
      <c r="AE37" s="13">
        <v>195818.83728000001</v>
      </c>
      <c r="AF37" s="13">
        <v>195818.83728000001</v>
      </c>
      <c r="AG37" s="13">
        <v>195818.83728000001</v>
      </c>
      <c r="AH37" s="13">
        <v>195818.83728000001</v>
      </c>
      <c r="AI37" s="13">
        <v>195818.83728000001</v>
      </c>
      <c r="AJ37" s="13">
        <v>195818.83728000001</v>
      </c>
      <c r="AK37" s="13">
        <v>195818.83728000001</v>
      </c>
      <c r="AL37" s="13">
        <v>195818.83728000001</v>
      </c>
      <c r="AM37" s="13">
        <v>195818.83728000001</v>
      </c>
      <c r="AN37" s="13">
        <v>195818.83728000001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11921.724471067168</v>
      </c>
      <c r="I40" s="12">
        <v>25397.813257645947</v>
      </c>
      <c r="J40" s="12">
        <v>29360.935377558049</v>
      </c>
      <c r="K40" s="12">
        <v>31816.646437514104</v>
      </c>
      <c r="L40" s="12">
        <v>36068.731968537322</v>
      </c>
      <c r="M40" s="12">
        <v>40034.75408844943</v>
      </c>
      <c r="N40" s="12">
        <v>44359.892875028221</v>
      </c>
      <c r="O40" s="12">
        <v>46751.803934984266</v>
      </c>
      <c r="P40" s="12">
        <v>50800.88946600748</v>
      </c>
      <c r="Q40" s="12">
        <v>60533.892744511555</v>
      </c>
      <c r="R40" s="12">
        <v>63164.994910463211</v>
      </c>
      <c r="S40" s="12">
        <v>67594.60924236654</v>
      </c>
      <c r="T40" s="12">
        <v>72271.903326492073</v>
      </c>
      <c r="U40" s="12">
        <v>73636.459325062082</v>
      </c>
      <c r="V40" s="12">
        <v>73636.459325062082</v>
      </c>
      <c r="W40" s="12">
        <v>73636.459325062082</v>
      </c>
      <c r="X40" s="12">
        <v>73636.459325062082</v>
      </c>
      <c r="Y40" s="12">
        <v>73636.459325062082</v>
      </c>
      <c r="Z40" s="12">
        <v>73636.459325062082</v>
      </c>
      <c r="AA40" s="12">
        <v>73636.459325062082</v>
      </c>
      <c r="AB40" s="12">
        <v>73636.459325062082</v>
      </c>
      <c r="AC40" s="12">
        <v>81000.105257568284</v>
      </c>
      <c r="AD40" s="12">
        <v>81000.105257568284</v>
      </c>
      <c r="AE40" s="12">
        <v>81000.105257568284</v>
      </c>
      <c r="AF40" s="12">
        <v>81000.105257568284</v>
      </c>
      <c r="AG40" s="12">
        <v>81000.105257568284</v>
      </c>
      <c r="AH40" s="12">
        <v>81000.105257568284</v>
      </c>
      <c r="AI40" s="12">
        <v>81000.105257568284</v>
      </c>
      <c r="AJ40" s="12">
        <v>81000.105257568284</v>
      </c>
      <c r="AK40" s="12">
        <v>81000.105257568284</v>
      </c>
      <c r="AL40" s="12">
        <v>81000.105257568284</v>
      </c>
      <c r="AM40" s="12">
        <v>81000.105257568284</v>
      </c>
      <c r="AN40" s="12">
        <v>81000.105257568284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350.41759999999999</v>
      </c>
      <c r="I44" s="12">
        <v>849.08879999999999</v>
      </c>
      <c r="J44" s="12">
        <v>865.93580000000009</v>
      </c>
      <c r="K44" s="12">
        <v>892.89099999999996</v>
      </c>
      <c r="L44" s="12">
        <v>919.84619999999995</v>
      </c>
      <c r="M44" s="12">
        <v>936.69320000000005</v>
      </c>
      <c r="N44" s="12">
        <v>963.64839999999981</v>
      </c>
      <c r="O44" s="12">
        <v>987.2342000000001</v>
      </c>
      <c r="P44" s="12">
        <v>1007.4506000000002</v>
      </c>
      <c r="Q44" s="12">
        <v>1075.7820319999998</v>
      </c>
      <c r="R44" s="12">
        <v>1100.3112639999999</v>
      </c>
      <c r="S44" s="12">
        <v>1121.3363200000001</v>
      </c>
      <c r="T44" s="12">
        <v>1149.3697279999999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2150</v>
      </c>
      <c r="I46" s="12">
        <v>3409.9999999999995</v>
      </c>
      <c r="J46" s="12">
        <v>3954.9999999999991</v>
      </c>
      <c r="K46" s="12">
        <v>4255</v>
      </c>
      <c r="L46" s="12">
        <v>4820</v>
      </c>
      <c r="M46" s="12">
        <v>5365</v>
      </c>
      <c r="N46" s="12">
        <v>5930.0000000000009</v>
      </c>
      <c r="O46" s="12">
        <v>6225</v>
      </c>
      <c r="P46" s="12">
        <v>6780.0000000000009</v>
      </c>
      <c r="Q46" s="12">
        <v>7486.8</v>
      </c>
      <c r="R46" s="12">
        <v>7787.6999999999989</v>
      </c>
      <c r="S46" s="12">
        <v>8348.6999999999989</v>
      </c>
      <c r="T46" s="12">
        <v>8925</v>
      </c>
      <c r="U46" s="12">
        <v>9287.1</v>
      </c>
      <c r="V46" s="12">
        <v>9287.1</v>
      </c>
      <c r="W46" s="12">
        <v>9287.1</v>
      </c>
      <c r="X46" s="12">
        <v>9287.1</v>
      </c>
      <c r="Y46" s="12">
        <v>9287.1</v>
      </c>
      <c r="Z46" s="12">
        <v>9287.1</v>
      </c>
      <c r="AA46" s="12">
        <v>9287.1</v>
      </c>
      <c r="AB46" s="12">
        <v>9287.1</v>
      </c>
      <c r="AC46" s="12">
        <v>9472.8420000000006</v>
      </c>
      <c r="AD46" s="12">
        <v>9472.8420000000006</v>
      </c>
      <c r="AE46" s="12">
        <v>9472.8420000000006</v>
      </c>
      <c r="AF46" s="12">
        <v>9472.8420000000006</v>
      </c>
      <c r="AG46" s="12">
        <v>9472.8420000000006</v>
      </c>
      <c r="AH46" s="12">
        <v>9472.8420000000006</v>
      </c>
      <c r="AI46" s="12">
        <v>9472.8420000000006</v>
      </c>
      <c r="AJ46" s="12">
        <v>9472.8420000000006</v>
      </c>
      <c r="AK46" s="12">
        <v>9472.8420000000006</v>
      </c>
      <c r="AL46" s="12">
        <v>9472.8420000000006</v>
      </c>
      <c r="AM46" s="12">
        <v>9472.8420000000006</v>
      </c>
      <c r="AN46" s="12">
        <v>9472.8420000000006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1443.5720080666035</v>
      </c>
      <c r="I49" s="12">
        <f>'Corp.'!I$50*(I$37-(I31-I32-I34)*$C$35)/(SUM('MDA1:NCA9'!I$37)-SUM('MDA1:NCA9'!I$31)-SUM('MDA1:NCA9'!I$32)-SUM('MDA1:NCA9'!I$34))</f>
        <v>4082.0781432849494</v>
      </c>
      <c r="J49" s="12">
        <f>'Corp.'!J$50*(J$37-(J31-J32-J34)*$C$35)/(SUM('MDA1:NCA9'!J$37)-SUM('MDA1:NCA9'!J$31)-SUM('MDA1:NCA9'!J$32)-SUM('MDA1:NCA9'!J$34))</f>
        <v>6371.9953662107528</v>
      </c>
      <c r="K49" s="12">
        <f>'Corp.'!K$50*(K$37-(K31-K32-K34)*$C$35)/(SUM('MDA1:NCA9'!K$37)-SUM('MDA1:NCA9'!K$31)-SUM('MDA1:NCA9'!K$32)-SUM('MDA1:NCA9'!K$34))</f>
        <v>7041.2381599555911</v>
      </c>
      <c r="L49" s="12">
        <f>'Corp.'!L$50*(L$37-(L31-L32-L34)*$C$35)/(SUM('MDA1:NCA9'!L$37)-SUM('MDA1:NCA9'!L$31)-SUM('MDA1:NCA9'!L$32)-SUM('MDA1:NCA9'!L$34))</f>
        <v>8886.5631012868362</v>
      </c>
      <c r="M49" s="12">
        <f>'Corp.'!M$50*(M$37-(M31-M32-M34)*$C$35)/(SUM('MDA1:NCA9'!M$37)-SUM('MDA1:NCA9'!M$31)-SUM('MDA1:NCA9'!M$32)-SUM('MDA1:NCA9'!M$34))</f>
        <v>10433.420049866507</v>
      </c>
      <c r="N49" s="12">
        <f>'Corp.'!N$50*(N$37-(N31-N32-N34)*$C$35)/(SUM('MDA1:NCA9'!N$37)-SUM('MDA1:NCA9'!N$31)-SUM('MDA1:NCA9'!N$32)-SUM('MDA1:NCA9'!N$34))</f>
        <v>11825.181775276385</v>
      </c>
      <c r="O49" s="12">
        <f>'Corp.'!O$50*(O$37-(O31-O32-O34)*$C$35)/(SUM('MDA1:NCA9'!O$37)-SUM('MDA1:NCA9'!O$31)-SUM('MDA1:NCA9'!O$32)-SUM('MDA1:NCA9'!O$34))</f>
        <v>12020.792137208555</v>
      </c>
      <c r="P49" s="12">
        <f>'Corp.'!P$50*(P$37-(P31-P32-P34)*$C$35)/(SUM('MDA1:NCA9'!P$37)-SUM('MDA1:NCA9'!P$31)-SUM('MDA1:NCA9'!P$32)-SUM('MDA1:NCA9'!P$34))</f>
        <v>13123.615309561779</v>
      </c>
      <c r="Q49" s="12">
        <f>'Corp.'!Q$50*(Q$37-(Q31-Q32-Q34)*$C$35)/(SUM('MDA1:NCA9'!Q$37)-SUM('MDA1:NCA9'!Q$31)-SUM('MDA1:NCA9'!Q$32)-SUM('MDA1:NCA9'!Q$34))</f>
        <v>15546.629722088926</v>
      </c>
      <c r="R49" s="12">
        <f>'Corp.'!R$50*(R$37-(R31-R32-R34)*$C$35)/(SUM('MDA1:NCA9'!R$37)-SUM('MDA1:NCA9'!R$31)-SUM('MDA1:NCA9'!R$32)-SUM('MDA1:NCA9'!R$34))</f>
        <v>15869.133603228453</v>
      </c>
      <c r="S49" s="12">
        <f>'Corp.'!S$50*(S$37-(S31-S32-S34)*$C$35)/(SUM('MDA1:NCA9'!S$37)-SUM('MDA1:NCA9'!S$31)-SUM('MDA1:NCA9'!S$32)-SUM('MDA1:NCA9'!S$34))</f>
        <v>16904.229407466031</v>
      </c>
      <c r="T49" s="12">
        <f>'Corp.'!T$50*(T$37-(T31-T32-T34)*$C$35)/(SUM('MDA1:NCA9'!T$37)-SUM('MDA1:NCA9'!T$31)-SUM('MDA1:NCA9'!T$32)-SUM('MDA1:NCA9'!T$34))</f>
        <v>17919.277182114412</v>
      </c>
      <c r="U49" s="12">
        <f>'Corp.'!U$50*(U$37-(U31-U32-U34)*$C$35)/(SUM('MDA1:NCA9'!U$37)-SUM('MDA1:NCA9'!U$31)-SUM('MDA1:NCA9'!U$32)-SUM('MDA1:NCA9'!U$34))</f>
        <v>19045.545393743505</v>
      </c>
      <c r="V49" s="12">
        <f>'Corp.'!V$50*(V$37-(V31-V32-V34)*$C$35)/(SUM('MDA1:NCA9'!V$37)-SUM('MDA1:NCA9'!V$31)-SUM('MDA1:NCA9'!V$32)-SUM('MDA1:NCA9'!V$34))</f>
        <v>18637.542654975612</v>
      </c>
      <c r="W49" s="12">
        <f>'Corp.'!W$50*(W$37-(W31-W32-W34)*$C$35)/(SUM('MDA1:NCA9'!W$37)-SUM('MDA1:NCA9'!W$31)-SUM('MDA1:NCA9'!W$32)-SUM('MDA1:NCA9'!W$34))</f>
        <v>18101.122990695032</v>
      </c>
      <c r="X49" s="12">
        <f>'Corp.'!X$50*(X$37-(X31-X32-X34)*$C$35)/(SUM('MDA1:NCA9'!X$37)-SUM('MDA1:NCA9'!X$31)-SUM('MDA1:NCA9'!X$32)-SUM('MDA1:NCA9'!X$34))</f>
        <v>17563.134870318372</v>
      </c>
      <c r="Y49" s="12">
        <f>'Corp.'!Y$50*(Y$37-(Y31-Y32-Y34)*$C$35)/(SUM('MDA1:NCA9'!Y$37)-SUM('MDA1:NCA9'!Y$31)-SUM('MDA1:NCA9'!Y$32)-SUM('MDA1:NCA9'!Y$34))</f>
        <v>17214.551442430809</v>
      </c>
      <c r="Z49" s="12">
        <f>'Corp.'!Z$50*(Z$37-(Z31-Z32-Z34)*$C$35)/(SUM('MDA1:NCA9'!Z$37)-SUM('MDA1:NCA9'!Z$31)-SUM('MDA1:NCA9'!Z$32)-SUM('MDA1:NCA9'!Z$34))</f>
        <v>16865.775053555932</v>
      </c>
      <c r="AA49" s="12">
        <f>'Corp.'!AA$50*(AA$37-(AA31-AA32-AA34)*$C$35)/(SUM('MDA1:NCA9'!AA$37)-SUM('MDA1:NCA9'!AA$31)-SUM('MDA1:NCA9'!AA$32)-SUM('MDA1:NCA9'!AA$34))</f>
        <v>16504.050290283136</v>
      </c>
      <c r="AB49" s="12">
        <f>'Corp.'!AB$50*(AB$37-(AB31-AB32-AB34)*$C$35)/(SUM('MDA1:NCA9'!AB$37)-SUM('MDA1:NCA9'!AB$31)-SUM('MDA1:NCA9'!AB$32)-SUM('MDA1:NCA9'!AB$34))</f>
        <v>16150.484842237398</v>
      </c>
      <c r="AC49" s="12">
        <f>'Corp.'!AC$50*(AC$37-(AC31-AC32-AC34)*$C$35)/(SUM('MDA1:NCA9'!AC$37)-SUM('MDA1:NCA9'!AC$31)-SUM('MDA1:NCA9'!AC$32)-SUM('MDA1:NCA9'!AC$34))</f>
        <v>17477.050705591893</v>
      </c>
      <c r="AD49" s="12">
        <f>'Corp.'!AD$50*(AD$37-(AD31-AD32-AD34)*$C$35)/(SUM('MDA1:NCA9'!AD$37)-SUM('MDA1:NCA9'!AD$31)-SUM('MDA1:NCA9'!AD$32)-SUM('MDA1:NCA9'!AD$34))</f>
        <v>17208.706600611109</v>
      </c>
      <c r="AE49" s="12">
        <f>'Corp.'!AE$50*(AE$37-(AE31-AE32-AE34)*$C$35)/(SUM('MDA1:NCA9'!AE$37)-SUM('MDA1:NCA9'!AE$31)-SUM('MDA1:NCA9'!AE$32)-SUM('MDA1:NCA9'!AE$34))</f>
        <v>16954.661514030122</v>
      </c>
      <c r="AF49" s="12">
        <f>'Corp.'!AF$50*(AF$37-(AF31-AF32-AF34)*$C$35)/(SUM('MDA1:NCA9'!AF$37)-SUM('MDA1:NCA9'!AF$31)-SUM('MDA1:NCA9'!AF$32)-SUM('MDA1:NCA9'!AF$34))</f>
        <v>16715.767707298677</v>
      </c>
      <c r="AG49" s="12">
        <f>'Corp.'!AG$50*(AG$37-(AG31-AG32-AG34)*$C$35)/(SUM('MDA1:NCA9'!AG$37)-SUM('MDA1:NCA9'!AG$31)-SUM('MDA1:NCA9'!AG$32)-SUM('MDA1:NCA9'!AG$34))</f>
        <v>16525.522938840048</v>
      </c>
      <c r="AH49" s="12">
        <f>'Corp.'!AH$50*(AH$37-(AH31-AH32-AH34)*$C$35)/(SUM('MDA1:NCA9'!AH$37)-SUM('MDA1:NCA9'!AH$31)-SUM('MDA1:NCA9'!AH$32)-SUM('MDA1:NCA9'!AH$34))</f>
        <v>16273.306163278192</v>
      </c>
      <c r="AI49" s="12">
        <f>'Corp.'!AI$50*(AI$37-(AI31-AI32-AI34)*$C$35)/(SUM('MDA1:NCA9'!AI$37)-SUM('MDA1:NCA9'!AI$31)-SUM('MDA1:NCA9'!AI$32)-SUM('MDA1:NCA9'!AI$34))</f>
        <v>16011.816783244429</v>
      </c>
      <c r="AJ49" s="12">
        <f>'Corp.'!AJ$50*(AJ$37-(AJ31-AJ32-AJ34)*$C$35)/(SUM('MDA1:NCA9'!AJ$37)-SUM('MDA1:NCA9'!AJ$31)-SUM('MDA1:NCA9'!AJ$32)-SUM('MDA1:NCA9'!AJ$34))</f>
        <v>15741.873888719796</v>
      </c>
      <c r="AK49" s="12">
        <f>'Corp.'!AK$50*(AK$37-(AK31-AK32-AK34)*$C$35)/(SUM('MDA1:NCA9'!AK$37)-SUM('MDA1:NCA9'!AK$31)-SUM('MDA1:NCA9'!AK$32)-SUM('MDA1:NCA9'!AK$34))</f>
        <v>15492.528318199891</v>
      </c>
      <c r="AL49" s="12">
        <f>'Corp.'!AL$50*(AL$37-(AL31-AL32-AL34)*$C$35)/(SUM('MDA1:NCA9'!AL$37)-SUM('MDA1:NCA9'!AL$31)-SUM('MDA1:NCA9'!AL$32)-SUM('MDA1:NCA9'!AL$34))</f>
        <v>15263.329760214554</v>
      </c>
      <c r="AM49" s="12">
        <f>'Corp.'!AM$50*(AM$37-(AM31-AM32-AM34)*$C$35)/(SUM('MDA1:NCA9'!AM$37)-SUM('MDA1:NCA9'!AM$31)-SUM('MDA1:NCA9'!AM$32)-SUM('MDA1:NCA9'!AM$34))</f>
        <v>15016.205878204973</v>
      </c>
      <c r="AN49" s="12">
        <f>'Corp.'!AN$50*(AN$37-(AN31-AN32-AN34)*$C$35)/(SUM('MDA1:NCA9'!AN$37)-SUM('MDA1:NCA9'!AN$31)-SUM('MDA1:NCA9'!AN$32)-SUM('MDA1:NCA9'!AN$34))</f>
        <v>14805.879172812447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15515.296479133771</v>
      </c>
      <c r="I50" s="13">
        <v>32889.891400930894</v>
      </c>
      <c r="J50" s="13">
        <v>39687.930743768797</v>
      </c>
      <c r="K50" s="13">
        <v>43112.884597469696</v>
      </c>
      <c r="L50" s="13">
        <v>49775.295069824162</v>
      </c>
      <c r="M50" s="13">
        <v>55833.174138315939</v>
      </c>
      <c r="N50" s="13">
        <v>62115.07465030461</v>
      </c>
      <c r="O50" s="13">
        <v>64997.59607219282</v>
      </c>
      <c r="P50" s="13">
        <v>70704.504775569265</v>
      </c>
      <c r="Q50" s="13">
        <v>83567.322466600483</v>
      </c>
      <c r="R50" s="13">
        <v>86821.828513691667</v>
      </c>
      <c r="S50" s="13">
        <v>92847.538649832568</v>
      </c>
      <c r="T50" s="13">
        <v>99116.180508606485</v>
      </c>
      <c r="U50" s="13">
        <v>101969.1047188056</v>
      </c>
      <c r="V50" s="13">
        <v>101561.1019800377</v>
      </c>
      <c r="W50" s="13">
        <v>101024.68231575712</v>
      </c>
      <c r="X50" s="13">
        <v>100486.69419538046</v>
      </c>
      <c r="Y50" s="13">
        <v>100138.11076749289</v>
      </c>
      <c r="Z50" s="13">
        <v>99789.334378618019</v>
      </c>
      <c r="AA50" s="13">
        <v>99427.609615345224</v>
      </c>
      <c r="AB50" s="13">
        <v>99074.044167299493</v>
      </c>
      <c r="AC50" s="13">
        <v>107949.99796316019</v>
      </c>
      <c r="AD50" s="13">
        <v>107681.6538581794</v>
      </c>
      <c r="AE50" s="13">
        <v>107427.6087715984</v>
      </c>
      <c r="AF50" s="13">
        <v>107188.71496486696</v>
      </c>
      <c r="AG50" s="13">
        <v>106998.47019640834</v>
      </c>
      <c r="AH50" s="13">
        <v>106746.25342084648</v>
      </c>
      <c r="AI50" s="13">
        <v>106484.76404081272</v>
      </c>
      <c r="AJ50" s="13">
        <v>106214.82114628809</v>
      </c>
      <c r="AK50" s="13">
        <v>105965.47557576819</v>
      </c>
      <c r="AL50" s="13">
        <v>105736.27701778285</v>
      </c>
      <c r="AM50" s="13">
        <v>105489.15313577326</v>
      </c>
      <c r="AN50" s="13">
        <v>105278.82643038074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-7593.8224791337725</v>
      </c>
      <c r="I52" s="74">
        <f t="shared" si="0"/>
        <v>-9125.4694009308951</v>
      </c>
      <c r="J52" s="74">
        <f t="shared" si="0"/>
        <v>-80.560743768801331</v>
      </c>
      <c r="K52" s="74">
        <f t="shared" si="0"/>
        <v>4415.9594025303013</v>
      </c>
      <c r="L52" s="74">
        <f t="shared" si="0"/>
        <v>13596.496930175825</v>
      </c>
      <c r="M52" s="74">
        <f t="shared" si="0"/>
        <v>23381.565861684052</v>
      </c>
      <c r="N52" s="74">
        <f t="shared" si="0"/>
        <v>32942.613349695384</v>
      </c>
      <c r="O52" s="74">
        <f t="shared" si="0"/>
        <v>37981.565927807176</v>
      </c>
      <c r="P52" s="74">
        <f t="shared" si="0"/>
        <v>48117.605224430736</v>
      </c>
      <c r="Q52" s="74">
        <f t="shared" si="0"/>
        <v>55137.687273399526</v>
      </c>
      <c r="R52" s="74">
        <f t="shared" si="0"/>
        <v>60042.299446308345</v>
      </c>
      <c r="S52" s="74">
        <f t="shared" si="0"/>
        <v>70334.825750167452</v>
      </c>
      <c r="T52" s="74">
        <f t="shared" si="0"/>
        <v>80384.420331393485</v>
      </c>
      <c r="U52" s="74">
        <f t="shared" si="0"/>
        <v>93849.732561194411</v>
      </c>
      <c r="V52" s="74">
        <f t="shared" si="0"/>
        <v>94257.735299962311</v>
      </c>
      <c r="W52" s="74">
        <f t="shared" si="0"/>
        <v>94794.154964242887</v>
      </c>
      <c r="X52" s="74">
        <f t="shared" si="0"/>
        <v>95332.143084619544</v>
      </c>
      <c r="Y52" s="74">
        <f t="shared" si="0"/>
        <v>95680.726512507114</v>
      </c>
      <c r="Z52" s="74">
        <f t="shared" si="0"/>
        <v>96029.502901381988</v>
      </c>
      <c r="AA52" s="74">
        <f t="shared" si="0"/>
        <v>96391.227664654783</v>
      </c>
      <c r="AB52" s="74">
        <f t="shared" si="0"/>
        <v>96744.793112700514</v>
      </c>
      <c r="AC52" s="74">
        <f t="shared" si="0"/>
        <v>87868.839316839818</v>
      </c>
      <c r="AD52" s="74">
        <f t="shared" si="0"/>
        <v>88137.183421820606</v>
      </c>
      <c r="AE52" s="74">
        <f t="shared" si="0"/>
        <v>88391.228508401604</v>
      </c>
      <c r="AF52" s="74">
        <f t="shared" si="0"/>
        <v>88630.122315133049</v>
      </c>
      <c r="AG52" s="74">
        <f t="shared" si="0"/>
        <v>88820.367083591671</v>
      </c>
      <c r="AH52" s="74">
        <f t="shared" si="0"/>
        <v>89072.583859153528</v>
      </c>
      <c r="AI52" s="74">
        <f t="shared" si="0"/>
        <v>89334.073239187288</v>
      </c>
      <c r="AJ52" s="74">
        <f t="shared" si="0"/>
        <v>89604.016133711921</v>
      </c>
      <c r="AK52" s="74">
        <f t="shared" si="0"/>
        <v>89853.361704231822</v>
      </c>
      <c r="AL52" s="74">
        <f t="shared" si="0"/>
        <v>90082.560262217157</v>
      </c>
      <c r="AM52" s="74">
        <f t="shared" si="0"/>
        <v>90329.684144226747</v>
      </c>
      <c r="AN52" s="74">
        <f t="shared" si="0"/>
        <v>90540.01084961927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>
        <f t="shared" si="1"/>
        <v>-0.95863755648680715</v>
      </c>
      <c r="I53" s="107">
        <f t="shared" si="1"/>
        <v>-0.38399711135119952</v>
      </c>
      <c r="J53" s="107">
        <f t="shared" si="1"/>
        <v>-2.0339836694231741E-3</v>
      </c>
      <c r="K53" s="107">
        <f t="shared" si="1"/>
        <v>9.2911146808668466E-2</v>
      </c>
      <c r="L53" s="107">
        <f t="shared" si="1"/>
        <v>0.21455124592619737</v>
      </c>
      <c r="M53" s="107">
        <f t="shared" si="1"/>
        <v>0.29516685735109471</v>
      </c>
      <c r="N53" s="107">
        <f t="shared" si="1"/>
        <v>0.34655390892418281</v>
      </c>
      <c r="O53" s="107">
        <f t="shared" si="1"/>
        <v>0.36882768503988389</v>
      </c>
      <c r="P53" s="107">
        <f t="shared" si="1"/>
        <v>0.40495498038564315</v>
      </c>
      <c r="Q53" s="107">
        <f t="shared" si="1"/>
        <v>0.3975176338385622</v>
      </c>
      <c r="R53" s="107">
        <f t="shared" si="1"/>
        <v>0.40882889702420389</v>
      </c>
      <c r="S53" s="107">
        <f t="shared" si="1"/>
        <v>0.43101977354464316</v>
      </c>
      <c r="T53" s="107">
        <f t="shared" si="1"/>
        <v>0.44782256970295664</v>
      </c>
      <c r="U53" s="107">
        <f t="shared" si="1"/>
        <v>0.47926815348719143</v>
      </c>
      <c r="V53" s="107">
        <f t="shared" si="1"/>
        <v>0.48135172595874332</v>
      </c>
      <c r="W53" s="107">
        <f t="shared" si="1"/>
        <v>0.4840910929763993</v>
      </c>
      <c r="X53" s="107">
        <f t="shared" si="1"/>
        <v>0.48683846972446665</v>
      </c>
      <c r="Y53" s="107">
        <f t="shared" si="1"/>
        <v>0.48861860197695844</v>
      </c>
      <c r="Z53" s="107">
        <f t="shared" si="1"/>
        <v>0.49039971963509343</v>
      </c>
      <c r="AA53" s="107">
        <f t="shared" si="1"/>
        <v>0.49224696154653208</v>
      </c>
      <c r="AB53" s="107">
        <f t="shared" si="1"/>
        <v>0.494052535785236</v>
      </c>
      <c r="AC53" s="107">
        <f t="shared" si="1"/>
        <v>0.4487251611610622</v>
      </c>
      <c r="AD53" s="107">
        <f t="shared" si="1"/>
        <v>0.45009553036919453</v>
      </c>
      <c r="AE53" s="107">
        <f t="shared" si="1"/>
        <v>0.45139287790791849</v>
      </c>
      <c r="AF53" s="107">
        <f t="shared" si="1"/>
        <v>0.45261285148170627</v>
      </c>
      <c r="AG53" s="107">
        <f t="shared" si="1"/>
        <v>0.45358438604447454</v>
      </c>
      <c r="AH53" s="107">
        <f t="shared" si="1"/>
        <v>0.45487239683580216</v>
      </c>
      <c r="AI53" s="107">
        <f t="shared" si="1"/>
        <v>0.45620776060195428</v>
      </c>
      <c r="AJ53" s="107">
        <f t="shared" si="1"/>
        <v>0.45758629444616583</v>
      </c>
      <c r="AK53" s="107">
        <f t="shared" si="1"/>
        <v>0.45885964267958101</v>
      </c>
      <c r="AL53" s="107">
        <f t="shared" si="1"/>
        <v>0.46003010493525054</v>
      </c>
      <c r="AM53" s="107">
        <f t="shared" si="1"/>
        <v>0.46129210753644173</v>
      </c>
      <c r="AN53" s="107">
        <f t="shared" si="1"/>
        <v>0.46236619575141658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-1188.2210999999998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-3564.6632999999997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-5941.1054999999988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-7129.3265999999994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-9505.768799999998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-11882.210999999998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-14258.653199999999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-15446.874299999999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-17823.316500000001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-20805.751461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-22029.619194000003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-24477.354660000001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-26925.090125999996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-7593.8224791337725</v>
      </c>
      <c r="I58" s="13">
        <f t="shared" si="2"/>
        <v>-9125.4694009308951</v>
      </c>
      <c r="J58" s="13">
        <f t="shared" si="2"/>
        <v>-80.560743768801331</v>
      </c>
      <c r="K58" s="13">
        <f t="shared" si="2"/>
        <v>4415.9594025303013</v>
      </c>
      <c r="L58" s="13">
        <f t="shared" si="2"/>
        <v>13596.496930175825</v>
      </c>
      <c r="M58" s="13">
        <f t="shared" si="2"/>
        <v>22193.344761684053</v>
      </c>
      <c r="N58" s="13">
        <f t="shared" si="2"/>
        <v>29377.950049695384</v>
      </c>
      <c r="O58" s="13">
        <f t="shared" si="2"/>
        <v>32040.460427807178</v>
      </c>
      <c r="P58" s="13">
        <f t="shared" si="2"/>
        <v>40988.278624430735</v>
      </c>
      <c r="Q58" s="13">
        <f t="shared" si="2"/>
        <v>45631.918473399528</v>
      </c>
      <c r="R58" s="13">
        <f t="shared" si="2"/>
        <v>48160.088446308349</v>
      </c>
      <c r="S58" s="13">
        <f t="shared" si="2"/>
        <v>56076.172550167452</v>
      </c>
      <c r="T58" s="13">
        <f t="shared" si="2"/>
        <v>64937.546031393489</v>
      </c>
      <c r="U58" s="13">
        <f t="shared" si="2"/>
        <v>76026.41606119441</v>
      </c>
      <c r="V58" s="13">
        <f t="shared" si="2"/>
        <v>73451.983838962304</v>
      </c>
      <c r="W58" s="13">
        <f t="shared" si="2"/>
        <v>72764.535770242888</v>
      </c>
      <c r="X58" s="13">
        <f t="shared" si="2"/>
        <v>70854.788424619546</v>
      </c>
      <c r="Y58" s="13">
        <f t="shared" si="2"/>
        <v>68755.636386507118</v>
      </c>
      <c r="Z58" s="13">
        <f t="shared" si="2"/>
        <v>66656.677309381979</v>
      </c>
      <c r="AA58" s="13">
        <f t="shared" si="2"/>
        <v>67018.402072654775</v>
      </c>
      <c r="AB58" s="13">
        <f t="shared" si="2"/>
        <v>67371.967520700506</v>
      </c>
      <c r="AC58" s="13">
        <f t="shared" si="2"/>
        <v>58496.013724839817</v>
      </c>
      <c r="AD58" s="13">
        <f t="shared" si="2"/>
        <v>58764.357829820605</v>
      </c>
      <c r="AE58" s="13">
        <f t="shared" si="2"/>
        <v>59018.402916401603</v>
      </c>
      <c r="AF58" s="13">
        <f t="shared" si="2"/>
        <v>59257.296723133048</v>
      </c>
      <c r="AG58" s="13">
        <f t="shared" si="2"/>
        <v>59447.54149159167</v>
      </c>
      <c r="AH58" s="13">
        <f t="shared" si="2"/>
        <v>59699.758267153527</v>
      </c>
      <c r="AI58" s="13">
        <f t="shared" si="2"/>
        <v>59961.247647187287</v>
      </c>
      <c r="AJ58" s="13">
        <f t="shared" si="2"/>
        <v>60231.19054171192</v>
      </c>
      <c r="AK58" s="13">
        <f t="shared" si="2"/>
        <v>60480.536112231821</v>
      </c>
      <c r="AL58" s="13">
        <f t="shared" si="2"/>
        <v>60709.734670217156</v>
      </c>
      <c r="AM58" s="13">
        <f t="shared" si="2"/>
        <v>60956.858552226746</v>
      </c>
      <c r="AN58" s="13">
        <f t="shared" si="2"/>
        <v>61167.185257619269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-7593.8224791337725</v>
      </c>
      <c r="I59" s="12">
        <v>-16719.291880064666</v>
      </c>
      <c r="J59" s="12">
        <v>-16799.852623833467</v>
      </c>
      <c r="K59" s="12">
        <v>-12383.893221303166</v>
      </c>
      <c r="L59" s="12">
        <v>1212.6037088726589</v>
      </c>
      <c r="M59" s="12">
        <v>23405.948470556712</v>
      </c>
      <c r="N59" s="12">
        <v>52783.8985202521</v>
      </c>
      <c r="O59" s="12">
        <v>84824.358948059278</v>
      </c>
      <c r="P59" s="12">
        <v>125812.63757249001</v>
      </c>
      <c r="Q59" s="12">
        <v>171444.55604588953</v>
      </c>
      <c r="R59" s="12">
        <v>219604.6444921979</v>
      </c>
      <c r="S59" s="12">
        <v>275680.81704236532</v>
      </c>
      <c r="T59" s="12">
        <v>340618.36307375878</v>
      </c>
      <c r="U59" s="12">
        <v>416644.77913495316</v>
      </c>
      <c r="V59" s="12">
        <v>490096.76297391544</v>
      </c>
      <c r="W59" s="12">
        <v>562861.29874415835</v>
      </c>
      <c r="X59" s="12">
        <v>633716.08716877794</v>
      </c>
      <c r="Y59" s="12">
        <v>702471.72355528502</v>
      </c>
      <c r="Z59" s="12">
        <v>769128.40086466703</v>
      </c>
      <c r="AA59" s="12">
        <v>836146.80293732183</v>
      </c>
      <c r="AB59" s="12">
        <v>903518.77045802237</v>
      </c>
      <c r="AC59" s="12">
        <v>962014.78418286215</v>
      </c>
      <c r="AD59" s="12">
        <v>1020779.1420126827</v>
      </c>
      <c r="AE59" s="12">
        <v>1079797.5449290844</v>
      </c>
      <c r="AF59" s="12">
        <v>1139054.8416522173</v>
      </c>
      <c r="AG59" s="12">
        <v>1198502.3831438089</v>
      </c>
      <c r="AH59" s="12">
        <v>1258202.1414109624</v>
      </c>
      <c r="AI59" s="12">
        <v>1318163.3890581497</v>
      </c>
      <c r="AJ59" s="12">
        <v>1378394.5795998615</v>
      </c>
      <c r="AK59" s="12">
        <v>1438875.1157120934</v>
      </c>
      <c r="AL59" s="12">
        <v>1499584.8503823106</v>
      </c>
      <c r="AM59" s="12">
        <v>1560541.7089345374</v>
      </c>
      <c r="AN59" s="12">
        <v>1621708.8941921566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1.0488449438217826E-3</v>
      </c>
      <c r="I72" s="12">
        <v>3.1465348314653478E-3</v>
      </c>
      <c r="J72" s="12">
        <v>5.2442247191089144E-3</v>
      </c>
      <c r="K72" s="12">
        <v>6.2930696629306957E-3</v>
      </c>
      <c r="L72" s="12">
        <v>8.3907595505742609E-3</v>
      </c>
      <c r="M72" s="12">
        <v>1.0488449438217829E-2</v>
      </c>
      <c r="N72" s="12">
        <v>1.2586139325861391E-2</v>
      </c>
      <c r="O72" s="12">
        <v>1.3634984269683173E-2</v>
      </c>
      <c r="P72" s="12">
        <v>1.573267415732674E-2</v>
      </c>
      <c r="Q72" s="12">
        <v>1.9613400449467334E-2</v>
      </c>
      <c r="R72" s="12">
        <v>2.0767129887671303E-2</v>
      </c>
      <c r="S72" s="12">
        <v>2.307458876407922E-2</v>
      </c>
      <c r="T72" s="12">
        <v>2.5382047640487147E-2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-1.0488449438217826E-3</v>
      </c>
      <c r="I75" s="74">
        <v>-3.1465348314653478E-3</v>
      </c>
      <c r="J75" s="74">
        <v>-5.2442247191089144E-3</v>
      </c>
      <c r="K75" s="74">
        <v>-6.2930696629306957E-3</v>
      </c>
      <c r="L75" s="74">
        <v>-8.3907595505742609E-3</v>
      </c>
      <c r="M75" s="74">
        <v>-1.0488449438217829E-2</v>
      </c>
      <c r="N75" s="74">
        <v>-1.2586139325861391E-2</v>
      </c>
      <c r="O75" s="74">
        <v>-1.3634984269683173E-2</v>
      </c>
      <c r="P75" s="74">
        <v>-1.573267415732674E-2</v>
      </c>
      <c r="Q75" s="74">
        <v>-1.9613400449467334E-2</v>
      </c>
      <c r="R75" s="74">
        <v>-2.0767129887671303E-2</v>
      </c>
      <c r="S75" s="74">
        <v>-2.307458876407922E-2</v>
      </c>
      <c r="T75" s="74">
        <v>-2.5382047640487147E-2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D22D-F692-42F7-91B8-C20724C3110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495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31</v>
      </c>
      <c r="F1" s="69">
        <v>35</v>
      </c>
      <c r="G1" s="69">
        <v>38</v>
      </c>
      <c r="H1" s="69">
        <v>42</v>
      </c>
      <c r="I1" s="69">
        <v>42</v>
      </c>
      <c r="J1" s="69">
        <v>42</v>
      </c>
      <c r="K1" s="69">
        <v>42</v>
      </c>
      <c r="L1" s="69">
        <v>42</v>
      </c>
      <c r="M1" s="69">
        <v>42</v>
      </c>
      <c r="N1" s="69">
        <v>42</v>
      </c>
      <c r="O1" s="69">
        <v>42</v>
      </c>
      <c r="P1" s="69">
        <v>42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4.833333333333333</v>
      </c>
      <c r="F2" s="69">
        <v>5</v>
      </c>
      <c r="G2" s="69">
        <v>5.166666666666667</v>
      </c>
      <c r="H2" s="69">
        <v>1.8333333333333333</v>
      </c>
      <c r="I2" s="69">
        <v>2</v>
      </c>
      <c r="J2" s="69">
        <v>2.1666666666666665</v>
      </c>
      <c r="K2" s="69">
        <v>2.3333333333333335</v>
      </c>
      <c r="L2" s="69">
        <v>2.5</v>
      </c>
      <c r="M2" s="69">
        <v>2.6666666666666665</v>
      </c>
      <c r="N2" s="69">
        <v>2.8333333333333335</v>
      </c>
      <c r="O2" s="69">
        <v>3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2.1666666666666665</v>
      </c>
      <c r="K3" s="69">
        <v>2.3333333333333335</v>
      </c>
      <c r="L3" s="69">
        <v>2.5</v>
      </c>
      <c r="M3" s="69">
        <v>2.6666666666666665</v>
      </c>
      <c r="N3" s="69">
        <v>2.8333333333333335</v>
      </c>
      <c r="O3" s="69">
        <v>3</v>
      </c>
      <c r="P3" s="69">
        <v>3.1666666666666665</v>
      </c>
      <c r="Q3" s="69">
        <v>3.3333333333333335</v>
      </c>
      <c r="R3" s="69">
        <v>3.5</v>
      </c>
      <c r="S3" s="69">
        <v>3.6666666666666665</v>
      </c>
      <c r="T3" s="69">
        <v>3.8333333333333335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35.833333333333336</v>
      </c>
      <c r="F4" s="69">
        <v>40</v>
      </c>
      <c r="G4" s="69">
        <v>43.166666666666664</v>
      </c>
      <c r="H4" s="69">
        <v>43.833333333333336</v>
      </c>
      <c r="I4" s="69">
        <v>44</v>
      </c>
      <c r="J4" s="69">
        <v>44.166666666666664</v>
      </c>
      <c r="K4" s="69">
        <v>44.333333333333336</v>
      </c>
      <c r="L4" s="69">
        <v>44.5</v>
      </c>
      <c r="M4" s="69">
        <v>44.666666666666664</v>
      </c>
      <c r="N4" s="69">
        <v>44.833333333333336</v>
      </c>
      <c r="O4" s="69">
        <v>45</v>
      </c>
      <c r="P4" s="69">
        <v>45.166666666666664</v>
      </c>
      <c r="Q4" s="69">
        <v>45.333333333333336</v>
      </c>
      <c r="R4" s="69">
        <v>45.5</v>
      </c>
      <c r="S4" s="69">
        <v>45.666666666666664</v>
      </c>
      <c r="T4" s="69">
        <v>45.833333333333336</v>
      </c>
      <c r="U4" s="69">
        <v>46</v>
      </c>
      <c r="V4" s="69">
        <v>46</v>
      </c>
      <c r="W4" s="69">
        <v>46</v>
      </c>
      <c r="X4" s="69">
        <v>46</v>
      </c>
      <c r="Y4" s="69">
        <v>46</v>
      </c>
      <c r="Z4" s="69">
        <v>46</v>
      </c>
      <c r="AA4" s="69">
        <v>46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41</v>
      </c>
      <c r="F6" s="66">
        <v>46</v>
      </c>
      <c r="G6" s="66">
        <v>50</v>
      </c>
      <c r="H6" s="66">
        <v>54</v>
      </c>
      <c r="I6" s="66">
        <v>54</v>
      </c>
      <c r="J6" s="66">
        <v>54</v>
      </c>
      <c r="K6" s="66">
        <v>54</v>
      </c>
      <c r="L6" s="66">
        <v>54</v>
      </c>
      <c r="M6" s="66">
        <v>54</v>
      </c>
      <c r="N6" s="66">
        <v>54</v>
      </c>
      <c r="O6" s="66">
        <v>54</v>
      </c>
      <c r="P6" s="66">
        <v>54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29.180000000000003</v>
      </c>
      <c r="F7" s="108">
        <v>32.949999999999996</v>
      </c>
      <c r="G7" s="108">
        <v>35.769999999999996</v>
      </c>
      <c r="H7" s="108">
        <v>39.53</v>
      </c>
      <c r="I7" s="108">
        <v>39.53</v>
      </c>
      <c r="J7" s="108">
        <v>39.53</v>
      </c>
      <c r="K7" s="108">
        <v>39.53</v>
      </c>
      <c r="L7" s="108">
        <v>39.53</v>
      </c>
      <c r="M7" s="108">
        <v>39.53</v>
      </c>
      <c r="N7" s="108">
        <v>39.53</v>
      </c>
      <c r="O7" s="108">
        <v>39.53</v>
      </c>
      <c r="P7" s="108">
        <v>39.53</v>
      </c>
      <c r="Q7" s="108">
        <v>39.53</v>
      </c>
      <c r="R7" s="108">
        <v>39.53</v>
      </c>
      <c r="S7" s="108">
        <v>39.53</v>
      </c>
      <c r="T7" s="108">
        <v>39.53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4.43</v>
      </c>
      <c r="F8" s="108">
        <v>5</v>
      </c>
      <c r="G8" s="108">
        <v>5.43</v>
      </c>
      <c r="H8" s="108">
        <v>6</v>
      </c>
      <c r="I8" s="108">
        <v>6</v>
      </c>
      <c r="J8" s="108">
        <v>6</v>
      </c>
      <c r="K8" s="108">
        <v>6</v>
      </c>
      <c r="L8" s="108">
        <v>6</v>
      </c>
      <c r="M8" s="108">
        <v>6</v>
      </c>
      <c r="N8" s="108">
        <v>6</v>
      </c>
      <c r="O8" s="108">
        <v>6</v>
      </c>
      <c r="P8" s="108">
        <v>6</v>
      </c>
      <c r="Q8" s="108">
        <v>6</v>
      </c>
      <c r="R8" s="108">
        <v>6</v>
      </c>
      <c r="S8" s="108">
        <v>6</v>
      </c>
      <c r="T8" s="108">
        <v>6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0.38</v>
      </c>
      <c r="F12" s="108">
        <v>0.39</v>
      </c>
      <c r="G12" s="108">
        <v>0.4</v>
      </c>
      <c r="H12" s="108">
        <v>0.15000000000000002</v>
      </c>
      <c r="I12" s="108">
        <v>0.16</v>
      </c>
      <c r="J12" s="108">
        <v>0.17</v>
      </c>
      <c r="K12" s="108">
        <v>0.18000000000000002</v>
      </c>
      <c r="L12" s="108">
        <v>0.2</v>
      </c>
      <c r="M12" s="108">
        <v>0.21000000000000002</v>
      </c>
      <c r="N12" s="108">
        <v>0.22</v>
      </c>
      <c r="O12" s="108">
        <v>0.24000000000000002</v>
      </c>
      <c r="P12" s="108">
        <v>0.25</v>
      </c>
      <c r="Q12" s="108">
        <v>0.26</v>
      </c>
      <c r="R12" s="108">
        <v>0.27</v>
      </c>
      <c r="S12" s="108">
        <v>0.29000000000000004</v>
      </c>
      <c r="T12" s="108">
        <v>0.3</v>
      </c>
      <c r="U12" s="108">
        <v>0.31</v>
      </c>
      <c r="V12" s="108">
        <v>0.31</v>
      </c>
      <c r="W12" s="108">
        <v>0.31</v>
      </c>
      <c r="X12" s="108">
        <v>0.31</v>
      </c>
      <c r="Y12" s="108">
        <v>0.31</v>
      </c>
      <c r="Z12" s="108">
        <v>0.31</v>
      </c>
      <c r="AA12" s="108">
        <v>0.31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0.66</v>
      </c>
      <c r="F13" s="108">
        <v>0.7</v>
      </c>
      <c r="G13" s="108">
        <v>0.73</v>
      </c>
      <c r="H13" s="108">
        <v>0.42</v>
      </c>
      <c r="I13" s="108">
        <v>0.44</v>
      </c>
      <c r="J13" s="108">
        <v>0.45</v>
      </c>
      <c r="K13" s="108">
        <v>0.47000000000000003</v>
      </c>
      <c r="L13" s="108">
        <v>0.49</v>
      </c>
      <c r="M13" s="108">
        <v>0.5</v>
      </c>
      <c r="N13" s="108">
        <v>0.52</v>
      </c>
      <c r="O13" s="108">
        <v>0.54</v>
      </c>
      <c r="P13" s="108">
        <v>0.55000000000000004</v>
      </c>
      <c r="Q13" s="108">
        <v>0.57000000000000006</v>
      </c>
      <c r="R13" s="108">
        <v>0.59</v>
      </c>
      <c r="S13" s="108">
        <v>0.6</v>
      </c>
      <c r="T13" s="108">
        <v>0.62</v>
      </c>
      <c r="U13" s="108">
        <v>0.64</v>
      </c>
      <c r="V13" s="108">
        <v>0.64</v>
      </c>
      <c r="W13" s="108">
        <v>0.64</v>
      </c>
      <c r="X13" s="108">
        <v>0.64</v>
      </c>
      <c r="Y13" s="108">
        <v>0.64</v>
      </c>
      <c r="Z13" s="108">
        <v>0.64</v>
      </c>
      <c r="AA13" s="108">
        <v>0.64</v>
      </c>
      <c r="AB13" s="108">
        <v>0.64</v>
      </c>
      <c r="AC13" s="108">
        <v>0.64</v>
      </c>
      <c r="AD13" s="108">
        <v>0.64</v>
      </c>
      <c r="AE13" s="108">
        <v>0.64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0.42</v>
      </c>
      <c r="F14" s="108">
        <v>0.45</v>
      </c>
      <c r="G14" s="108">
        <v>0.47000000000000003</v>
      </c>
      <c r="H14" s="108">
        <v>0.33</v>
      </c>
      <c r="I14" s="108">
        <v>0.34</v>
      </c>
      <c r="J14" s="108">
        <v>0.34</v>
      </c>
      <c r="K14" s="108">
        <v>0.35000000000000003</v>
      </c>
      <c r="L14" s="108">
        <v>0.36</v>
      </c>
      <c r="M14" s="108">
        <v>0.37</v>
      </c>
      <c r="N14" s="108">
        <v>0.38</v>
      </c>
      <c r="O14" s="108">
        <v>0.39</v>
      </c>
      <c r="P14" s="108">
        <v>0.39</v>
      </c>
      <c r="Q14" s="108">
        <v>0.4</v>
      </c>
      <c r="R14" s="108">
        <v>0.41000000000000003</v>
      </c>
      <c r="S14" s="108">
        <v>0.42</v>
      </c>
      <c r="T14" s="108">
        <v>0.43</v>
      </c>
      <c r="U14" s="108">
        <v>0.44</v>
      </c>
      <c r="V14" s="108">
        <v>0.44</v>
      </c>
      <c r="W14" s="108">
        <v>0.44</v>
      </c>
      <c r="X14" s="108">
        <v>0.44</v>
      </c>
      <c r="Y14" s="108">
        <v>0.44</v>
      </c>
      <c r="Z14" s="108">
        <v>0.44</v>
      </c>
      <c r="AA14" s="108">
        <v>0.44</v>
      </c>
      <c r="AB14" s="108">
        <v>0.44</v>
      </c>
      <c r="AC14" s="108">
        <v>0.44</v>
      </c>
      <c r="AD14" s="108">
        <v>0.44</v>
      </c>
      <c r="AE14" s="108">
        <v>0.44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0.13</v>
      </c>
      <c r="F15" s="108">
        <v>0.14000000000000001</v>
      </c>
      <c r="G15" s="108">
        <v>0.16</v>
      </c>
      <c r="H15" s="108">
        <v>0.17</v>
      </c>
      <c r="I15" s="108">
        <v>0.17</v>
      </c>
      <c r="J15" s="108">
        <v>0.17</v>
      </c>
      <c r="K15" s="108">
        <v>0.17</v>
      </c>
      <c r="L15" s="108">
        <v>0.17</v>
      </c>
      <c r="M15" s="108">
        <v>0.17</v>
      </c>
      <c r="N15" s="108">
        <v>0.17</v>
      </c>
      <c r="O15" s="108">
        <v>0.17</v>
      </c>
      <c r="P15" s="108">
        <v>0.17</v>
      </c>
      <c r="Q15" s="108">
        <v>0.17</v>
      </c>
      <c r="R15" s="108">
        <v>0.17</v>
      </c>
      <c r="S15" s="108">
        <v>0.17</v>
      </c>
      <c r="T15" s="108">
        <v>0.17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0.13</v>
      </c>
      <c r="F16" s="108">
        <v>0.14000000000000001</v>
      </c>
      <c r="G16" s="108">
        <v>0.16</v>
      </c>
      <c r="H16" s="108">
        <v>0.17</v>
      </c>
      <c r="I16" s="108">
        <v>0.17</v>
      </c>
      <c r="J16" s="108">
        <v>0.17</v>
      </c>
      <c r="K16" s="108">
        <v>0.17</v>
      </c>
      <c r="L16" s="108">
        <v>0.17</v>
      </c>
      <c r="M16" s="108">
        <v>0.17</v>
      </c>
      <c r="N16" s="108">
        <v>0.17</v>
      </c>
      <c r="O16" s="108">
        <v>0.17</v>
      </c>
      <c r="P16" s="108">
        <v>0.17</v>
      </c>
      <c r="Q16" s="108">
        <v>0.17</v>
      </c>
      <c r="R16" s="108">
        <v>0.17</v>
      </c>
      <c r="S16" s="108">
        <v>0.17</v>
      </c>
      <c r="T16" s="108">
        <v>0.17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3.1</v>
      </c>
      <c r="F17" s="108">
        <v>3.5</v>
      </c>
      <c r="G17" s="108">
        <v>3.8</v>
      </c>
      <c r="H17" s="108">
        <v>4.2</v>
      </c>
      <c r="I17" s="108">
        <v>4.2</v>
      </c>
      <c r="J17" s="108">
        <v>4.2</v>
      </c>
      <c r="K17" s="108">
        <v>4.2</v>
      </c>
      <c r="L17" s="108">
        <v>4.2</v>
      </c>
      <c r="M17" s="108">
        <v>4.2</v>
      </c>
      <c r="N17" s="108">
        <v>4.2</v>
      </c>
      <c r="O17" s="108">
        <v>4.2</v>
      </c>
      <c r="P17" s="108">
        <v>4.2</v>
      </c>
      <c r="Q17" s="108">
        <v>4.2</v>
      </c>
      <c r="R17" s="108">
        <v>4.2</v>
      </c>
      <c r="S17" s="108">
        <v>4.2</v>
      </c>
      <c r="T17" s="108">
        <v>4.2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1</v>
      </c>
      <c r="F20" s="108">
        <v>1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34</v>
      </c>
      <c r="F21" s="120">
        <v>38</v>
      </c>
      <c r="G21" s="120">
        <v>41</v>
      </c>
      <c r="H21" s="120">
        <v>46</v>
      </c>
      <c r="I21" s="120">
        <v>46</v>
      </c>
      <c r="J21" s="120">
        <v>46</v>
      </c>
      <c r="K21" s="120">
        <v>46</v>
      </c>
      <c r="L21" s="120">
        <v>46</v>
      </c>
      <c r="M21" s="120">
        <v>46</v>
      </c>
      <c r="N21" s="120">
        <v>46</v>
      </c>
      <c r="O21" s="120">
        <v>46</v>
      </c>
      <c r="P21" s="120">
        <v>46</v>
      </c>
      <c r="Q21" s="120">
        <v>46</v>
      </c>
      <c r="R21" s="120">
        <v>46</v>
      </c>
      <c r="S21" s="120">
        <v>46</v>
      </c>
      <c r="T21" s="120">
        <v>46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165.07653631284916</v>
      </c>
      <c r="F22" s="78">
        <v>165.07653631284916</v>
      </c>
      <c r="G22" s="78">
        <v>165.07653631284916</v>
      </c>
      <c r="H22" s="78">
        <v>165.07653631284916</v>
      </c>
      <c r="I22" s="78">
        <v>165.07653631284916</v>
      </c>
      <c r="J22" s="78">
        <v>165.07653631284916</v>
      </c>
      <c r="K22" s="78">
        <v>165.07653631284916</v>
      </c>
      <c r="L22" s="78">
        <v>165.07653631284916</v>
      </c>
      <c r="M22" s="78">
        <v>165.07653631284916</v>
      </c>
      <c r="N22" s="78">
        <v>165.07653631284916</v>
      </c>
      <c r="O22" s="78">
        <v>165.07653631284916</v>
      </c>
      <c r="P22" s="78">
        <v>165.07653631284916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3255.413333333333</v>
      </c>
      <c r="F23" s="52">
        <v>3675.4666666666662</v>
      </c>
      <c r="G23" s="52">
        <v>3990.5066666666662</v>
      </c>
      <c r="H23" s="52">
        <v>4410.5599999999995</v>
      </c>
      <c r="I23" s="52">
        <v>4410.5599999999995</v>
      </c>
      <c r="J23" s="52">
        <v>4410.5599999999995</v>
      </c>
      <c r="K23" s="52">
        <v>4410.5599999999995</v>
      </c>
      <c r="L23" s="52">
        <v>4410.5599999999995</v>
      </c>
      <c r="M23" s="52">
        <v>4410.5599999999995</v>
      </c>
      <c r="N23" s="52">
        <v>4410.5599999999995</v>
      </c>
      <c r="O23" s="52">
        <v>4410.5599999999995</v>
      </c>
      <c r="P23" s="52">
        <v>4410.5599999999995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469484.25333333324</v>
      </c>
      <c r="F26" s="12">
        <v>530062.86666666658</v>
      </c>
      <c r="G26" s="12">
        <v>575496.82666666654</v>
      </c>
      <c r="H26" s="12">
        <v>636075.43999999994</v>
      </c>
      <c r="I26" s="12">
        <v>636075.43999999994</v>
      </c>
      <c r="J26" s="12">
        <v>636075.43999999994</v>
      </c>
      <c r="K26" s="12">
        <v>636075.43999999994</v>
      </c>
      <c r="L26" s="12">
        <v>636075.43999999994</v>
      </c>
      <c r="M26" s="12">
        <v>636075.43999999994</v>
      </c>
      <c r="N26" s="12">
        <v>636075.43999999994</v>
      </c>
      <c r="O26" s="12">
        <v>636075.43999999994</v>
      </c>
      <c r="P26" s="12">
        <v>636075.43999999994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27527.586666666662</v>
      </c>
      <c r="F27" s="12">
        <v>31079.533333333329</v>
      </c>
      <c r="G27" s="12">
        <v>33743.493333333325</v>
      </c>
      <c r="H27" s="12">
        <v>37295.439999999995</v>
      </c>
      <c r="I27" s="12">
        <v>37295.439999999995</v>
      </c>
      <c r="J27" s="12">
        <v>37295.439999999995</v>
      </c>
      <c r="K27" s="12">
        <v>37295.439999999995</v>
      </c>
      <c r="L27" s="12">
        <v>37295.439999999995</v>
      </c>
      <c r="M27" s="12">
        <v>37295.439999999995</v>
      </c>
      <c r="N27" s="12">
        <v>37295.439999999995</v>
      </c>
      <c r="O27" s="12">
        <v>37295.439999999995</v>
      </c>
      <c r="P27" s="12">
        <v>37295.439999999995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65422.213999999978</v>
      </c>
      <c r="F28" s="12">
        <v>73863.789999999964</v>
      </c>
      <c r="G28" s="12">
        <v>80194.97199999998</v>
      </c>
      <c r="H28" s="12">
        <v>88636.547999999981</v>
      </c>
      <c r="I28" s="12">
        <v>88636.547999999981</v>
      </c>
      <c r="J28" s="12">
        <v>88636.547999999981</v>
      </c>
      <c r="K28" s="12">
        <v>88636.547999999981</v>
      </c>
      <c r="L28" s="12">
        <v>88636.547999999981</v>
      </c>
      <c r="M28" s="12">
        <v>88636.547999999981</v>
      </c>
      <c r="N28" s="12">
        <v>88636.547999999981</v>
      </c>
      <c r="O28" s="12">
        <v>88636.547999999981</v>
      </c>
      <c r="P28" s="12">
        <v>88636.547999999981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5032.4779999999992</v>
      </c>
      <c r="F29" s="12">
        <v>5681.829999999999</v>
      </c>
      <c r="G29" s="12">
        <v>6168.8440000000001</v>
      </c>
      <c r="H29" s="12">
        <v>6818.1959999999999</v>
      </c>
      <c r="I29" s="12">
        <v>6818.1959999999999</v>
      </c>
      <c r="J29" s="12">
        <v>6818.1959999999999</v>
      </c>
      <c r="K29" s="12">
        <v>6818.1959999999999</v>
      </c>
      <c r="L29" s="12">
        <v>6818.1959999999999</v>
      </c>
      <c r="M29" s="12">
        <v>6818.1959999999999</v>
      </c>
      <c r="N29" s="12">
        <v>6818.1959999999999</v>
      </c>
      <c r="O29" s="12">
        <v>6818.1959999999999</v>
      </c>
      <c r="P29" s="12">
        <v>6818.1959999999999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6566.2133333333331</v>
      </c>
      <c r="F30" s="12">
        <v>7413.4666666666662</v>
      </c>
      <c r="G30" s="12">
        <v>8048.9066666666649</v>
      </c>
      <c r="H30" s="12">
        <v>8896.16</v>
      </c>
      <c r="I30" s="12">
        <v>8896.16</v>
      </c>
      <c r="J30" s="12">
        <v>8896.16</v>
      </c>
      <c r="K30" s="12">
        <v>8896.16</v>
      </c>
      <c r="L30" s="12">
        <v>8896.16</v>
      </c>
      <c r="M30" s="12">
        <v>8896.16</v>
      </c>
      <c r="N30" s="12">
        <v>8896.16</v>
      </c>
      <c r="O30" s="12">
        <v>8896.16</v>
      </c>
      <c r="P30" s="12">
        <v>8896.16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-71993.308439999993</v>
      </c>
      <c r="F35" s="12">
        <v>-80881.557399999976</v>
      </c>
      <c r="G35" s="12">
        <v>-87547.744119999974</v>
      </c>
      <c r="H35" s="12">
        <v>-96435.993079999986</v>
      </c>
      <c r="I35" s="12">
        <v>-96435.993079999986</v>
      </c>
      <c r="J35" s="12">
        <v>-96435.993079999986</v>
      </c>
      <c r="K35" s="12">
        <v>-96435.993079999986</v>
      </c>
      <c r="L35" s="12">
        <v>-96435.993079999986</v>
      </c>
      <c r="M35" s="12">
        <v>-96435.993079999986</v>
      </c>
      <c r="N35" s="12">
        <v>-96435.993079999986</v>
      </c>
      <c r="O35" s="12">
        <v>-96435.993079999986</v>
      </c>
      <c r="P35" s="12">
        <v>-96435.993079999986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500423.3418933333</v>
      </c>
      <c r="F37" s="13">
        <v>562051.8875999999</v>
      </c>
      <c r="G37" s="13">
        <v>608273.29687999992</v>
      </c>
      <c r="H37" s="13">
        <v>669901.84258666658</v>
      </c>
      <c r="I37" s="13">
        <v>669901.84258666658</v>
      </c>
      <c r="J37" s="13">
        <v>669901.84258666658</v>
      </c>
      <c r="K37" s="13">
        <v>669901.84258666658</v>
      </c>
      <c r="L37" s="13">
        <v>669901.84258666658</v>
      </c>
      <c r="M37" s="13">
        <v>669901.84258666658</v>
      </c>
      <c r="N37" s="13">
        <v>669901.84258666658</v>
      </c>
      <c r="O37" s="13">
        <v>669901.84258666658</v>
      </c>
      <c r="P37" s="13">
        <v>669901.84258666658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310700.76903692284</v>
      </c>
      <c r="F40" s="12">
        <v>336443.88489114941</v>
      </c>
      <c r="G40" s="12">
        <v>356004.64601515274</v>
      </c>
      <c r="H40" s="12">
        <v>375975.19973604602</v>
      </c>
      <c r="I40" s="12">
        <v>376257.46640271274</v>
      </c>
      <c r="J40" s="12">
        <v>376415.03306937939</v>
      </c>
      <c r="K40" s="12">
        <v>376697.29973604606</v>
      </c>
      <c r="L40" s="12">
        <v>377076.23306937935</v>
      </c>
      <c r="M40" s="12">
        <v>377297.59973604605</v>
      </c>
      <c r="N40" s="12">
        <v>377579.86640271271</v>
      </c>
      <c r="O40" s="12">
        <v>377958.79973604606</v>
      </c>
      <c r="P40" s="12">
        <v>378116.36640271271</v>
      </c>
      <c r="Q40" s="12">
        <v>416238.49637631729</v>
      </c>
      <c r="R40" s="12">
        <v>416548.98970965063</v>
      </c>
      <c r="S40" s="12">
        <v>416898.8263763173</v>
      </c>
      <c r="T40" s="12">
        <v>417209.31970965065</v>
      </c>
      <c r="U40" s="12">
        <v>417519.81304298399</v>
      </c>
      <c r="V40" s="12">
        <v>417519.81304298399</v>
      </c>
      <c r="W40" s="12">
        <v>417519.81304298399</v>
      </c>
      <c r="X40" s="12">
        <v>417519.81304298399</v>
      </c>
      <c r="Y40" s="12">
        <v>417519.81304298399</v>
      </c>
      <c r="Z40" s="12">
        <v>417519.81304298399</v>
      </c>
      <c r="AA40" s="12">
        <v>417519.81304298399</v>
      </c>
      <c r="AB40" s="12">
        <v>417519.81304298399</v>
      </c>
      <c r="AC40" s="12">
        <v>459271.7943472825</v>
      </c>
      <c r="AD40" s="12">
        <v>459271.7943472825</v>
      </c>
      <c r="AE40" s="12">
        <v>459271.7943472825</v>
      </c>
      <c r="AF40" s="12">
        <v>459271.7943472825</v>
      </c>
      <c r="AG40" s="12">
        <v>459271.7943472825</v>
      </c>
      <c r="AH40" s="12">
        <v>459271.7943472825</v>
      </c>
      <c r="AI40" s="12">
        <v>459271.7943472825</v>
      </c>
      <c r="AJ40" s="12">
        <v>459271.7943472825</v>
      </c>
      <c r="AK40" s="12">
        <v>459271.7943472825</v>
      </c>
      <c r="AL40" s="12">
        <v>459271.7943472825</v>
      </c>
      <c r="AM40" s="12">
        <v>459271.7943472825</v>
      </c>
      <c r="AN40" s="12">
        <v>459271.7943472825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22411.49</v>
      </c>
      <c r="F42" s="12">
        <v>22411.49</v>
      </c>
      <c r="G42" s="12">
        <v>22411.49</v>
      </c>
      <c r="H42" s="12">
        <v>22411.49</v>
      </c>
      <c r="I42" s="12">
        <v>22411.49</v>
      </c>
      <c r="J42" s="12">
        <v>22411.49</v>
      </c>
      <c r="K42" s="12">
        <v>22411.49</v>
      </c>
      <c r="L42" s="12">
        <v>22411.49</v>
      </c>
      <c r="M42" s="12">
        <v>22411.49</v>
      </c>
      <c r="N42" s="12">
        <v>22411.49</v>
      </c>
      <c r="O42" s="12">
        <v>22411.49</v>
      </c>
      <c r="P42" s="12">
        <v>22411.49</v>
      </c>
      <c r="Q42" s="12">
        <v>23083.834700000003</v>
      </c>
      <c r="R42" s="12">
        <v>23083.834700000003</v>
      </c>
      <c r="S42" s="12">
        <v>23083.834700000003</v>
      </c>
      <c r="T42" s="12">
        <v>23083.834700000003</v>
      </c>
      <c r="U42" s="12">
        <v>23083.834700000003</v>
      </c>
      <c r="V42" s="12">
        <v>23083.834700000003</v>
      </c>
      <c r="W42" s="12">
        <v>23083.834700000003</v>
      </c>
      <c r="X42" s="12">
        <v>23083.834700000003</v>
      </c>
      <c r="Y42" s="12">
        <v>23083.834700000003</v>
      </c>
      <c r="Z42" s="12">
        <v>23083.834700000003</v>
      </c>
      <c r="AA42" s="12">
        <v>23083.834700000003</v>
      </c>
      <c r="AB42" s="12">
        <v>23083.834700000003</v>
      </c>
      <c r="AC42" s="12">
        <v>23776.349741000002</v>
      </c>
      <c r="AD42" s="12">
        <v>23776.349741000002</v>
      </c>
      <c r="AE42" s="12">
        <v>23776.349741000002</v>
      </c>
      <c r="AF42" s="12">
        <v>23776.349741000002</v>
      </c>
      <c r="AG42" s="12">
        <v>23776.349741000002</v>
      </c>
      <c r="AH42" s="12">
        <v>23776.349741000002</v>
      </c>
      <c r="AI42" s="12">
        <v>23776.349741000002</v>
      </c>
      <c r="AJ42" s="12">
        <v>23776.349741000002</v>
      </c>
      <c r="AK42" s="12">
        <v>23776.349741000002</v>
      </c>
      <c r="AL42" s="12">
        <v>23776.349741000002</v>
      </c>
      <c r="AM42" s="12">
        <v>23776.349741000002</v>
      </c>
      <c r="AN42" s="12">
        <v>23776.349741000002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7661.67</v>
      </c>
      <c r="F43" s="12">
        <v>7661.67</v>
      </c>
      <c r="G43" s="12">
        <v>7661.67</v>
      </c>
      <c r="H43" s="12">
        <v>7661.67</v>
      </c>
      <c r="I43" s="12">
        <v>7661.67</v>
      </c>
      <c r="J43" s="12">
        <v>7661.67</v>
      </c>
      <c r="K43" s="12">
        <v>7661.67</v>
      </c>
      <c r="L43" s="12">
        <v>7661.67</v>
      </c>
      <c r="M43" s="12">
        <v>7661.67</v>
      </c>
      <c r="N43" s="12">
        <v>7661.67</v>
      </c>
      <c r="O43" s="12">
        <v>7661.67</v>
      </c>
      <c r="P43" s="12">
        <v>7661.67</v>
      </c>
      <c r="Q43" s="12">
        <v>7968.1368000000002</v>
      </c>
      <c r="R43" s="12">
        <v>7968.1368000000002</v>
      </c>
      <c r="S43" s="12">
        <v>7968.1368000000002</v>
      </c>
      <c r="T43" s="12">
        <v>7968.1368000000002</v>
      </c>
      <c r="U43" s="12">
        <v>7968.1368000000002</v>
      </c>
      <c r="V43" s="12">
        <v>7968.1368000000002</v>
      </c>
      <c r="W43" s="12">
        <v>7968.1368000000002</v>
      </c>
      <c r="X43" s="12">
        <v>7968.1368000000002</v>
      </c>
      <c r="Y43" s="12">
        <v>7968.1368000000002</v>
      </c>
      <c r="Z43" s="12">
        <v>7968.1368000000002</v>
      </c>
      <c r="AA43" s="12">
        <v>7968.1368000000002</v>
      </c>
      <c r="AB43" s="12">
        <v>7968.1368000000002</v>
      </c>
      <c r="AC43" s="12">
        <v>8286.8622720000003</v>
      </c>
      <c r="AD43" s="12">
        <v>8286.8622720000003</v>
      </c>
      <c r="AE43" s="12">
        <v>8286.8622720000003</v>
      </c>
      <c r="AF43" s="12">
        <v>8286.8622720000003</v>
      </c>
      <c r="AG43" s="12">
        <v>8286.8622720000003</v>
      </c>
      <c r="AH43" s="12">
        <v>8286.8622720000003</v>
      </c>
      <c r="AI43" s="12">
        <v>8286.8622720000003</v>
      </c>
      <c r="AJ43" s="12">
        <v>8286.8622720000003</v>
      </c>
      <c r="AK43" s="12">
        <v>8286.8622720000003</v>
      </c>
      <c r="AL43" s="12">
        <v>8286.8622720000003</v>
      </c>
      <c r="AM43" s="12">
        <v>8286.8622720000003</v>
      </c>
      <c r="AN43" s="12">
        <v>8286.8622720000003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1253.4168</v>
      </c>
      <c r="F44" s="12">
        <v>1287.1108000000002</v>
      </c>
      <c r="G44" s="12">
        <v>1320.8048000000001</v>
      </c>
      <c r="H44" s="12">
        <v>1091.6856</v>
      </c>
      <c r="I44" s="12">
        <v>1105.1632</v>
      </c>
      <c r="J44" s="12">
        <v>1111.902</v>
      </c>
      <c r="K44" s="12">
        <v>1125.3796</v>
      </c>
      <c r="L44" s="12">
        <v>1142.2266</v>
      </c>
      <c r="M44" s="12">
        <v>1152.3347999999999</v>
      </c>
      <c r="N44" s="12">
        <v>1165.8124</v>
      </c>
      <c r="O44" s="12">
        <v>1182.6594</v>
      </c>
      <c r="P44" s="12">
        <v>1189.3981999999999</v>
      </c>
      <c r="Q44" s="12">
        <v>1250.990832</v>
      </c>
      <c r="R44" s="12">
        <v>1265.0075359999998</v>
      </c>
      <c r="S44" s="12">
        <v>1279.02424</v>
      </c>
      <c r="T44" s="12">
        <v>1293.0409439999999</v>
      </c>
      <c r="U44" s="12">
        <v>1307.057648</v>
      </c>
      <c r="V44" s="12">
        <v>1307.057648</v>
      </c>
      <c r="W44" s="12">
        <v>1307.057648</v>
      </c>
      <c r="X44" s="12">
        <v>1307.057648</v>
      </c>
      <c r="Y44" s="12">
        <v>1307.057648</v>
      </c>
      <c r="Z44" s="12">
        <v>1307.057648</v>
      </c>
      <c r="AA44" s="12">
        <v>1307.057648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16060.500000000002</v>
      </c>
      <c r="F46" s="12">
        <v>17754.5</v>
      </c>
      <c r="G46" s="12">
        <v>19031.999999999993</v>
      </c>
      <c r="H46" s="12">
        <v>20449.500000000004</v>
      </c>
      <c r="I46" s="12">
        <v>20463.5</v>
      </c>
      <c r="J46" s="12">
        <v>20470.500000000004</v>
      </c>
      <c r="K46" s="12">
        <v>20484.500000000004</v>
      </c>
      <c r="L46" s="12">
        <v>20502.000000000004</v>
      </c>
      <c r="M46" s="12">
        <v>20512.500000000004</v>
      </c>
      <c r="N46" s="12">
        <v>20526.500000000004</v>
      </c>
      <c r="O46" s="12">
        <v>20544.000000000004</v>
      </c>
      <c r="P46" s="12">
        <v>20551</v>
      </c>
      <c r="Q46" s="12">
        <v>20976.300000000003</v>
      </c>
      <c r="R46" s="12">
        <v>20990.580000000005</v>
      </c>
      <c r="S46" s="12">
        <v>21004.860000000004</v>
      </c>
      <c r="T46" s="12">
        <v>21019.140000000003</v>
      </c>
      <c r="U46" s="12">
        <v>21033.420000000002</v>
      </c>
      <c r="V46" s="12">
        <v>21033.420000000002</v>
      </c>
      <c r="W46" s="12">
        <v>21033.420000000002</v>
      </c>
      <c r="X46" s="12">
        <v>21033.420000000002</v>
      </c>
      <c r="Y46" s="12">
        <v>21033.420000000002</v>
      </c>
      <c r="Z46" s="12">
        <v>21033.420000000002</v>
      </c>
      <c r="AA46" s="12">
        <v>21033.420000000002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116142.2215824068</v>
      </c>
      <c r="F49" s="12">
        <f>'Corp.'!F$50*(F$37-(F31-F32-F34)*$C$35)/(SUM('MDA1:NCA9'!F$37)-SUM('MDA1:NCA9'!F$31)-SUM('MDA1:NCA9'!F$32)-SUM('MDA1:NCA9'!F$34))</f>
        <v>122636.82299821076</v>
      </c>
      <c r="G49" s="12">
        <f>'Corp.'!G$50*(G$37-(G31-G32-G34)*$C$35)/(SUM('MDA1:NCA9'!G$37)-SUM('MDA1:NCA9'!G$31)-SUM('MDA1:NCA9'!G$32)-SUM('MDA1:NCA9'!G$34))</f>
        <v>120989.42515062667</v>
      </c>
      <c r="H49" s="12">
        <f>'Corp.'!H$50*(H$37-(H31-H32-H34)*$C$35)/(SUM('MDA1:NCA9'!H$37)-SUM('MDA1:NCA9'!H$31)-SUM('MDA1:NCA9'!H$32)-SUM('MDA1:NCA9'!H$34))</f>
        <v>122079.74779824464</v>
      </c>
      <c r="I49" s="12">
        <f>'Corp.'!I$50*(I$37-(I31-I32-I34)*$C$35)/(SUM('MDA1:NCA9'!I$37)-SUM('MDA1:NCA9'!I$31)-SUM('MDA1:NCA9'!I$32)-SUM('MDA1:NCA9'!I$34))</f>
        <v>115070.82603436963</v>
      </c>
      <c r="J49" s="12">
        <f>'Corp.'!J$50*(J$37-(J31-J32-J34)*$C$35)/(SUM('MDA1:NCA9'!J$37)-SUM('MDA1:NCA9'!J$31)-SUM('MDA1:NCA9'!J$32)-SUM('MDA1:NCA9'!J$34))</f>
        <v>107773.16031784702</v>
      </c>
      <c r="K49" s="12">
        <f>'Corp.'!K$50*(K$37-(K31-K32-K34)*$C$35)/(SUM('MDA1:NCA9'!K$37)-SUM('MDA1:NCA9'!K$31)-SUM('MDA1:NCA9'!K$32)-SUM('MDA1:NCA9'!K$34))</f>
        <v>99243.701728697648</v>
      </c>
      <c r="L49" s="12">
        <f>'Corp.'!L$50*(L$37-(L31-L32-L34)*$C$35)/(SUM('MDA1:NCA9'!L$37)-SUM('MDA1:NCA9'!L$31)-SUM('MDA1:NCA9'!L$32)-SUM('MDA1:NCA9'!L$34))</f>
        <v>93939.666339476942</v>
      </c>
      <c r="M49" s="12">
        <f>'Corp.'!M$50*(M$37-(M31-M32-M34)*$C$35)/(SUM('MDA1:NCA9'!M$37)-SUM('MDA1:NCA9'!M$31)-SUM('MDA1:NCA9'!M$32)-SUM('MDA1:NCA9'!M$34))</f>
        <v>88233.166149207143</v>
      </c>
      <c r="N49" s="12">
        <f>'Corp.'!N$50*(N$37-(N31-N32-N34)*$C$35)/(SUM('MDA1:NCA9'!N$37)-SUM('MDA1:NCA9'!N$31)-SUM('MDA1:NCA9'!N$32)-SUM('MDA1:NCA9'!N$34))</f>
        <v>83335.827189273958</v>
      </c>
      <c r="O49" s="12">
        <f>'Corp.'!O$50*(O$37-(O31-O32-O34)*$C$35)/(SUM('MDA1:NCA9'!O$37)-SUM('MDA1:NCA9'!O$31)-SUM('MDA1:NCA9'!O$32)-SUM('MDA1:NCA9'!O$34))</f>
        <v>78197.866885606665</v>
      </c>
      <c r="P49" s="12">
        <f>'Corp.'!P$50*(P$37-(P31-P32-P34)*$C$35)/(SUM('MDA1:NCA9'!P$37)-SUM('MDA1:NCA9'!P$31)-SUM('MDA1:NCA9'!P$32)-SUM('MDA1:NCA9'!P$34))</f>
        <v>73989.041915465248</v>
      </c>
      <c r="Q49" s="12">
        <f>'Corp.'!Q$50*(Q$37-(Q31-Q32-Q34)*$C$35)/(SUM('MDA1:NCA9'!Q$37)-SUM('MDA1:NCA9'!Q$31)-SUM('MDA1:NCA9'!Q$32)-SUM('MDA1:NCA9'!Q$34))</f>
        <v>77337.923077566316</v>
      </c>
      <c r="R49" s="12">
        <f>'Corp.'!R$50*(R$37-(R31-R32-R34)*$C$35)/(SUM('MDA1:NCA9'!R$37)-SUM('MDA1:NCA9'!R$31)-SUM('MDA1:NCA9'!R$32)-SUM('MDA1:NCA9'!R$34))</f>
        <v>74556.563596460328</v>
      </c>
      <c r="S49" s="12">
        <f>'Corp.'!S$50*(S$37-(S31-S32-S34)*$C$35)/(SUM('MDA1:NCA9'!S$37)-SUM('MDA1:NCA9'!S$31)-SUM('MDA1:NCA9'!S$32)-SUM('MDA1:NCA9'!S$34))</f>
        <v>71477.697380368903</v>
      </c>
      <c r="T49" s="12">
        <f>'Corp.'!T$50*(T$37-(T31-T32-T34)*$C$35)/(SUM('MDA1:NCA9'!T$37)-SUM('MDA1:NCA9'!T$31)-SUM('MDA1:NCA9'!T$32)-SUM('MDA1:NCA9'!T$34))</f>
        <v>68881.5605536847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486476.65061932959</v>
      </c>
      <c r="F50" s="13">
        <v>520408.36788936018</v>
      </c>
      <c r="G50" s="13">
        <v>539599.23116577941</v>
      </c>
      <c r="H50" s="13">
        <v>562077.60753429064</v>
      </c>
      <c r="I50" s="13">
        <v>555364.95243708231</v>
      </c>
      <c r="J50" s="13">
        <v>548231.85338722635</v>
      </c>
      <c r="K50" s="13">
        <v>539998.66146474367</v>
      </c>
      <c r="L50" s="13">
        <v>535091.05940885632</v>
      </c>
      <c r="M50" s="13">
        <v>529616.42588525312</v>
      </c>
      <c r="N50" s="13">
        <v>525015.3535919867</v>
      </c>
      <c r="O50" s="13">
        <v>520273.8266216527</v>
      </c>
      <c r="P50" s="13">
        <v>516229.56831817795</v>
      </c>
      <c r="Q50" s="13">
        <v>559554.69095388358</v>
      </c>
      <c r="R50" s="13">
        <v>557098.10480611096</v>
      </c>
      <c r="S50" s="13">
        <v>554383.35525668622</v>
      </c>
      <c r="T50" s="13">
        <v>552111.9917633353</v>
      </c>
      <c r="U50" s="13">
        <v>550665.22068569076</v>
      </c>
      <c r="V50" s="13">
        <v>549227.55797669967</v>
      </c>
      <c r="W50" s="13">
        <v>547337.39775367128</v>
      </c>
      <c r="X50" s="13">
        <v>545441.71082548692</v>
      </c>
      <c r="Y50" s="13">
        <v>544213.42153321498</v>
      </c>
      <c r="Z50" s="13">
        <v>542984.45231213525</v>
      </c>
      <c r="AA50" s="13">
        <v>541709.85742915387</v>
      </c>
      <c r="AB50" s="13">
        <v>540464.01319443597</v>
      </c>
      <c r="AC50" s="13">
        <v>588790.26976163848</v>
      </c>
      <c r="AD50" s="13">
        <v>587844.71651836007</v>
      </c>
      <c r="AE50" s="13">
        <v>586949.54814649362</v>
      </c>
      <c r="AF50" s="13">
        <v>586107.76772515662</v>
      </c>
      <c r="AG50" s="13">
        <v>585437.40994760941</v>
      </c>
      <c r="AH50" s="13">
        <v>584548.6839211561</v>
      </c>
      <c r="AI50" s="13">
        <v>583627.28439426317</v>
      </c>
      <c r="AJ50" s="13">
        <v>582676.09756108862</v>
      </c>
      <c r="AK50" s="13">
        <v>581797.48868343479</v>
      </c>
      <c r="AL50" s="13">
        <v>580989.87101703102</v>
      </c>
      <c r="AM50" s="13">
        <v>580119.09061310731</v>
      </c>
      <c r="AN50" s="13">
        <v>579377.97092856572</v>
      </c>
    </row>
    <row r="52" spans="2:40" x14ac:dyDescent="0.25">
      <c r="B52" s="1" t="s">
        <v>50</v>
      </c>
      <c r="E52" s="74">
        <f>E37-E50</f>
        <v>13946.691274003708</v>
      </c>
      <c r="F52" s="74">
        <f t="shared" ref="F52:AN52" si="0">F37-F50</f>
        <v>41643.519710639725</v>
      </c>
      <c r="G52" s="74">
        <f t="shared" si="0"/>
        <v>68674.065714220516</v>
      </c>
      <c r="H52" s="74">
        <f t="shared" si="0"/>
        <v>107824.23505237594</v>
      </c>
      <c r="I52" s="74">
        <f t="shared" si="0"/>
        <v>114536.89014958427</v>
      </c>
      <c r="J52" s="74">
        <f t="shared" si="0"/>
        <v>121669.98919944023</v>
      </c>
      <c r="K52" s="74">
        <f t="shared" si="0"/>
        <v>129903.18112192291</v>
      </c>
      <c r="L52" s="74">
        <f t="shared" si="0"/>
        <v>134810.78317781026</v>
      </c>
      <c r="M52" s="74">
        <f t="shared" si="0"/>
        <v>140285.41670141346</v>
      </c>
      <c r="N52" s="74">
        <f t="shared" si="0"/>
        <v>144886.48899467988</v>
      </c>
      <c r="O52" s="74">
        <f t="shared" si="0"/>
        <v>149628.01596501388</v>
      </c>
      <c r="P52" s="74">
        <f t="shared" si="0"/>
        <v>153672.27426848863</v>
      </c>
      <c r="Q52" s="74">
        <f t="shared" si="0"/>
        <v>130444.20691038296</v>
      </c>
      <c r="R52" s="74">
        <f t="shared" si="0"/>
        <v>132900.79305815557</v>
      </c>
      <c r="S52" s="74">
        <f t="shared" si="0"/>
        <v>135615.54260758031</v>
      </c>
      <c r="T52" s="74">
        <f t="shared" si="0"/>
        <v>137886.90610093123</v>
      </c>
      <c r="U52" s="74">
        <f t="shared" si="0"/>
        <v>139333.67717857577</v>
      </c>
      <c r="V52" s="74">
        <f t="shared" si="0"/>
        <v>140771.33988756686</v>
      </c>
      <c r="W52" s="74">
        <f t="shared" si="0"/>
        <v>142661.50011059525</v>
      </c>
      <c r="X52" s="74">
        <f t="shared" si="0"/>
        <v>144557.18703877961</v>
      </c>
      <c r="Y52" s="74">
        <f t="shared" si="0"/>
        <v>145785.47633105156</v>
      </c>
      <c r="Z52" s="74">
        <f t="shared" si="0"/>
        <v>147014.44555213128</v>
      </c>
      <c r="AA52" s="74">
        <f t="shared" si="0"/>
        <v>148289.04043511266</v>
      </c>
      <c r="AB52" s="74">
        <f t="shared" si="0"/>
        <v>149534.88466983056</v>
      </c>
      <c r="AC52" s="74">
        <f t="shared" si="0"/>
        <v>101208.62810262805</v>
      </c>
      <c r="AD52" s="74">
        <f t="shared" si="0"/>
        <v>102154.18134590646</v>
      </c>
      <c r="AE52" s="74">
        <f t="shared" si="0"/>
        <v>103049.34971777292</v>
      </c>
      <c r="AF52" s="74">
        <f t="shared" si="0"/>
        <v>103891.13013910991</v>
      </c>
      <c r="AG52" s="74">
        <f t="shared" si="0"/>
        <v>104561.48791665712</v>
      </c>
      <c r="AH52" s="74">
        <f t="shared" si="0"/>
        <v>105450.21394311043</v>
      </c>
      <c r="AI52" s="74">
        <f t="shared" si="0"/>
        <v>106371.61347000336</v>
      </c>
      <c r="AJ52" s="74">
        <f t="shared" si="0"/>
        <v>107322.80030317791</v>
      </c>
      <c r="AK52" s="74">
        <f t="shared" si="0"/>
        <v>108201.40918083175</v>
      </c>
      <c r="AL52" s="74">
        <f t="shared" si="0"/>
        <v>109009.02684723551</v>
      </c>
      <c r="AM52" s="74">
        <f t="shared" si="0"/>
        <v>109879.80725115922</v>
      </c>
      <c r="AN52" s="74">
        <f t="shared" si="0"/>
        <v>110620.92693570082</v>
      </c>
    </row>
    <row r="53" spans="2:40" x14ac:dyDescent="0.25">
      <c r="E53" s="107">
        <f>IFERROR(E52/E37,"")</f>
        <v>2.786978565235769E-2</v>
      </c>
      <c r="F53" s="107">
        <f t="shared" ref="F53:AN53" si="1">IFERROR(F52/F37,"")</f>
        <v>7.4091948856288711E-2</v>
      </c>
      <c r="G53" s="107">
        <f t="shared" si="1"/>
        <v>0.11290001725617183</v>
      </c>
      <c r="H53" s="107">
        <f t="shared" si="1"/>
        <v>0.1609552746355172</v>
      </c>
      <c r="I53" s="107">
        <f t="shared" si="1"/>
        <v>0.17097563085858566</v>
      </c>
      <c r="J53" s="107">
        <f t="shared" si="1"/>
        <v>0.18162360731781318</v>
      </c>
      <c r="K53" s="107">
        <f t="shared" si="1"/>
        <v>0.19391375402153349</v>
      </c>
      <c r="L53" s="107">
        <f t="shared" si="1"/>
        <v>0.20123960647319686</v>
      </c>
      <c r="M53" s="107">
        <f t="shared" si="1"/>
        <v>0.20941189855477141</v>
      </c>
      <c r="N53" s="107">
        <f t="shared" si="1"/>
        <v>0.21628017686178497</v>
      </c>
      <c r="O53" s="107">
        <f t="shared" si="1"/>
        <v>0.22335811973178174</v>
      </c>
      <c r="P53" s="107">
        <f t="shared" si="1"/>
        <v>0.22939521061043766</v>
      </c>
      <c r="Q53" s="107">
        <f t="shared" si="1"/>
        <v>0.18904987720146091</v>
      </c>
      <c r="R53" s="107">
        <f t="shared" si="1"/>
        <v>0.19261015266766299</v>
      </c>
      <c r="S53" s="107">
        <f t="shared" si="1"/>
        <v>0.19654457858896174</v>
      </c>
      <c r="T53" s="107">
        <f t="shared" si="1"/>
        <v>0.19983641499678992</v>
      </c>
      <c r="U53" s="107">
        <f t="shared" si="1"/>
        <v>0.20193318802370736</v>
      </c>
      <c r="V53" s="107">
        <f t="shared" si="1"/>
        <v>0.20401676049525919</v>
      </c>
      <c r="W53" s="107">
        <f t="shared" si="1"/>
        <v>0.20675612751291522</v>
      </c>
      <c r="X53" s="107">
        <f t="shared" si="1"/>
        <v>0.20950350426098252</v>
      </c>
      <c r="Y53" s="107">
        <f t="shared" si="1"/>
        <v>0.21128363651347429</v>
      </c>
      <c r="Z53" s="107">
        <f t="shared" si="1"/>
        <v>0.21306475417160928</v>
      </c>
      <c r="AA53" s="107">
        <f t="shared" si="1"/>
        <v>0.21491199608304798</v>
      </c>
      <c r="AB53" s="107">
        <f t="shared" si="1"/>
        <v>0.21671757032175201</v>
      </c>
      <c r="AC53" s="107">
        <f t="shared" si="1"/>
        <v>0.14667940545397415</v>
      </c>
      <c r="AD53" s="107">
        <f t="shared" si="1"/>
        <v>0.14804977466210645</v>
      </c>
      <c r="AE53" s="107">
        <f t="shared" si="1"/>
        <v>0.14934712220083041</v>
      </c>
      <c r="AF53" s="107">
        <f t="shared" si="1"/>
        <v>0.15056709577461805</v>
      </c>
      <c r="AG53" s="107">
        <f t="shared" si="1"/>
        <v>0.1515386303373864</v>
      </c>
      <c r="AH53" s="107">
        <f t="shared" si="1"/>
        <v>0.15282664112871397</v>
      </c>
      <c r="AI53" s="107">
        <f t="shared" si="1"/>
        <v>0.15416200489486623</v>
      </c>
      <c r="AJ53" s="107">
        <f t="shared" si="1"/>
        <v>0.15554053873907775</v>
      </c>
      <c r="AK53" s="107">
        <f t="shared" si="1"/>
        <v>0.15681388697249288</v>
      </c>
      <c r="AL53" s="107">
        <f t="shared" si="1"/>
        <v>0.15798434922816249</v>
      </c>
      <c r="AM53" s="107">
        <f t="shared" si="1"/>
        <v>0.15924635182935362</v>
      </c>
      <c r="AN53" s="107">
        <f t="shared" si="1"/>
        <v>0.16032044004432841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1411000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-75063.501283999998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-75063.501283999998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-75063.501283999998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-75063.501283999998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-75063.501283999998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-75063.501283999998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-84307.783139999985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-91240.994531999982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-61116.81000999629</v>
      </c>
      <c r="F58" s="13">
        <f t="shared" ref="F58:AN58" si="2">F37-F50-F55+F56</f>
        <v>-33419.981573360274</v>
      </c>
      <c r="G58" s="13">
        <f t="shared" si="2"/>
        <v>-6389.4355697794817</v>
      </c>
      <c r="H58" s="13">
        <f t="shared" si="2"/>
        <v>32760.73376837594</v>
      </c>
      <c r="I58" s="13">
        <f t="shared" si="2"/>
        <v>39473.388865584275</v>
      </c>
      <c r="J58" s="13">
        <f t="shared" si="2"/>
        <v>46606.48791544023</v>
      </c>
      <c r="K58" s="13">
        <f t="shared" si="2"/>
        <v>45595.397981922928</v>
      </c>
      <c r="L58" s="13">
        <f t="shared" si="2"/>
        <v>43569.788645810273</v>
      </c>
      <c r="M58" s="13">
        <f t="shared" si="2"/>
        <v>39800.140313413474</v>
      </c>
      <c r="N58" s="13">
        <f t="shared" si="2"/>
        <v>44401.212606679896</v>
      </c>
      <c r="O58" s="13">
        <f t="shared" si="2"/>
        <v>49142.739577013897</v>
      </c>
      <c r="P58" s="13">
        <f t="shared" si="2"/>
        <v>53186.997880488649</v>
      </c>
      <c r="Q58" s="13">
        <f t="shared" si="2"/>
        <v>29958.930522382972</v>
      </c>
      <c r="R58" s="13">
        <f t="shared" si="2"/>
        <v>32415.516670155586</v>
      </c>
      <c r="S58" s="13">
        <f t="shared" si="2"/>
        <v>35130.266219580328</v>
      </c>
      <c r="T58" s="13">
        <f t="shared" si="2"/>
        <v>37401.629712931244</v>
      </c>
      <c r="U58" s="13">
        <f t="shared" si="2"/>
        <v>38848.40079057579</v>
      </c>
      <c r="V58" s="13">
        <f t="shared" si="2"/>
        <v>37271.505207926893</v>
      </c>
      <c r="W58" s="13">
        <f t="shared" si="2"/>
        <v>39161.665430955283</v>
      </c>
      <c r="X58" s="13">
        <f t="shared" si="2"/>
        <v>41057.352359139637</v>
      </c>
      <c r="Y58" s="13">
        <f t="shared" si="2"/>
        <v>42285.641651411584</v>
      </c>
      <c r="Z58" s="13">
        <f t="shared" si="2"/>
        <v>43514.610872491307</v>
      </c>
      <c r="AA58" s="13">
        <f t="shared" si="2"/>
        <v>44789.205755472693</v>
      </c>
      <c r="AB58" s="13">
        <f t="shared" si="2"/>
        <v>46035.049990190586</v>
      </c>
      <c r="AC58" s="13">
        <f t="shared" si="2"/>
        <v>-2291.2065770119225</v>
      </c>
      <c r="AD58" s="13">
        <f t="shared" si="2"/>
        <v>-1345.6533337335131</v>
      </c>
      <c r="AE58" s="13">
        <f t="shared" si="2"/>
        <v>-450.48496186705597</v>
      </c>
      <c r="AF58" s="13">
        <f t="shared" si="2"/>
        <v>391.2954594699404</v>
      </c>
      <c r="AG58" s="13">
        <f t="shared" si="2"/>
        <v>1061.6532370171481</v>
      </c>
      <c r="AH58" s="13">
        <f t="shared" si="2"/>
        <v>1950.3792634704587</v>
      </c>
      <c r="AI58" s="13">
        <f t="shared" si="2"/>
        <v>2871.7787903633871</v>
      </c>
      <c r="AJ58" s="13">
        <f t="shared" si="2"/>
        <v>3822.9656235379371</v>
      </c>
      <c r="AK58" s="13">
        <f t="shared" si="2"/>
        <v>4701.5745011917752</v>
      </c>
      <c r="AL58" s="13">
        <f t="shared" si="2"/>
        <v>5509.1921675955382</v>
      </c>
      <c r="AM58" s="13">
        <f t="shared" si="2"/>
        <v>6379.9725715192471</v>
      </c>
      <c r="AN58" s="13">
        <f t="shared" si="2"/>
        <v>7121.0922560608451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-1472116.8100099964</v>
      </c>
      <c r="F59" s="12">
        <v>-1505536.7915833567</v>
      </c>
      <c r="G59" s="12">
        <v>-1511926.2271531362</v>
      </c>
      <c r="H59" s="12">
        <v>-1479165.4933847603</v>
      </c>
      <c r="I59" s="12">
        <v>-1439692.1045191761</v>
      </c>
      <c r="J59" s="12">
        <v>-1393085.6166037358</v>
      </c>
      <c r="K59" s="12">
        <v>-1347490.218621813</v>
      </c>
      <c r="L59" s="12">
        <v>-1303920.4299760028</v>
      </c>
      <c r="M59" s="12">
        <v>-1264120.2896625893</v>
      </c>
      <c r="N59" s="12">
        <v>-1219719.0770559094</v>
      </c>
      <c r="O59" s="12">
        <v>-1170576.3374788954</v>
      </c>
      <c r="P59" s="12">
        <v>-1117389.3395984068</v>
      </c>
      <c r="Q59" s="12">
        <v>-1087430.4090760238</v>
      </c>
      <c r="R59" s="12">
        <v>-1055014.8924058683</v>
      </c>
      <c r="S59" s="12">
        <v>-1019884.626186288</v>
      </c>
      <c r="T59" s="12">
        <v>-982482.99647335673</v>
      </c>
      <c r="U59" s="12">
        <v>-943634.59568278096</v>
      </c>
      <c r="V59" s="12">
        <v>-906363.09047485411</v>
      </c>
      <c r="W59" s="12">
        <v>-867201.42504389887</v>
      </c>
      <c r="X59" s="12">
        <v>-826144.07268475927</v>
      </c>
      <c r="Y59" s="12">
        <v>-783858.43103334773</v>
      </c>
      <c r="Z59" s="12">
        <v>-740343.82016085647</v>
      </c>
      <c r="AA59" s="12">
        <v>-695554.61440538382</v>
      </c>
      <c r="AB59" s="12">
        <v>-649519.56441519328</v>
      </c>
      <c r="AC59" s="12">
        <v>-651810.77099220525</v>
      </c>
      <c r="AD59" s="12">
        <v>-653156.4243259388</v>
      </c>
      <c r="AE59" s="12">
        <v>-653606.9092878059</v>
      </c>
      <c r="AF59" s="12">
        <v>-653215.61382833601</v>
      </c>
      <c r="AG59" s="12">
        <v>-652153.9605913189</v>
      </c>
      <c r="AH59" s="12">
        <v>-650203.58132784849</v>
      </c>
      <c r="AI59" s="12">
        <v>-647331.80253748514</v>
      </c>
      <c r="AJ59" s="12">
        <v>-643508.83691394725</v>
      </c>
      <c r="AK59" s="12">
        <v>-638807.26241275552</v>
      </c>
      <c r="AL59" s="12">
        <v>-633298.07024516002</v>
      </c>
      <c r="AM59" s="12">
        <v>-626918.09767364082</v>
      </c>
      <c r="AN59" s="12">
        <v>-619797.00541758002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29840.872158056958</v>
      </c>
      <c r="F63" s="12">
        <v>33691.307275225598</v>
      </c>
      <c r="G63" s="12">
        <v>36579.13361310208</v>
      </c>
      <c r="H63" s="12">
        <v>40429.568730270716</v>
      </c>
      <c r="I63" s="12">
        <v>40429.568730270716</v>
      </c>
      <c r="J63" s="12">
        <v>40429.568730270716</v>
      </c>
      <c r="K63" s="12">
        <v>40429.568730270716</v>
      </c>
      <c r="L63" s="12">
        <v>40429.568730270716</v>
      </c>
      <c r="M63" s="12">
        <v>40429.568730270716</v>
      </c>
      <c r="N63" s="12">
        <v>40429.568730270716</v>
      </c>
      <c r="O63" s="12">
        <v>40429.568730270716</v>
      </c>
      <c r="P63" s="12">
        <v>40429.568730270716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3987.3364974643214</v>
      </c>
      <c r="F64" s="12">
        <v>4501.831529395201</v>
      </c>
      <c r="G64" s="12">
        <v>4887.7028033433608</v>
      </c>
      <c r="H64" s="12">
        <v>5402.1978352742408</v>
      </c>
      <c r="I64" s="12">
        <v>5402.1978352742408</v>
      </c>
      <c r="J64" s="12">
        <v>5402.1978352742408</v>
      </c>
      <c r="K64" s="12">
        <v>5402.1978352742408</v>
      </c>
      <c r="L64" s="12">
        <v>5402.1978352742408</v>
      </c>
      <c r="M64" s="12">
        <v>5402.1978352742408</v>
      </c>
      <c r="N64" s="12">
        <v>5402.1978352742408</v>
      </c>
      <c r="O64" s="12">
        <v>5402.1978352742408</v>
      </c>
      <c r="P64" s="12">
        <v>5402.1978352742408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24249.74633745664</v>
      </c>
      <c r="F65" s="12">
        <v>27378.745864870401</v>
      </c>
      <c r="G65" s="12">
        <v>29725.495510430719</v>
      </c>
      <c r="H65" s="12">
        <v>32854.49503784447</v>
      </c>
      <c r="I65" s="12">
        <v>32854.49503784447</v>
      </c>
      <c r="J65" s="12">
        <v>32854.49503784447</v>
      </c>
      <c r="K65" s="12">
        <v>32854.49503784447</v>
      </c>
      <c r="L65" s="12">
        <v>32854.49503784447</v>
      </c>
      <c r="M65" s="12">
        <v>32854.49503784447</v>
      </c>
      <c r="N65" s="12">
        <v>32854.49503784447</v>
      </c>
      <c r="O65" s="12">
        <v>32854.49503784447</v>
      </c>
      <c r="P65" s="12">
        <v>32854.49503784447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58077.954992977917</v>
      </c>
      <c r="F67" s="13">
        <v>65571.884669491206</v>
      </c>
      <c r="G67" s="13">
        <v>71192.331926876155</v>
      </c>
      <c r="H67" s="13">
        <v>78686.26160338943</v>
      </c>
      <c r="I67" s="13">
        <v>78686.26160338943</v>
      </c>
      <c r="J67" s="13">
        <v>78686.26160338943</v>
      </c>
      <c r="K67" s="13">
        <v>78686.26160338943</v>
      </c>
      <c r="L67" s="13">
        <v>78686.26160338943</v>
      </c>
      <c r="M67" s="13">
        <v>78686.26160338943</v>
      </c>
      <c r="N67" s="13">
        <v>78686.26160338943</v>
      </c>
      <c r="O67" s="13">
        <v>78686.26160338943</v>
      </c>
      <c r="P67" s="13">
        <v>78686.26160338943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1</v>
      </c>
      <c r="F69" s="108">
        <v>1</v>
      </c>
      <c r="G69" s="108">
        <v>1</v>
      </c>
      <c r="H69" s="108">
        <v>1</v>
      </c>
      <c r="I69" s="108">
        <v>1</v>
      </c>
      <c r="J69" s="108">
        <v>1</v>
      </c>
      <c r="K69" s="108">
        <v>1</v>
      </c>
      <c r="L69" s="108">
        <v>1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1</v>
      </c>
      <c r="F70" s="108">
        <v>1</v>
      </c>
      <c r="G70" s="108">
        <v>1</v>
      </c>
      <c r="H70" s="108">
        <v>1</v>
      </c>
      <c r="I70" s="108">
        <v>1</v>
      </c>
      <c r="J70" s="108">
        <v>1</v>
      </c>
      <c r="K70" s="108">
        <v>1</v>
      </c>
      <c r="L70" s="108">
        <v>1</v>
      </c>
      <c r="M70" s="108">
        <v>1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34111.347303589566</v>
      </c>
      <c r="F72" s="12">
        <v>34950.488891149507</v>
      </c>
      <c r="G72" s="12">
        <v>35579.845081819469</v>
      </c>
      <c r="H72" s="12">
        <v>36418.98666937941</v>
      </c>
      <c r="I72" s="12">
        <v>36418.98666937941</v>
      </c>
      <c r="J72" s="12">
        <v>36418.98666937941</v>
      </c>
      <c r="K72" s="12">
        <v>36418.98666937941</v>
      </c>
      <c r="L72" s="12">
        <v>36418.98666937941</v>
      </c>
      <c r="M72" s="12">
        <v>36418.98666937941</v>
      </c>
      <c r="N72" s="12">
        <v>36418.98666937941</v>
      </c>
      <c r="O72" s="12">
        <v>36418.98666937941</v>
      </c>
      <c r="P72" s="12">
        <v>36418.98666937941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23966.607689388351</v>
      </c>
      <c r="F75" s="74">
        <v>30621.395778341699</v>
      </c>
      <c r="G75" s="74">
        <v>35612.486845056686</v>
      </c>
      <c r="H75" s="74">
        <v>42267.27493401002</v>
      </c>
      <c r="I75" s="74">
        <v>42267.27493401002</v>
      </c>
      <c r="J75" s="74">
        <v>42267.27493401002</v>
      </c>
      <c r="K75" s="74">
        <v>42267.27493401002</v>
      </c>
      <c r="L75" s="74">
        <v>42267.27493401002</v>
      </c>
      <c r="M75" s="74">
        <v>42267.27493401002</v>
      </c>
      <c r="N75" s="74">
        <v>42267.27493401002</v>
      </c>
      <c r="O75" s="74">
        <v>42267.27493401002</v>
      </c>
      <c r="P75" s="74">
        <v>42267.27493401002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020E-FFC8-457F-837B-B2A0A3E9322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496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18</v>
      </c>
      <c r="F1" s="69">
        <v>20</v>
      </c>
      <c r="G1" s="69">
        <v>22</v>
      </c>
      <c r="H1" s="69">
        <v>24</v>
      </c>
      <c r="I1" s="69">
        <v>24</v>
      </c>
      <c r="J1" s="69">
        <v>24</v>
      </c>
      <c r="K1" s="69">
        <v>24</v>
      </c>
      <c r="L1" s="69">
        <v>24</v>
      </c>
      <c r="M1" s="69">
        <v>24</v>
      </c>
      <c r="N1" s="69">
        <v>24</v>
      </c>
      <c r="O1" s="69">
        <v>24</v>
      </c>
      <c r="P1" s="69">
        <v>24</v>
      </c>
      <c r="Q1" s="69">
        <v>24</v>
      </c>
      <c r="R1" s="69">
        <v>24</v>
      </c>
      <c r="S1" s="69">
        <v>24</v>
      </c>
      <c r="T1" s="69">
        <v>24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3.333333333333333</v>
      </c>
      <c r="F2" s="69">
        <v>3.5</v>
      </c>
      <c r="G2" s="69">
        <v>3.666666666666667</v>
      </c>
      <c r="H2" s="69">
        <v>1.8333333333333333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21.333333333333332</v>
      </c>
      <c r="F4" s="69">
        <v>23.5</v>
      </c>
      <c r="G4" s="69">
        <v>25.666666666666668</v>
      </c>
      <c r="H4" s="69">
        <v>25.833333333333332</v>
      </c>
      <c r="I4" s="69">
        <v>26</v>
      </c>
      <c r="J4" s="69">
        <v>26</v>
      </c>
      <c r="K4" s="69">
        <v>26</v>
      </c>
      <c r="L4" s="69">
        <v>26</v>
      </c>
      <c r="M4" s="69">
        <v>26</v>
      </c>
      <c r="N4" s="69">
        <v>26</v>
      </c>
      <c r="O4" s="69">
        <v>26</v>
      </c>
      <c r="P4" s="69">
        <v>26</v>
      </c>
      <c r="Q4" s="69">
        <v>26</v>
      </c>
      <c r="R4" s="69">
        <v>26</v>
      </c>
      <c r="S4" s="69">
        <v>26</v>
      </c>
      <c r="T4" s="69">
        <v>26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13</v>
      </c>
      <c r="F6" s="66">
        <v>14</v>
      </c>
      <c r="G6" s="66">
        <v>15</v>
      </c>
      <c r="H6" s="66">
        <v>16</v>
      </c>
      <c r="I6" s="66">
        <v>16</v>
      </c>
      <c r="J6" s="66">
        <v>16</v>
      </c>
      <c r="K6" s="66">
        <v>16</v>
      </c>
      <c r="L6" s="66">
        <v>16</v>
      </c>
      <c r="M6" s="66">
        <v>16</v>
      </c>
      <c r="N6" s="66">
        <v>16</v>
      </c>
      <c r="O6" s="66">
        <v>16</v>
      </c>
      <c r="P6" s="66">
        <v>16</v>
      </c>
      <c r="Q6" s="66">
        <v>16</v>
      </c>
      <c r="R6" s="66">
        <v>16</v>
      </c>
      <c r="S6" s="66">
        <v>16</v>
      </c>
      <c r="T6" s="66">
        <v>16</v>
      </c>
      <c r="U6" s="66">
        <v>16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8.1199999999999992</v>
      </c>
      <c r="F7" s="108">
        <v>9.02</v>
      </c>
      <c r="G7" s="108">
        <v>9.93</v>
      </c>
      <c r="H7" s="108">
        <v>10.83</v>
      </c>
      <c r="I7" s="108">
        <v>10.83</v>
      </c>
      <c r="J7" s="108">
        <v>10.83</v>
      </c>
      <c r="K7" s="108">
        <v>10.83</v>
      </c>
      <c r="L7" s="108">
        <v>10.83</v>
      </c>
      <c r="M7" s="108">
        <v>10.83</v>
      </c>
      <c r="N7" s="108">
        <v>10.83</v>
      </c>
      <c r="O7" s="108">
        <v>10.83</v>
      </c>
      <c r="P7" s="108">
        <v>10.83</v>
      </c>
      <c r="Q7" s="108">
        <v>10.83</v>
      </c>
      <c r="R7" s="108">
        <v>10.83</v>
      </c>
      <c r="S7" s="108">
        <v>10.83</v>
      </c>
      <c r="T7" s="108">
        <v>10.83</v>
      </c>
      <c r="U7" s="108">
        <v>10.83</v>
      </c>
      <c r="V7" s="108">
        <v>10.83</v>
      </c>
      <c r="W7" s="108">
        <v>10.83</v>
      </c>
      <c r="X7" s="108">
        <v>10.83</v>
      </c>
      <c r="Y7" s="108">
        <v>10.83</v>
      </c>
      <c r="Z7" s="108">
        <v>10.83</v>
      </c>
      <c r="AA7" s="108">
        <v>10.83</v>
      </c>
      <c r="AB7" s="108">
        <v>10.83</v>
      </c>
      <c r="AC7" s="108">
        <v>10.83</v>
      </c>
      <c r="AD7" s="108">
        <v>10.83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1.64</v>
      </c>
      <c r="F8" s="108">
        <v>1.82</v>
      </c>
      <c r="G8" s="108">
        <v>2</v>
      </c>
      <c r="H8" s="108">
        <v>2.19</v>
      </c>
      <c r="I8" s="108">
        <v>2.19</v>
      </c>
      <c r="J8" s="108">
        <v>2.19</v>
      </c>
      <c r="K8" s="108">
        <v>2.19</v>
      </c>
      <c r="L8" s="108">
        <v>2.19</v>
      </c>
      <c r="M8" s="108">
        <v>2.19</v>
      </c>
      <c r="N8" s="108">
        <v>2.19</v>
      </c>
      <c r="O8" s="108">
        <v>2.19</v>
      </c>
      <c r="P8" s="108">
        <v>2.19</v>
      </c>
      <c r="Q8" s="108">
        <v>2.19</v>
      </c>
      <c r="R8" s="108">
        <v>2.19</v>
      </c>
      <c r="S8" s="108">
        <v>2.19</v>
      </c>
      <c r="T8" s="108">
        <v>2.19</v>
      </c>
      <c r="U8" s="108">
        <v>2.19</v>
      </c>
      <c r="V8" s="108">
        <v>2.19</v>
      </c>
      <c r="W8" s="108">
        <v>2.19</v>
      </c>
      <c r="X8" s="108">
        <v>2.19</v>
      </c>
      <c r="Y8" s="108">
        <v>2.19</v>
      </c>
      <c r="Z8" s="108">
        <v>2.19</v>
      </c>
      <c r="AA8" s="108">
        <v>2.19</v>
      </c>
      <c r="AB8" s="108">
        <v>2.19</v>
      </c>
      <c r="AC8" s="108">
        <v>2.19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1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0.26</v>
      </c>
      <c r="F12" s="108">
        <v>0.27</v>
      </c>
      <c r="G12" s="108">
        <v>0.29000000000000004</v>
      </c>
      <c r="H12" s="108">
        <v>0.15000000000000002</v>
      </c>
      <c r="I12" s="108">
        <v>0.16</v>
      </c>
      <c r="J12" s="108">
        <v>0.16</v>
      </c>
      <c r="K12" s="108">
        <v>0.16</v>
      </c>
      <c r="L12" s="108">
        <v>0.16</v>
      </c>
      <c r="M12" s="108">
        <v>0.16</v>
      </c>
      <c r="N12" s="108">
        <v>0.16</v>
      </c>
      <c r="O12" s="108">
        <v>0.16</v>
      </c>
      <c r="P12" s="108">
        <v>0.16</v>
      </c>
      <c r="Q12" s="108">
        <v>0.16</v>
      </c>
      <c r="R12" s="108">
        <v>0.16</v>
      </c>
      <c r="S12" s="108">
        <v>0.16</v>
      </c>
      <c r="T12" s="108">
        <v>0.16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0.44</v>
      </c>
      <c r="F13" s="108">
        <v>0.46</v>
      </c>
      <c r="G13" s="108">
        <v>0.49</v>
      </c>
      <c r="H13" s="108">
        <v>0.32</v>
      </c>
      <c r="I13" s="108">
        <v>0.34</v>
      </c>
      <c r="J13" s="108">
        <v>0.34</v>
      </c>
      <c r="K13" s="108">
        <v>0.34</v>
      </c>
      <c r="L13" s="108">
        <v>0.34</v>
      </c>
      <c r="M13" s="108">
        <v>0.34</v>
      </c>
      <c r="N13" s="108">
        <v>0.34</v>
      </c>
      <c r="O13" s="108">
        <v>0.34</v>
      </c>
      <c r="P13" s="108">
        <v>0.34</v>
      </c>
      <c r="Q13" s="108">
        <v>0.34</v>
      </c>
      <c r="R13" s="108">
        <v>0.34</v>
      </c>
      <c r="S13" s="108">
        <v>0.34</v>
      </c>
      <c r="T13" s="108">
        <v>0.34</v>
      </c>
      <c r="U13" s="108">
        <v>0.34</v>
      </c>
      <c r="V13" s="108">
        <v>0.34</v>
      </c>
      <c r="W13" s="108">
        <v>0.34</v>
      </c>
      <c r="X13" s="108">
        <v>0.34</v>
      </c>
      <c r="Y13" s="108">
        <v>0.34</v>
      </c>
      <c r="Z13" s="108">
        <v>0.34</v>
      </c>
      <c r="AA13" s="108">
        <v>0.34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0.27</v>
      </c>
      <c r="F14" s="108">
        <v>0.29000000000000004</v>
      </c>
      <c r="G14" s="108">
        <v>0.31</v>
      </c>
      <c r="H14" s="108">
        <v>0.23</v>
      </c>
      <c r="I14" s="108">
        <v>0.24000000000000002</v>
      </c>
      <c r="J14" s="108">
        <v>0.24000000000000002</v>
      </c>
      <c r="K14" s="108">
        <v>0.24000000000000002</v>
      </c>
      <c r="L14" s="108">
        <v>0.24000000000000002</v>
      </c>
      <c r="M14" s="108">
        <v>0.24000000000000002</v>
      </c>
      <c r="N14" s="108">
        <v>0.24000000000000002</v>
      </c>
      <c r="O14" s="108">
        <v>0.24000000000000002</v>
      </c>
      <c r="P14" s="108">
        <v>0.24000000000000002</v>
      </c>
      <c r="Q14" s="108">
        <v>0.24000000000000002</v>
      </c>
      <c r="R14" s="108">
        <v>0.24000000000000002</v>
      </c>
      <c r="S14" s="108">
        <v>0.24000000000000002</v>
      </c>
      <c r="T14" s="108">
        <v>0.24000000000000002</v>
      </c>
      <c r="U14" s="108">
        <v>0.24000000000000002</v>
      </c>
      <c r="V14" s="108">
        <v>0.24000000000000002</v>
      </c>
      <c r="W14" s="108">
        <v>0.24000000000000002</v>
      </c>
      <c r="X14" s="108">
        <v>0.24000000000000002</v>
      </c>
      <c r="Y14" s="108">
        <v>0.24000000000000002</v>
      </c>
      <c r="Z14" s="108">
        <v>0.24000000000000002</v>
      </c>
      <c r="AA14" s="108">
        <v>0.24000000000000002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0.08</v>
      </c>
      <c r="F15" s="108">
        <v>0.08</v>
      </c>
      <c r="G15" s="108">
        <v>0.09</v>
      </c>
      <c r="H15" s="108">
        <v>9.9999999999999992E-2</v>
      </c>
      <c r="I15" s="108">
        <v>9.9999999999999992E-2</v>
      </c>
      <c r="J15" s="108">
        <v>9.9999999999999992E-2</v>
      </c>
      <c r="K15" s="108">
        <v>9.9999999999999992E-2</v>
      </c>
      <c r="L15" s="108">
        <v>9.9999999999999992E-2</v>
      </c>
      <c r="M15" s="108">
        <v>9.9999999999999992E-2</v>
      </c>
      <c r="N15" s="108">
        <v>9.9999999999999992E-2</v>
      </c>
      <c r="O15" s="108">
        <v>9.9999999999999992E-2</v>
      </c>
      <c r="P15" s="108">
        <v>9.9999999999999992E-2</v>
      </c>
      <c r="Q15" s="108">
        <v>9.9999999999999992E-2</v>
      </c>
      <c r="R15" s="108">
        <v>9.9999999999999992E-2</v>
      </c>
      <c r="S15" s="108">
        <v>9.9999999999999992E-2</v>
      </c>
      <c r="T15" s="108">
        <v>9.9999999999999992E-2</v>
      </c>
      <c r="U15" s="108">
        <v>9.9999999999999992E-2</v>
      </c>
      <c r="V15" s="108">
        <v>9.9999999999999992E-2</v>
      </c>
      <c r="W15" s="108">
        <v>9.9999999999999992E-2</v>
      </c>
      <c r="X15" s="108">
        <v>9.9999999999999992E-2</v>
      </c>
      <c r="Y15" s="108">
        <v>9.9999999999999992E-2</v>
      </c>
      <c r="Z15" s="108">
        <v>9.9999999999999992E-2</v>
      </c>
      <c r="AA15" s="108">
        <v>9.9999999999999992E-2</v>
      </c>
      <c r="AB15" s="108">
        <v>9.9999999999999992E-2</v>
      </c>
      <c r="AC15" s="108">
        <v>9.9999999999999992E-2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0.08</v>
      </c>
      <c r="F16" s="108">
        <v>0.08</v>
      </c>
      <c r="G16" s="108">
        <v>0.09</v>
      </c>
      <c r="H16" s="108">
        <v>9.9999999999999992E-2</v>
      </c>
      <c r="I16" s="108">
        <v>9.9999999999999992E-2</v>
      </c>
      <c r="J16" s="108">
        <v>9.9999999999999992E-2</v>
      </c>
      <c r="K16" s="108">
        <v>9.9999999999999992E-2</v>
      </c>
      <c r="L16" s="108">
        <v>9.9999999999999992E-2</v>
      </c>
      <c r="M16" s="108">
        <v>9.9999999999999992E-2</v>
      </c>
      <c r="N16" s="108">
        <v>9.9999999999999992E-2</v>
      </c>
      <c r="O16" s="108">
        <v>9.9999999999999992E-2</v>
      </c>
      <c r="P16" s="108">
        <v>9.9999999999999992E-2</v>
      </c>
      <c r="Q16" s="108">
        <v>9.9999999999999992E-2</v>
      </c>
      <c r="R16" s="108">
        <v>9.9999999999999992E-2</v>
      </c>
      <c r="S16" s="108">
        <v>9.9999999999999992E-2</v>
      </c>
      <c r="T16" s="108">
        <v>9.9999999999999992E-2</v>
      </c>
      <c r="U16" s="108">
        <v>9.9999999999999992E-2</v>
      </c>
      <c r="V16" s="108">
        <v>9.9999999999999992E-2</v>
      </c>
      <c r="W16" s="108">
        <v>9.9999999999999992E-2</v>
      </c>
      <c r="X16" s="108">
        <v>9.9999999999999992E-2</v>
      </c>
      <c r="Y16" s="108">
        <v>9.9999999999999992E-2</v>
      </c>
      <c r="Z16" s="108">
        <v>9.9999999999999992E-2</v>
      </c>
      <c r="AA16" s="108">
        <v>9.9999999999999992E-2</v>
      </c>
      <c r="AB16" s="108">
        <v>9.9999999999999992E-2</v>
      </c>
      <c r="AC16" s="108">
        <v>9.9999999999999992E-2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10</v>
      </c>
      <c r="F21" s="120">
        <v>11</v>
      </c>
      <c r="G21" s="120">
        <v>12</v>
      </c>
      <c r="H21" s="120">
        <v>13</v>
      </c>
      <c r="I21" s="120">
        <v>13</v>
      </c>
      <c r="J21" s="120">
        <v>13</v>
      </c>
      <c r="K21" s="120">
        <v>13</v>
      </c>
      <c r="L21" s="120">
        <v>13</v>
      </c>
      <c r="M21" s="120">
        <v>13</v>
      </c>
      <c r="N21" s="120">
        <v>13</v>
      </c>
      <c r="O21" s="120">
        <v>13</v>
      </c>
      <c r="P21" s="120">
        <v>13</v>
      </c>
      <c r="Q21" s="120">
        <v>13</v>
      </c>
      <c r="R21" s="120">
        <v>13</v>
      </c>
      <c r="S21" s="120">
        <v>13</v>
      </c>
      <c r="T21" s="120">
        <v>13</v>
      </c>
      <c r="U21" s="120">
        <v>13</v>
      </c>
      <c r="V21" s="120">
        <v>13</v>
      </c>
      <c r="W21" s="120">
        <v>13</v>
      </c>
      <c r="X21" s="120">
        <v>13</v>
      </c>
      <c r="Y21" s="120">
        <v>13</v>
      </c>
      <c r="Z21" s="120">
        <v>13</v>
      </c>
      <c r="AA21" s="120">
        <v>13</v>
      </c>
      <c r="AB21" s="120">
        <v>13</v>
      </c>
      <c r="AC21" s="120">
        <v>13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174.55720170454543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169.47301136363637</v>
      </c>
      <c r="G22" s="78">
        <v>169.47301136363635</v>
      </c>
      <c r="H22" s="78">
        <v>169.47301136363637</v>
      </c>
      <c r="I22" s="78">
        <v>169.47301136363637</v>
      </c>
      <c r="J22" s="78">
        <v>169.47301136363637</v>
      </c>
      <c r="K22" s="78">
        <v>169.47301136363637</v>
      </c>
      <c r="L22" s="78">
        <v>169.47301136363637</v>
      </c>
      <c r="M22" s="78">
        <v>169.47301136363637</v>
      </c>
      <c r="N22" s="78">
        <v>169.47301136363637</v>
      </c>
      <c r="O22" s="78">
        <v>169.47301136363637</v>
      </c>
      <c r="P22" s="78">
        <v>169.47301136363637</v>
      </c>
      <c r="Q22" s="78">
        <v>174.55720170454543</v>
      </c>
      <c r="R22" s="78">
        <v>174.55720170454543</v>
      </c>
      <c r="S22" s="78">
        <v>174.55720170454543</v>
      </c>
      <c r="T22" s="78">
        <v>174.55720170454543</v>
      </c>
      <c r="U22" s="78">
        <v>174.55720170454543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929.27999999999986</v>
      </c>
      <c r="F23" s="52">
        <v>1032.5333333333333</v>
      </c>
      <c r="G23" s="52">
        <v>1135.7866666666666</v>
      </c>
      <c r="H23" s="52">
        <v>1239.04</v>
      </c>
      <c r="I23" s="52">
        <v>1239.04</v>
      </c>
      <c r="J23" s="52">
        <v>1239.04</v>
      </c>
      <c r="K23" s="52">
        <v>1239.04</v>
      </c>
      <c r="L23" s="52">
        <v>1239.04</v>
      </c>
      <c r="M23" s="52">
        <v>1239.04</v>
      </c>
      <c r="N23" s="52">
        <v>1239.04</v>
      </c>
      <c r="O23" s="52">
        <v>1239.04</v>
      </c>
      <c r="P23" s="52">
        <v>1239.04</v>
      </c>
      <c r="Q23" s="52">
        <v>1239.04</v>
      </c>
      <c r="R23" s="52">
        <v>1239.04</v>
      </c>
      <c r="S23" s="52">
        <v>1239.04</v>
      </c>
      <c r="T23" s="52">
        <v>1239.04</v>
      </c>
      <c r="U23" s="52">
        <v>1239.04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142497.41999999998</v>
      </c>
      <c r="F26" s="12">
        <v>158330.46666666665</v>
      </c>
      <c r="G26" s="12">
        <v>174163.51333333331</v>
      </c>
      <c r="H26" s="12">
        <v>189996.56</v>
      </c>
      <c r="I26" s="12">
        <v>189996.56</v>
      </c>
      <c r="J26" s="12">
        <v>189996.56</v>
      </c>
      <c r="K26" s="12">
        <v>189996.56</v>
      </c>
      <c r="L26" s="12">
        <v>189996.56</v>
      </c>
      <c r="M26" s="12">
        <v>189996.56</v>
      </c>
      <c r="N26" s="12">
        <v>189996.56</v>
      </c>
      <c r="O26" s="12">
        <v>189996.56</v>
      </c>
      <c r="P26" s="12">
        <v>189996.56</v>
      </c>
      <c r="Q26" s="12">
        <v>195696.45679999999</v>
      </c>
      <c r="R26" s="12">
        <v>195696.45679999999</v>
      </c>
      <c r="S26" s="12">
        <v>195696.45679999999</v>
      </c>
      <c r="T26" s="12">
        <v>195696.45679999999</v>
      </c>
      <c r="U26" s="12">
        <v>195696.45679999999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18993.545999999995</v>
      </c>
      <c r="F28" s="12">
        <v>21103.939999999991</v>
      </c>
      <c r="G28" s="12">
        <v>23214.333999999992</v>
      </c>
      <c r="H28" s="12">
        <v>25324.727999999992</v>
      </c>
      <c r="I28" s="12">
        <v>25324.727999999992</v>
      </c>
      <c r="J28" s="12">
        <v>25324.727999999992</v>
      </c>
      <c r="K28" s="12">
        <v>25324.727999999992</v>
      </c>
      <c r="L28" s="12">
        <v>25324.727999999992</v>
      </c>
      <c r="M28" s="12">
        <v>25324.727999999992</v>
      </c>
      <c r="N28" s="12">
        <v>25324.727999999992</v>
      </c>
      <c r="O28" s="12">
        <v>25324.727999999992</v>
      </c>
      <c r="P28" s="12">
        <v>25324.727999999992</v>
      </c>
      <c r="Q28" s="12">
        <v>26084.469839999991</v>
      </c>
      <c r="R28" s="12">
        <v>26084.469839999991</v>
      </c>
      <c r="S28" s="12">
        <v>26084.469839999991</v>
      </c>
      <c r="T28" s="12">
        <v>26084.469839999991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2922.0840000000003</v>
      </c>
      <c r="F29" s="12">
        <v>3246.7599999999998</v>
      </c>
      <c r="G29" s="12">
        <v>3571.4359999999997</v>
      </c>
      <c r="H29" s="12">
        <v>3896.1119999999996</v>
      </c>
      <c r="I29" s="12">
        <v>3896.1119999999996</v>
      </c>
      <c r="J29" s="12">
        <v>3896.1119999999996</v>
      </c>
      <c r="K29" s="12">
        <v>3896.1119999999996</v>
      </c>
      <c r="L29" s="12">
        <v>3896.1119999999996</v>
      </c>
      <c r="M29" s="12">
        <v>3896.1119999999996</v>
      </c>
      <c r="N29" s="12">
        <v>3896.1119999999996</v>
      </c>
      <c r="O29" s="12">
        <v>3896.1119999999996</v>
      </c>
      <c r="P29" s="12">
        <v>3896.1119999999996</v>
      </c>
      <c r="Q29" s="12">
        <v>4012.9953599999999</v>
      </c>
      <c r="R29" s="12">
        <v>4012.9953599999999</v>
      </c>
      <c r="S29" s="12">
        <v>4012.9953599999999</v>
      </c>
      <c r="T29" s="12">
        <v>4012.9953599999999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3812.6399999999994</v>
      </c>
      <c r="F30" s="12">
        <v>4236.2666666666664</v>
      </c>
      <c r="G30" s="12">
        <v>4659.8933333333325</v>
      </c>
      <c r="H30" s="12">
        <v>5083.5199999999995</v>
      </c>
      <c r="I30" s="12">
        <v>5083.5199999999995</v>
      </c>
      <c r="J30" s="12">
        <v>5083.5199999999995</v>
      </c>
      <c r="K30" s="12">
        <v>5083.5199999999995</v>
      </c>
      <c r="L30" s="12">
        <v>5083.5199999999995</v>
      </c>
      <c r="M30" s="12">
        <v>5083.5199999999995</v>
      </c>
      <c r="N30" s="12">
        <v>5083.5199999999995</v>
      </c>
      <c r="O30" s="12">
        <v>5083.5199999999995</v>
      </c>
      <c r="P30" s="12">
        <v>5083.5199999999995</v>
      </c>
      <c r="Q30" s="12">
        <v>5236.025599999999</v>
      </c>
      <c r="R30" s="12">
        <v>5236.025599999999</v>
      </c>
      <c r="S30" s="12">
        <v>5236.025599999999</v>
      </c>
      <c r="T30" s="12">
        <v>5236.025599999999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-20187.0828</v>
      </c>
      <c r="F35" s="12">
        <v>-22430.091999999997</v>
      </c>
      <c r="G35" s="12">
        <v>-24673.101199999997</v>
      </c>
      <c r="H35" s="12">
        <v>-26916.110399999998</v>
      </c>
      <c r="I35" s="12">
        <v>-26916.110399999998</v>
      </c>
      <c r="J35" s="12">
        <v>-26916.110399999998</v>
      </c>
      <c r="K35" s="12">
        <v>-26916.110399999998</v>
      </c>
      <c r="L35" s="12">
        <v>-26916.110399999998</v>
      </c>
      <c r="M35" s="12">
        <v>-26916.110399999998</v>
      </c>
      <c r="N35" s="12">
        <v>-26916.110399999998</v>
      </c>
      <c r="O35" s="12">
        <v>-26916.110399999998</v>
      </c>
      <c r="P35" s="12">
        <v>-26916.110399999998</v>
      </c>
      <c r="Q35" s="12">
        <v>-27723.593711999994</v>
      </c>
      <c r="R35" s="12">
        <v>-27723.593711999994</v>
      </c>
      <c r="S35" s="12">
        <v>-27723.593711999994</v>
      </c>
      <c r="T35" s="12">
        <v>-27723.593711999994</v>
      </c>
      <c r="U35" s="12">
        <v>-27723.593711999994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148038.6072</v>
      </c>
      <c r="F37" s="13">
        <v>164487.34133333332</v>
      </c>
      <c r="G37" s="13">
        <v>180936.07546666663</v>
      </c>
      <c r="H37" s="13">
        <v>197384.80959999998</v>
      </c>
      <c r="I37" s="13">
        <v>197384.80959999998</v>
      </c>
      <c r="J37" s="13">
        <v>197384.80959999998</v>
      </c>
      <c r="K37" s="13">
        <v>197384.80959999998</v>
      </c>
      <c r="L37" s="13">
        <v>197384.80959999998</v>
      </c>
      <c r="M37" s="13">
        <v>197384.80959999998</v>
      </c>
      <c r="N37" s="13">
        <v>197384.80959999998</v>
      </c>
      <c r="O37" s="13">
        <v>197384.80959999998</v>
      </c>
      <c r="P37" s="13">
        <v>197384.80959999998</v>
      </c>
      <c r="Q37" s="13">
        <v>203306.35388799995</v>
      </c>
      <c r="R37" s="13">
        <v>203306.35388799995</v>
      </c>
      <c r="S37" s="13">
        <v>203306.35388799995</v>
      </c>
      <c r="T37" s="13">
        <v>203306.35388799995</v>
      </c>
      <c r="U37" s="13">
        <v>203306.35388799995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58411.30074587564</v>
      </c>
      <c r="F40" s="12">
        <v>62500.283510232199</v>
      </c>
      <c r="G40" s="12">
        <v>66972.377541255424</v>
      </c>
      <c r="H40" s="12">
        <v>68114.476972278644</v>
      </c>
      <c r="I40" s="12">
        <v>68396.743638945307</v>
      </c>
      <c r="J40" s="12">
        <v>68396.743638945307</v>
      </c>
      <c r="K40" s="12">
        <v>68396.743638945307</v>
      </c>
      <c r="L40" s="12">
        <v>68396.743638945307</v>
      </c>
      <c r="M40" s="12">
        <v>68396.743638945307</v>
      </c>
      <c r="N40" s="12">
        <v>68396.743638945307</v>
      </c>
      <c r="O40" s="12">
        <v>68396.743638945307</v>
      </c>
      <c r="P40" s="12">
        <v>68396.743638945307</v>
      </c>
      <c r="Q40" s="12">
        <v>75236.41800283984</v>
      </c>
      <c r="R40" s="12">
        <v>75236.41800283984</v>
      </c>
      <c r="S40" s="12">
        <v>75236.41800283984</v>
      </c>
      <c r="T40" s="12">
        <v>75236.41800283984</v>
      </c>
      <c r="U40" s="12">
        <v>75236.41800283984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1054.6222</v>
      </c>
      <c r="F44" s="12">
        <v>1071.4692</v>
      </c>
      <c r="G44" s="12">
        <v>1101.7937999999999</v>
      </c>
      <c r="H44" s="12">
        <v>977.12599999999998</v>
      </c>
      <c r="I44" s="12">
        <v>990.60360000000014</v>
      </c>
      <c r="J44" s="12">
        <v>990.60360000000014</v>
      </c>
      <c r="K44" s="12">
        <v>990.60360000000014</v>
      </c>
      <c r="L44" s="12">
        <v>990.60360000000014</v>
      </c>
      <c r="M44" s="12">
        <v>990.60360000000014</v>
      </c>
      <c r="N44" s="12">
        <v>990.60360000000014</v>
      </c>
      <c r="O44" s="12">
        <v>990.60360000000014</v>
      </c>
      <c r="P44" s="12">
        <v>990.60360000000014</v>
      </c>
      <c r="Q44" s="12">
        <v>1030.227744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7804.9999999999991</v>
      </c>
      <c r="F46" s="12">
        <v>8370</v>
      </c>
      <c r="G46" s="12">
        <v>8960</v>
      </c>
      <c r="H46" s="12">
        <v>9320</v>
      </c>
      <c r="I46" s="12">
        <v>9340</v>
      </c>
      <c r="J46" s="12">
        <v>9340</v>
      </c>
      <c r="K46" s="12">
        <v>9340</v>
      </c>
      <c r="L46" s="12">
        <v>9340</v>
      </c>
      <c r="M46" s="12">
        <v>9340</v>
      </c>
      <c r="N46" s="12">
        <v>9340</v>
      </c>
      <c r="O46" s="12">
        <v>9340</v>
      </c>
      <c r="P46" s="12">
        <v>9340</v>
      </c>
      <c r="Q46" s="12">
        <v>9526.7999999999993</v>
      </c>
      <c r="R46" s="12">
        <v>9526.7999999999993</v>
      </c>
      <c r="S46" s="12">
        <v>9526.7999999999993</v>
      </c>
      <c r="T46" s="12">
        <v>9526.7999999999993</v>
      </c>
      <c r="U46" s="12">
        <v>9526.7999999999993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34357.975099886789</v>
      </c>
      <c r="F49" s="12">
        <f>'Corp.'!F$50*(F$37-(F31-F32-F34)*$C$35)/(SUM('MDA1:NCA9'!F$37)-SUM('MDA1:NCA9'!F$31)-SUM('MDA1:NCA9'!F$32)-SUM('MDA1:NCA9'!F$34))</f>
        <v>35890.289508107468</v>
      </c>
      <c r="G49" s="12">
        <f>'Corp.'!G$50*(G$37-(G31-G32-G34)*$C$35)/(SUM('MDA1:NCA9'!G$37)-SUM('MDA1:NCA9'!G$31)-SUM('MDA1:NCA9'!G$32)-SUM('MDA1:NCA9'!G$34))</f>
        <v>35989.335504302318</v>
      </c>
      <c r="H49" s="12">
        <f>'Corp.'!H$50*(H$37-(H31-H32-H34)*$C$35)/(SUM('MDA1:NCA9'!H$37)-SUM('MDA1:NCA9'!H$31)-SUM('MDA1:NCA9'!H$32)-SUM('MDA1:NCA9'!H$34))</f>
        <v>35970.475438802961</v>
      </c>
      <c r="I49" s="12">
        <f>'Corp.'!I$50*(I$37-(I31-I32-I34)*$C$35)/(SUM('MDA1:NCA9'!I$37)-SUM('MDA1:NCA9'!I$31)-SUM('MDA1:NCA9'!I$32)-SUM('MDA1:NCA9'!I$34))</f>
        <v>33905.315142300584</v>
      </c>
      <c r="J49" s="12">
        <f>'Corp.'!J$50*(J$37-(J31-J32-J34)*$C$35)/(SUM('MDA1:NCA9'!J$37)-SUM('MDA1:NCA9'!J$31)-SUM('MDA1:NCA9'!J$32)-SUM('MDA1:NCA9'!J$34))</f>
        <v>31755.077202338649</v>
      </c>
      <c r="K49" s="12">
        <f>'Corp.'!K$50*(K$37-(K31-K32-K34)*$C$35)/(SUM('MDA1:NCA9'!K$37)-SUM('MDA1:NCA9'!K$31)-SUM('MDA1:NCA9'!K$32)-SUM('MDA1:NCA9'!K$34))</f>
        <v>29241.894743980913</v>
      </c>
      <c r="L49" s="12">
        <f>'Corp.'!L$50*(L$37-(L31-L32-L34)*$C$35)/(SUM('MDA1:NCA9'!L$37)-SUM('MDA1:NCA9'!L$31)-SUM('MDA1:NCA9'!L$32)-SUM('MDA1:NCA9'!L$34))</f>
        <v>27679.074717437179</v>
      </c>
      <c r="M49" s="12">
        <f>'Corp.'!M$50*(M$37-(M31-M32-M34)*$C$35)/(SUM('MDA1:NCA9'!M$37)-SUM('MDA1:NCA9'!M$31)-SUM('MDA1:NCA9'!M$32)-SUM('MDA1:NCA9'!M$34))</f>
        <v>25997.669499637606</v>
      </c>
      <c r="N49" s="12">
        <f>'Corp.'!N$50*(N$37-(N31-N32-N34)*$C$35)/(SUM('MDA1:NCA9'!N$37)-SUM('MDA1:NCA9'!N$31)-SUM('MDA1:NCA9'!N$32)-SUM('MDA1:NCA9'!N$34))</f>
        <v>24554.681502440068</v>
      </c>
      <c r="O49" s="12">
        <f>'Corp.'!O$50*(O$37-(O31-O32-O34)*$C$35)/(SUM('MDA1:NCA9'!O$37)-SUM('MDA1:NCA9'!O$31)-SUM('MDA1:NCA9'!O$32)-SUM('MDA1:NCA9'!O$34))</f>
        <v>23040.795061471636</v>
      </c>
      <c r="P49" s="12">
        <f>'Corp.'!P$50*(P$37-(P31-P32-P34)*$C$35)/(SUM('MDA1:NCA9'!P$37)-SUM('MDA1:NCA9'!P$31)-SUM('MDA1:NCA9'!P$32)-SUM('MDA1:NCA9'!P$34))</f>
        <v>21800.6758939182</v>
      </c>
      <c r="Q49" s="12">
        <f>'Corp.'!Q$50*(Q$37-(Q31-Q32-Q34)*$C$35)/(SUM('MDA1:NCA9'!Q$37)-SUM('MDA1:NCA9'!Q$31)-SUM('MDA1:NCA9'!Q$32)-SUM('MDA1:NCA9'!Q$34))</f>
        <v>22787.414888398314</v>
      </c>
      <c r="R49" s="12">
        <f>'Corp.'!R$50*(R$37-(R31-R32-R34)*$C$35)/(SUM('MDA1:NCA9'!R$37)-SUM('MDA1:NCA9'!R$31)-SUM('MDA1:NCA9'!R$32)-SUM('MDA1:NCA9'!R$34))</f>
        <v>21967.89465915483</v>
      </c>
      <c r="S49" s="12">
        <f>'Corp.'!S$50*(S$37-(S31-S32-S34)*$C$35)/(SUM('MDA1:NCA9'!S$37)-SUM('MDA1:NCA9'!S$31)-SUM('MDA1:NCA9'!S$32)-SUM('MDA1:NCA9'!S$34))</f>
        <v>21060.714855766757</v>
      </c>
      <c r="T49" s="12">
        <f>'Corp.'!T$50*(T$37-(T31-T32-T34)*$C$35)/(SUM('MDA1:NCA9'!T$37)-SUM('MDA1:NCA9'!T$31)-SUM('MDA1:NCA9'!T$32)-SUM('MDA1:NCA9'!T$34))</f>
        <v>20295.769992722417</v>
      </c>
      <c r="U49" s="12">
        <f>'Corp.'!U$50*(U$37-(U31-U32-U34)*$C$35)/(SUM('MDA1:NCA9'!U$37)-SUM('MDA1:NCA9'!U$31)-SUM('MDA1:NCA9'!U$32)-SUM('MDA1:NCA9'!U$34))</f>
        <v>19773.789108316087</v>
      </c>
      <c r="V49" s="12">
        <f>'Corp.'!V$50*(V$37-(V31-V32-V34)*$C$35)/(SUM('MDA1:NCA9'!V$37)-SUM('MDA1:NCA9'!V$31)-SUM('MDA1:NCA9'!V$32)-SUM('MDA1:NCA9'!V$34))</f>
        <v>19350.185586063482</v>
      </c>
      <c r="W49" s="12">
        <f>'Corp.'!W$50*(W$37-(W31-W32-W34)*$C$35)/(SUM('MDA1:NCA9'!W$37)-SUM('MDA1:NCA9'!W$31)-SUM('MDA1:NCA9'!W$32)-SUM('MDA1:NCA9'!W$34))</f>
        <v>18793.254865742791</v>
      </c>
      <c r="X49" s="12">
        <f>'Corp.'!X$50*(X$37-(X31-X32-X34)*$C$35)/(SUM('MDA1:NCA9'!X$37)-SUM('MDA1:NCA9'!X$31)-SUM('MDA1:NCA9'!X$32)-SUM('MDA1:NCA9'!X$34))</f>
        <v>18234.695716336548</v>
      </c>
      <c r="Y49" s="12">
        <f>'Corp.'!Y$50*(Y$37-(Y31-Y32-Y34)*$C$35)/(SUM('MDA1:NCA9'!Y$37)-SUM('MDA1:NCA9'!Y$31)-SUM('MDA1:NCA9'!Y$32)-SUM('MDA1:NCA9'!Y$34))</f>
        <v>17872.783518644017</v>
      </c>
      <c r="Z49" s="12">
        <f>'Corp.'!Z$50*(Z$37-(Z31-Z32-Z34)*$C$35)/(SUM('MDA1:NCA9'!Z$37)-SUM('MDA1:NCA9'!Z$31)-SUM('MDA1:NCA9'!Z$32)-SUM('MDA1:NCA9'!Z$34))</f>
        <v>17510.670981723048</v>
      </c>
      <c r="AA49" s="12">
        <f>'Corp.'!AA$50*(AA$37-(AA31-AA32-AA34)*$C$35)/(SUM('MDA1:NCA9'!AA$37)-SUM('MDA1:NCA9'!AA$31)-SUM('MDA1:NCA9'!AA$32)-SUM('MDA1:NCA9'!AA$34))</f>
        <v>17135.11496395936</v>
      </c>
      <c r="AB49" s="12">
        <f>'Corp.'!AB$50*(AB$37-(AB31-AB32-AB34)*$C$35)/(SUM('MDA1:NCA9'!AB$37)-SUM('MDA1:NCA9'!AB$31)-SUM('MDA1:NCA9'!AB$32)-SUM('MDA1:NCA9'!AB$34))</f>
        <v>16768.03024881435</v>
      </c>
      <c r="AC49" s="12">
        <f>'Corp.'!AC$50*(AC$37-(AC31-AC32-AC34)*$C$35)/(SUM('MDA1:NCA9'!AC$37)-SUM('MDA1:NCA9'!AC$31)-SUM('MDA1:NCA9'!AC$32)-SUM('MDA1:NCA9'!AC$34))</f>
        <v>18145.319955040359</v>
      </c>
      <c r="AD49" s="12">
        <f>'Corp.'!AD$50*(AD$37-(AD31-AD32-AD34)*$C$35)/(SUM('MDA1:NCA9'!AD$37)-SUM('MDA1:NCA9'!AD$31)-SUM('MDA1:NCA9'!AD$32)-SUM('MDA1:NCA9'!AD$34))</f>
        <v>17866.715187854588</v>
      </c>
      <c r="AE49" s="12">
        <f>'Corp.'!AE$50*(AE$37-(AE31-AE32-AE34)*$C$35)/(SUM('MDA1:NCA9'!AE$37)-SUM('MDA1:NCA9'!AE$31)-SUM('MDA1:NCA9'!AE$32)-SUM('MDA1:NCA9'!AE$34))</f>
        <v>17602.956190031058</v>
      </c>
      <c r="AF49" s="12">
        <f>'Corp.'!AF$50*(AF$37-(AF31-AF32-AF34)*$C$35)/(SUM('MDA1:NCA9'!AF$37)-SUM('MDA1:NCA9'!AF$31)-SUM('MDA1:NCA9'!AF$32)-SUM('MDA1:NCA9'!AF$34))</f>
        <v>17354.927810904559</v>
      </c>
      <c r="AG49" s="12">
        <f>'Corp.'!AG$50*(AG$37-(AG31-AG32-AG34)*$C$35)/(SUM('MDA1:NCA9'!AG$37)-SUM('MDA1:NCA9'!AG$31)-SUM('MDA1:NCA9'!AG$32)-SUM('MDA1:NCA9'!AG$34))</f>
        <v>17157.408661271958</v>
      </c>
      <c r="AH49" s="12">
        <f>'Corp.'!AH$50*(AH$37-(AH31-AH32-AH34)*$C$35)/(SUM('MDA1:NCA9'!AH$37)-SUM('MDA1:NCA9'!AH$31)-SUM('MDA1:NCA9'!AH$32)-SUM('MDA1:NCA9'!AH$34))</f>
        <v>16895.54788351875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100574.27584576243</v>
      </c>
      <c r="F50" s="13">
        <v>106760.57301833967</v>
      </c>
      <c r="G50" s="13">
        <v>111921.71304555774</v>
      </c>
      <c r="H50" s="13">
        <v>113404.95241108161</v>
      </c>
      <c r="I50" s="13">
        <v>111642.0587812459</v>
      </c>
      <c r="J50" s="13">
        <v>109491.82084128396</v>
      </c>
      <c r="K50" s="13">
        <v>106978.63838292622</v>
      </c>
      <c r="L50" s="13">
        <v>105415.81835638249</v>
      </c>
      <c r="M50" s="13">
        <v>103734.41313858291</v>
      </c>
      <c r="N50" s="13">
        <v>102291.42514138538</v>
      </c>
      <c r="O50" s="13">
        <v>100777.53870041695</v>
      </c>
      <c r="P50" s="13">
        <v>99537.419532863511</v>
      </c>
      <c r="Q50" s="13">
        <v>107550.63289123816</v>
      </c>
      <c r="R50" s="13">
        <v>106731.11266199467</v>
      </c>
      <c r="S50" s="13">
        <v>105823.9328586066</v>
      </c>
      <c r="T50" s="13">
        <v>105058.98799556226</v>
      </c>
      <c r="U50" s="13">
        <v>104537.00711115592</v>
      </c>
      <c r="V50" s="13">
        <v>104113.40358890333</v>
      </c>
      <c r="W50" s="13">
        <v>103556.47286858264</v>
      </c>
      <c r="X50" s="13">
        <v>102997.91371917639</v>
      </c>
      <c r="Y50" s="13">
        <v>102636.00152148386</v>
      </c>
      <c r="Z50" s="13">
        <v>102273.88898456289</v>
      </c>
      <c r="AA50" s="13">
        <v>101898.33296679921</v>
      </c>
      <c r="AB50" s="13">
        <v>101531.24825165419</v>
      </c>
      <c r="AC50" s="13">
        <v>110622.71575816418</v>
      </c>
      <c r="AD50" s="13">
        <v>110344.11099097841</v>
      </c>
      <c r="AE50" s="13">
        <v>110080.35199315488</v>
      </c>
      <c r="AF50" s="13">
        <v>109832.32361402838</v>
      </c>
      <c r="AG50" s="13">
        <v>109634.80446439578</v>
      </c>
      <c r="AH50" s="13">
        <v>109372.94368664258</v>
      </c>
      <c r="AI50" s="13">
        <v>109101.45574823204</v>
      </c>
      <c r="AJ50" s="13">
        <v>108821.19105865418</v>
      </c>
      <c r="AK50" s="13">
        <v>108562.3112720888</v>
      </c>
      <c r="AL50" s="13">
        <v>108324.3488585251</v>
      </c>
      <c r="AM50" s="13">
        <v>108067.77571107977</v>
      </c>
      <c r="AN50" s="13">
        <v>107849.40675233916</v>
      </c>
    </row>
    <row r="52" spans="2:40" x14ac:dyDescent="0.25">
      <c r="B52" s="1" t="s">
        <v>50</v>
      </c>
      <c r="E52" s="74">
        <f>E37-E50</f>
        <v>47464.331354237569</v>
      </c>
      <c r="F52" s="74">
        <f t="shared" ref="F52:AN52" si="0">F37-F50</f>
        <v>57726.768314993649</v>
      </c>
      <c r="G52" s="74">
        <f t="shared" si="0"/>
        <v>69014.36242110889</v>
      </c>
      <c r="H52" s="74">
        <f t="shared" si="0"/>
        <v>83979.857188918366</v>
      </c>
      <c r="I52" s="74">
        <f t="shared" si="0"/>
        <v>85742.750818754081</v>
      </c>
      <c r="J52" s="74">
        <f t="shared" si="0"/>
        <v>87892.988758716019</v>
      </c>
      <c r="K52" s="74">
        <f t="shared" si="0"/>
        <v>90406.171217073759</v>
      </c>
      <c r="L52" s="74">
        <f t="shared" si="0"/>
        <v>91968.991243617493</v>
      </c>
      <c r="M52" s="74">
        <f t="shared" si="0"/>
        <v>93650.396461417069</v>
      </c>
      <c r="N52" s="74">
        <f t="shared" si="0"/>
        <v>95093.384458614601</v>
      </c>
      <c r="O52" s="74">
        <f t="shared" si="0"/>
        <v>96607.270899583033</v>
      </c>
      <c r="P52" s="74">
        <f t="shared" si="0"/>
        <v>97847.390067136468</v>
      </c>
      <c r="Q52" s="74">
        <f t="shared" si="0"/>
        <v>95755.720996761796</v>
      </c>
      <c r="R52" s="74">
        <f t="shared" si="0"/>
        <v>96575.241226005281</v>
      </c>
      <c r="S52" s="74">
        <f t="shared" si="0"/>
        <v>97482.421029393357</v>
      </c>
      <c r="T52" s="74">
        <f t="shared" si="0"/>
        <v>98247.365892437694</v>
      </c>
      <c r="U52" s="74">
        <f t="shared" si="0"/>
        <v>98769.346776844031</v>
      </c>
      <c r="V52" s="74">
        <f t="shared" si="0"/>
        <v>99192.950299096628</v>
      </c>
      <c r="W52" s="74">
        <f t="shared" si="0"/>
        <v>99749.881019417313</v>
      </c>
      <c r="X52" s="74">
        <f t="shared" si="0"/>
        <v>100308.44016882357</v>
      </c>
      <c r="Y52" s="74">
        <f t="shared" si="0"/>
        <v>100670.35236651609</v>
      </c>
      <c r="Z52" s="74">
        <f t="shared" si="0"/>
        <v>101032.46490343707</v>
      </c>
      <c r="AA52" s="74">
        <f t="shared" si="0"/>
        <v>101408.02092120075</v>
      </c>
      <c r="AB52" s="74">
        <f t="shared" si="0"/>
        <v>101775.10563634576</v>
      </c>
      <c r="AC52" s="74">
        <f t="shared" si="0"/>
        <v>92683.638129835774</v>
      </c>
      <c r="AD52" s="74">
        <f t="shared" si="0"/>
        <v>92962.242897021541</v>
      </c>
      <c r="AE52" s="74">
        <f t="shared" si="0"/>
        <v>93226.001894845074</v>
      </c>
      <c r="AF52" s="74">
        <f t="shared" si="0"/>
        <v>93474.03027397157</v>
      </c>
      <c r="AG52" s="74">
        <f t="shared" si="0"/>
        <v>93671.54942360417</v>
      </c>
      <c r="AH52" s="74">
        <f t="shared" si="0"/>
        <v>93933.410201357372</v>
      </c>
      <c r="AI52" s="74">
        <f t="shared" si="0"/>
        <v>94204.898139767916</v>
      </c>
      <c r="AJ52" s="74">
        <f t="shared" si="0"/>
        <v>94485.162829345776</v>
      </c>
      <c r="AK52" s="74">
        <f t="shared" si="0"/>
        <v>94744.042615911152</v>
      </c>
      <c r="AL52" s="74">
        <f t="shared" si="0"/>
        <v>94982.005029474851</v>
      </c>
      <c r="AM52" s="74">
        <f t="shared" si="0"/>
        <v>95238.578176920186</v>
      </c>
      <c r="AN52" s="74">
        <f t="shared" si="0"/>
        <v>95456.947135660797</v>
      </c>
    </row>
    <row r="53" spans="2:40" x14ac:dyDescent="0.25">
      <c r="E53" s="107">
        <f>IFERROR(E52/E37,"")</f>
        <v>0.32062130448250781</v>
      </c>
      <c r="F53" s="107">
        <f t="shared" ref="F53:AN53" si="1">IFERROR(F52/F37,"")</f>
        <v>0.35094961014665838</v>
      </c>
      <c r="G53" s="107">
        <f t="shared" si="1"/>
        <v>0.38142953108222588</v>
      </c>
      <c r="H53" s="107">
        <f t="shared" si="1"/>
        <v>0.42546261467183527</v>
      </c>
      <c r="I53" s="107">
        <f t="shared" si="1"/>
        <v>0.43439386745368924</v>
      </c>
      <c r="J53" s="107">
        <f t="shared" si="1"/>
        <v>0.44528750179322829</v>
      </c>
      <c r="K53" s="107">
        <f t="shared" si="1"/>
        <v>0.45801990234345658</v>
      </c>
      <c r="L53" s="107">
        <f t="shared" si="1"/>
        <v>0.46593753303505225</v>
      </c>
      <c r="M53" s="107">
        <f t="shared" si="1"/>
        <v>0.47445594547624742</v>
      </c>
      <c r="N53" s="107">
        <f t="shared" si="1"/>
        <v>0.48176647762976899</v>
      </c>
      <c r="O53" s="107">
        <f t="shared" si="1"/>
        <v>0.48943619873969796</v>
      </c>
      <c r="P53" s="107">
        <f t="shared" si="1"/>
        <v>0.49571894749866546</v>
      </c>
      <c r="Q53" s="107">
        <f t="shared" si="1"/>
        <v>0.47099226937842265</v>
      </c>
      <c r="R53" s="107">
        <f t="shared" si="1"/>
        <v>0.47502323158679</v>
      </c>
      <c r="S53" s="107">
        <f t="shared" si="1"/>
        <v>0.4794853636650025</v>
      </c>
      <c r="T53" s="107">
        <f t="shared" si="1"/>
        <v>0.48324788681499586</v>
      </c>
      <c r="U53" s="107">
        <f t="shared" si="1"/>
        <v>0.4858153465840786</v>
      </c>
      <c r="V53" s="107">
        <f t="shared" si="1"/>
        <v>0.48789891905563038</v>
      </c>
      <c r="W53" s="107">
        <f t="shared" si="1"/>
        <v>0.49063828607328636</v>
      </c>
      <c r="X53" s="107">
        <f t="shared" si="1"/>
        <v>0.49338566282135377</v>
      </c>
      <c r="Y53" s="107">
        <f t="shared" si="1"/>
        <v>0.49516579507384545</v>
      </c>
      <c r="Z53" s="107">
        <f t="shared" si="1"/>
        <v>0.49694691273198055</v>
      </c>
      <c r="AA53" s="107">
        <f t="shared" si="1"/>
        <v>0.49879415464341914</v>
      </c>
      <c r="AB53" s="107">
        <f t="shared" si="1"/>
        <v>0.50059972888212312</v>
      </c>
      <c r="AC53" s="107">
        <f t="shared" si="1"/>
        <v>0.45588166015162784</v>
      </c>
      <c r="AD53" s="107">
        <f t="shared" si="1"/>
        <v>0.45725202935976011</v>
      </c>
      <c r="AE53" s="107">
        <f t="shared" si="1"/>
        <v>0.45854937689848407</v>
      </c>
      <c r="AF53" s="107">
        <f t="shared" si="1"/>
        <v>0.4597693504722718</v>
      </c>
      <c r="AG53" s="107">
        <f t="shared" si="1"/>
        <v>0.46074088503504013</v>
      </c>
      <c r="AH53" s="107">
        <f t="shared" si="1"/>
        <v>0.46202889582636769</v>
      </c>
      <c r="AI53" s="107">
        <f t="shared" si="1"/>
        <v>0.46336425959251987</v>
      </c>
      <c r="AJ53" s="107">
        <f t="shared" si="1"/>
        <v>0.46474279343673142</v>
      </c>
      <c r="AK53" s="107">
        <f t="shared" si="1"/>
        <v>0.4660161416701466</v>
      </c>
      <c r="AL53" s="107">
        <f t="shared" si="1"/>
        <v>0.46718660392581618</v>
      </c>
      <c r="AM53" s="107">
        <f t="shared" si="1"/>
        <v>0.46844860652700726</v>
      </c>
      <c r="AN53" s="107">
        <f t="shared" si="1"/>
        <v>0.46952269474198216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-22205.791079999999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-22205.791079999999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-22205.791079999999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-22205.791079999999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-22205.791079999999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-22205.791079999999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-24673.101199999997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-27140.411319999996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25258.54027423757</v>
      </c>
      <c r="F58" s="13">
        <f t="shared" ref="F58:AN58" si="2">F37-F50-F55+F56</f>
        <v>35520.977234993654</v>
      </c>
      <c r="G58" s="13">
        <f t="shared" si="2"/>
        <v>46808.571341108895</v>
      </c>
      <c r="H58" s="13">
        <f t="shared" si="2"/>
        <v>61774.06610891837</v>
      </c>
      <c r="I58" s="13">
        <f t="shared" si="2"/>
        <v>63536.959738754085</v>
      </c>
      <c r="J58" s="13">
        <f t="shared" si="2"/>
        <v>65687.197678716024</v>
      </c>
      <c r="K58" s="13">
        <f t="shared" si="2"/>
        <v>65733.070017073769</v>
      </c>
      <c r="L58" s="13">
        <f t="shared" si="2"/>
        <v>64828.579923617493</v>
      </c>
      <c r="M58" s="13">
        <f t="shared" si="2"/>
        <v>64042.675021417075</v>
      </c>
      <c r="N58" s="13">
        <f t="shared" si="2"/>
        <v>65485.663018614607</v>
      </c>
      <c r="O58" s="13">
        <f t="shared" si="2"/>
        <v>66999.549459583039</v>
      </c>
      <c r="P58" s="13">
        <f t="shared" si="2"/>
        <v>68239.668627136474</v>
      </c>
      <c r="Q58" s="13">
        <f t="shared" si="2"/>
        <v>66147.999556761803</v>
      </c>
      <c r="R58" s="13">
        <f t="shared" si="2"/>
        <v>66967.519786005287</v>
      </c>
      <c r="S58" s="13">
        <f t="shared" si="2"/>
        <v>67874.699589393364</v>
      </c>
      <c r="T58" s="13">
        <f t="shared" si="2"/>
        <v>68639.6444524377</v>
      </c>
      <c r="U58" s="13">
        <f t="shared" si="2"/>
        <v>69161.625336844038</v>
      </c>
      <c r="V58" s="13">
        <f t="shared" si="2"/>
        <v>68696.997215896641</v>
      </c>
      <c r="W58" s="13">
        <f t="shared" si="2"/>
        <v>69253.927936217326</v>
      </c>
      <c r="X58" s="13">
        <f t="shared" si="2"/>
        <v>69812.487085623579</v>
      </c>
      <c r="Y58" s="13">
        <f t="shared" si="2"/>
        <v>70174.399283316103</v>
      </c>
      <c r="Z58" s="13">
        <f t="shared" si="2"/>
        <v>70536.51182023708</v>
      </c>
      <c r="AA58" s="13">
        <f t="shared" si="2"/>
        <v>70912.067838000759</v>
      </c>
      <c r="AB58" s="13">
        <f t="shared" si="2"/>
        <v>71279.152553145774</v>
      </c>
      <c r="AC58" s="13">
        <f t="shared" si="2"/>
        <v>62187.685046635786</v>
      </c>
      <c r="AD58" s="13">
        <f t="shared" si="2"/>
        <v>62466.289813821553</v>
      </c>
      <c r="AE58" s="13">
        <f t="shared" si="2"/>
        <v>62730.048811645087</v>
      </c>
      <c r="AF58" s="13">
        <f t="shared" si="2"/>
        <v>62978.077190771583</v>
      </c>
      <c r="AG58" s="13">
        <f t="shared" si="2"/>
        <v>63175.596340404183</v>
      </c>
      <c r="AH58" s="13">
        <f t="shared" si="2"/>
        <v>63437.457118157385</v>
      </c>
      <c r="AI58" s="13">
        <f t="shared" si="2"/>
        <v>63708.945056567929</v>
      </c>
      <c r="AJ58" s="13">
        <f t="shared" si="2"/>
        <v>63989.209746145789</v>
      </c>
      <c r="AK58" s="13">
        <f t="shared" si="2"/>
        <v>64248.089532711165</v>
      </c>
      <c r="AL58" s="13">
        <f t="shared" si="2"/>
        <v>64486.051946274863</v>
      </c>
      <c r="AM58" s="13">
        <f t="shared" si="2"/>
        <v>64742.625093720198</v>
      </c>
      <c r="AN58" s="13">
        <f t="shared" si="2"/>
        <v>64960.99405246081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25258.54027423757</v>
      </c>
      <c r="F59" s="12">
        <v>60779.517509231227</v>
      </c>
      <c r="G59" s="12">
        <v>107588.08885034012</v>
      </c>
      <c r="H59" s="12">
        <v>169362.15495925851</v>
      </c>
      <c r="I59" s="12">
        <v>232899.11469801259</v>
      </c>
      <c r="J59" s="12">
        <v>298586.31237672863</v>
      </c>
      <c r="K59" s="12">
        <v>364319.3823938024</v>
      </c>
      <c r="L59" s="12">
        <v>429147.96231741988</v>
      </c>
      <c r="M59" s="12">
        <v>493190.63733883697</v>
      </c>
      <c r="N59" s="12">
        <v>558676.30035745155</v>
      </c>
      <c r="O59" s="12">
        <v>625675.84981703456</v>
      </c>
      <c r="P59" s="12">
        <v>693915.51844417106</v>
      </c>
      <c r="Q59" s="12">
        <v>760063.51800093288</v>
      </c>
      <c r="R59" s="12">
        <v>827031.03778693813</v>
      </c>
      <c r="S59" s="12">
        <v>894905.73737633147</v>
      </c>
      <c r="T59" s="12">
        <v>963545.38182876911</v>
      </c>
      <c r="U59" s="12">
        <v>1032707.0071656131</v>
      </c>
      <c r="V59" s="12">
        <v>1101404.0043815097</v>
      </c>
      <c r="W59" s="12">
        <v>1170657.932317727</v>
      </c>
      <c r="X59" s="12">
        <v>1240470.4194033507</v>
      </c>
      <c r="Y59" s="12">
        <v>1310644.8186866669</v>
      </c>
      <c r="Z59" s="12">
        <v>1381181.3305069041</v>
      </c>
      <c r="AA59" s="12">
        <v>1452093.3983449049</v>
      </c>
      <c r="AB59" s="12">
        <v>1523372.5508980507</v>
      </c>
      <c r="AC59" s="12">
        <v>1585560.2359446865</v>
      </c>
      <c r="AD59" s="12">
        <v>1648026.5257585081</v>
      </c>
      <c r="AE59" s="12">
        <v>1710756.5745701531</v>
      </c>
      <c r="AF59" s="12">
        <v>1773734.6517609246</v>
      </c>
      <c r="AG59" s="12">
        <v>1836910.2481013287</v>
      </c>
      <c r="AH59" s="12">
        <v>1900347.705219486</v>
      </c>
      <c r="AI59" s="12">
        <v>1964056.6502760539</v>
      </c>
      <c r="AJ59" s="12">
        <v>2028045.8600221998</v>
      </c>
      <c r="AK59" s="12">
        <v>2092293.9495549109</v>
      </c>
      <c r="AL59" s="12">
        <v>2156780.0015011858</v>
      </c>
      <c r="AM59" s="12">
        <v>2221522.6265949062</v>
      </c>
      <c r="AN59" s="12">
        <v>2286483.6206473671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1.8879208988792088E-2</v>
      </c>
      <c r="F72" s="12">
        <v>2.0976898876435657E-2</v>
      </c>
      <c r="G72" s="12">
        <v>2.307458876407922E-2</v>
      </c>
      <c r="H72" s="12">
        <v>2.5172278651722783E-2</v>
      </c>
      <c r="I72" s="12">
        <v>2.5172278651722783E-2</v>
      </c>
      <c r="J72" s="12">
        <v>2.5172278651722783E-2</v>
      </c>
      <c r="K72" s="12">
        <v>2.5172278651722783E-2</v>
      </c>
      <c r="L72" s="12">
        <v>2.5172278651722783E-2</v>
      </c>
      <c r="M72" s="12">
        <v>2.5172278651722783E-2</v>
      </c>
      <c r="N72" s="12">
        <v>2.5172278651722783E-2</v>
      </c>
      <c r="O72" s="12">
        <v>2.5172278651722783E-2</v>
      </c>
      <c r="P72" s="12">
        <v>2.5172278651722783E-2</v>
      </c>
      <c r="Q72" s="12">
        <v>2.7689506516895061E-2</v>
      </c>
      <c r="R72" s="12">
        <v>2.7689506516895061E-2</v>
      </c>
      <c r="S72" s="12">
        <v>2.7689506516895061E-2</v>
      </c>
      <c r="T72" s="12">
        <v>2.7689506516895061E-2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-1.8879208988792088E-2</v>
      </c>
      <c r="F75" s="74">
        <v>-2.0976898876435657E-2</v>
      </c>
      <c r="G75" s="74">
        <v>-2.307458876407922E-2</v>
      </c>
      <c r="H75" s="74">
        <v>-2.5172278651722783E-2</v>
      </c>
      <c r="I75" s="74">
        <v>-2.5172278651722783E-2</v>
      </c>
      <c r="J75" s="74">
        <v>-2.5172278651722783E-2</v>
      </c>
      <c r="K75" s="74">
        <v>-2.5172278651722783E-2</v>
      </c>
      <c r="L75" s="74">
        <v>-2.5172278651722783E-2</v>
      </c>
      <c r="M75" s="74">
        <v>-2.5172278651722783E-2</v>
      </c>
      <c r="N75" s="74">
        <v>-2.5172278651722783E-2</v>
      </c>
      <c r="O75" s="74">
        <v>-2.5172278651722783E-2</v>
      </c>
      <c r="P75" s="74">
        <v>-2.5172278651722783E-2</v>
      </c>
      <c r="Q75" s="74">
        <v>-2.7689506516895061E-2</v>
      </c>
      <c r="R75" s="74">
        <v>-2.7689506516895061E-2</v>
      </c>
      <c r="S75" s="74">
        <v>-2.7689506516895061E-2</v>
      </c>
      <c r="T75" s="74">
        <v>-2.7689506516895061E-2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39EC-B742-4A32-8E44-858C950B9139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2.5703125" bestFit="1" customWidth="1"/>
    <col min="7" max="13" width="12.42578125" bestFit="1" customWidth="1"/>
    <col min="14" max="15" width="11.85546875" bestFit="1" customWidth="1"/>
    <col min="16" max="16" width="11.7109375" bestFit="1" customWidth="1"/>
    <col min="17" max="18" width="11.85546875" bestFit="1" customWidth="1"/>
    <col min="19" max="19" width="12.7109375" bestFit="1" customWidth="1"/>
    <col min="20" max="21" width="12.85546875" bestFit="1" customWidth="1"/>
    <col min="22" max="22" width="12.7109375" bestFit="1" customWidth="1"/>
    <col min="23" max="24" width="12.85546875" bestFit="1" customWidth="1"/>
    <col min="25" max="25" width="12.7109375" bestFit="1" customWidth="1"/>
    <col min="26" max="27" width="12.85546875" bestFit="1" customWidth="1"/>
    <col min="28" max="28" width="12.7109375" bestFit="1" customWidth="1"/>
    <col min="29" max="30" width="12.85546875" bestFit="1" customWidth="1"/>
    <col min="31" max="31" width="12.7109375" bestFit="1" customWidth="1"/>
    <col min="32" max="33" width="12.85546875" bestFit="1" customWidth="1"/>
    <col min="34" max="34" width="12.7109375" bestFit="1" customWidth="1"/>
    <col min="35" max="36" width="12.85546875" bestFit="1" customWidth="1"/>
    <col min="37" max="37" width="12.7109375" bestFit="1" customWidth="1"/>
    <col min="38" max="39" width="12.85546875" bestFit="1" customWidth="1"/>
    <col min="40" max="40" width="12.710937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497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3</v>
      </c>
      <c r="I1" s="69">
        <v>6</v>
      </c>
      <c r="J1" s="69">
        <v>9</v>
      </c>
      <c r="K1" s="69">
        <v>12</v>
      </c>
      <c r="L1" s="69">
        <v>15</v>
      </c>
      <c r="M1" s="69">
        <v>18</v>
      </c>
      <c r="N1" s="69">
        <v>21</v>
      </c>
      <c r="O1" s="69">
        <v>24</v>
      </c>
      <c r="P1" s="69">
        <v>27</v>
      </c>
      <c r="Q1" s="69">
        <v>30</v>
      </c>
      <c r="R1" s="69">
        <v>33</v>
      </c>
      <c r="S1" s="69">
        <v>36</v>
      </c>
      <c r="T1" s="69">
        <v>39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3.1666666666666665</v>
      </c>
      <c r="J2" s="69">
        <v>3.3333333333333335</v>
      </c>
      <c r="K2" s="69">
        <v>3.5</v>
      </c>
      <c r="L2" s="69">
        <v>3.6666666666666665</v>
      </c>
      <c r="M2" s="69">
        <v>3.8333333333333335</v>
      </c>
      <c r="N2" s="69">
        <v>4</v>
      </c>
      <c r="O2" s="69">
        <v>4.166666666666667</v>
      </c>
      <c r="P2" s="69">
        <v>4.333333333333333</v>
      </c>
      <c r="Q2" s="69">
        <v>4.5</v>
      </c>
      <c r="R2" s="69">
        <v>4.666666666666667</v>
      </c>
      <c r="S2" s="69">
        <v>4.833333333333333</v>
      </c>
      <c r="T2" s="69">
        <v>5</v>
      </c>
      <c r="U2" s="69">
        <v>2.1666666666666665</v>
      </c>
      <c r="V2" s="69">
        <v>2.3333333333333335</v>
      </c>
      <c r="W2" s="69">
        <v>2.5</v>
      </c>
      <c r="X2" s="69">
        <v>2.6666666666666665</v>
      </c>
      <c r="Y2" s="69">
        <v>2.8333333333333335</v>
      </c>
      <c r="Z2" s="69">
        <v>3</v>
      </c>
      <c r="AA2" s="69">
        <v>3.1666666666666665</v>
      </c>
      <c r="AB2" s="69">
        <v>3.3333333333333335</v>
      </c>
      <c r="AC2" s="69">
        <v>3.5</v>
      </c>
      <c r="AD2" s="69">
        <v>3.6666666666666665</v>
      </c>
      <c r="AE2" s="69">
        <v>3.8333333333333335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2.1666666666666665</v>
      </c>
      <c r="V3" s="69">
        <v>2.3333333333333335</v>
      </c>
      <c r="W3" s="69">
        <v>2.5</v>
      </c>
      <c r="X3" s="69">
        <v>2.6666666666666665</v>
      </c>
      <c r="Y3" s="69">
        <v>2.8333333333333335</v>
      </c>
      <c r="Z3" s="69">
        <v>3</v>
      </c>
      <c r="AA3" s="69">
        <v>3.1666666666666665</v>
      </c>
      <c r="AB3" s="69">
        <v>3.3333333333333335</v>
      </c>
      <c r="AC3" s="69">
        <v>3.5</v>
      </c>
      <c r="AD3" s="69">
        <v>3.6666666666666665</v>
      </c>
      <c r="AE3" s="69">
        <v>3.8333333333333335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3</v>
      </c>
      <c r="I4" s="69">
        <v>9.1666666666666661</v>
      </c>
      <c r="J4" s="69">
        <v>12.333333333333334</v>
      </c>
      <c r="K4" s="69">
        <v>15.5</v>
      </c>
      <c r="L4" s="69">
        <v>18.666666666666668</v>
      </c>
      <c r="M4" s="69">
        <v>21.833333333333332</v>
      </c>
      <c r="N4" s="69">
        <v>25</v>
      </c>
      <c r="O4" s="69">
        <v>28.166666666666668</v>
      </c>
      <c r="P4" s="69">
        <v>31.333333333333332</v>
      </c>
      <c r="Q4" s="69">
        <v>34.5</v>
      </c>
      <c r="R4" s="69">
        <v>37.666666666666664</v>
      </c>
      <c r="S4" s="69">
        <v>40.833333333333336</v>
      </c>
      <c r="T4" s="69">
        <v>44</v>
      </c>
      <c r="U4" s="69">
        <v>44.166666666666664</v>
      </c>
      <c r="V4" s="69">
        <v>44.333333333333336</v>
      </c>
      <c r="W4" s="69">
        <v>44.5</v>
      </c>
      <c r="X4" s="69">
        <v>44.666666666666664</v>
      </c>
      <c r="Y4" s="69">
        <v>44.833333333333336</v>
      </c>
      <c r="Z4" s="69">
        <v>45</v>
      </c>
      <c r="AA4" s="69">
        <v>45.166666666666664</v>
      </c>
      <c r="AB4" s="69">
        <v>45.333333333333336</v>
      </c>
      <c r="AC4" s="69">
        <v>45.5</v>
      </c>
      <c r="AD4" s="69">
        <v>45.666666666666664</v>
      </c>
      <c r="AE4" s="69">
        <v>45.833333333333336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6</v>
      </c>
      <c r="I6" s="66">
        <v>11</v>
      </c>
      <c r="J6" s="66">
        <v>15</v>
      </c>
      <c r="K6" s="66">
        <v>18</v>
      </c>
      <c r="L6" s="66">
        <v>22</v>
      </c>
      <c r="M6" s="66">
        <v>26</v>
      </c>
      <c r="N6" s="66">
        <v>29</v>
      </c>
      <c r="O6" s="66">
        <v>33</v>
      </c>
      <c r="P6" s="66">
        <v>37</v>
      </c>
      <c r="Q6" s="66">
        <v>40</v>
      </c>
      <c r="R6" s="66">
        <v>44</v>
      </c>
      <c r="S6" s="66">
        <v>47</v>
      </c>
      <c r="T6" s="66">
        <v>51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2.8299999999999996</v>
      </c>
      <c r="I7" s="108">
        <v>5.6499999999999995</v>
      </c>
      <c r="J7" s="108">
        <v>8.48</v>
      </c>
      <c r="K7" s="108">
        <v>11.299999999999999</v>
      </c>
      <c r="L7" s="108">
        <v>14.12</v>
      </c>
      <c r="M7" s="108">
        <v>16.950000000000003</v>
      </c>
      <c r="N7" s="108">
        <v>19.770000000000003</v>
      </c>
      <c r="O7" s="108">
        <v>22.59</v>
      </c>
      <c r="P7" s="108">
        <v>25.42</v>
      </c>
      <c r="Q7" s="108">
        <v>28.240000000000002</v>
      </c>
      <c r="R7" s="108">
        <v>31.060000000000002</v>
      </c>
      <c r="S7" s="108">
        <v>33.89</v>
      </c>
      <c r="T7" s="108">
        <v>36.71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0.43</v>
      </c>
      <c r="I8" s="108">
        <v>0.86</v>
      </c>
      <c r="J8" s="108">
        <v>1.29</v>
      </c>
      <c r="K8" s="108">
        <v>1.72</v>
      </c>
      <c r="L8" s="108">
        <v>2.15</v>
      </c>
      <c r="M8" s="108">
        <v>2.5799999999999996</v>
      </c>
      <c r="N8" s="108">
        <v>3</v>
      </c>
      <c r="O8" s="108">
        <v>3.4299999999999997</v>
      </c>
      <c r="P8" s="108">
        <v>3.86</v>
      </c>
      <c r="Q8" s="108">
        <v>4.29</v>
      </c>
      <c r="R8" s="108">
        <v>4.72</v>
      </c>
      <c r="S8" s="108">
        <v>5.1499999999999995</v>
      </c>
      <c r="T8" s="108">
        <v>5.58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0.25</v>
      </c>
      <c r="J12" s="108">
        <v>0.26</v>
      </c>
      <c r="K12" s="108">
        <v>0.27</v>
      </c>
      <c r="L12" s="108">
        <v>0.29000000000000004</v>
      </c>
      <c r="M12" s="108">
        <v>0.3</v>
      </c>
      <c r="N12" s="108">
        <v>0.31</v>
      </c>
      <c r="O12" s="108">
        <v>0.33</v>
      </c>
      <c r="P12" s="108">
        <v>0.34</v>
      </c>
      <c r="Q12" s="108">
        <v>0.35000000000000003</v>
      </c>
      <c r="R12" s="108">
        <v>0.36</v>
      </c>
      <c r="S12" s="108">
        <v>0.38</v>
      </c>
      <c r="T12" s="108">
        <v>0.39</v>
      </c>
      <c r="U12" s="108">
        <v>0.17</v>
      </c>
      <c r="V12" s="108">
        <v>0.18000000000000002</v>
      </c>
      <c r="W12" s="108">
        <v>0.2</v>
      </c>
      <c r="X12" s="108">
        <v>0.21000000000000002</v>
      </c>
      <c r="Y12" s="108">
        <v>0.22</v>
      </c>
      <c r="Z12" s="108">
        <v>0.24000000000000002</v>
      </c>
      <c r="AA12" s="108">
        <v>0.25</v>
      </c>
      <c r="AB12" s="108">
        <v>0.26</v>
      </c>
      <c r="AC12" s="108">
        <v>0.27</v>
      </c>
      <c r="AD12" s="108">
        <v>0.29000000000000004</v>
      </c>
      <c r="AE12" s="108">
        <v>0.3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0.02</v>
      </c>
      <c r="I13" s="108">
        <v>0.35000000000000003</v>
      </c>
      <c r="J13" s="108">
        <v>0.39</v>
      </c>
      <c r="K13" s="108">
        <v>0.42</v>
      </c>
      <c r="L13" s="108">
        <v>0.45</v>
      </c>
      <c r="M13" s="108">
        <v>0.49</v>
      </c>
      <c r="N13" s="108">
        <v>0.52</v>
      </c>
      <c r="O13" s="108">
        <v>0.55000000000000004</v>
      </c>
      <c r="P13" s="108">
        <v>0.59</v>
      </c>
      <c r="Q13" s="108">
        <v>0.62</v>
      </c>
      <c r="R13" s="108">
        <v>0.65</v>
      </c>
      <c r="S13" s="108">
        <v>0.69000000000000006</v>
      </c>
      <c r="T13" s="108">
        <v>0.72</v>
      </c>
      <c r="U13" s="108">
        <v>0.45</v>
      </c>
      <c r="V13" s="108">
        <v>0.47000000000000003</v>
      </c>
      <c r="W13" s="108">
        <v>0.49</v>
      </c>
      <c r="X13" s="108">
        <v>0.5</v>
      </c>
      <c r="Y13" s="108">
        <v>0.52</v>
      </c>
      <c r="Z13" s="108">
        <v>0.54</v>
      </c>
      <c r="AA13" s="108">
        <v>0.55000000000000004</v>
      </c>
      <c r="AB13" s="108">
        <v>0.57000000000000006</v>
      </c>
      <c r="AC13" s="108">
        <v>0.59</v>
      </c>
      <c r="AD13" s="108">
        <v>0.6</v>
      </c>
      <c r="AE13" s="108">
        <v>0.62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0.02</v>
      </c>
      <c r="I14" s="108">
        <v>0.2</v>
      </c>
      <c r="J14" s="108">
        <v>0.22</v>
      </c>
      <c r="K14" s="108">
        <v>0.25</v>
      </c>
      <c r="L14" s="108">
        <v>0.27</v>
      </c>
      <c r="M14" s="108">
        <v>0.3</v>
      </c>
      <c r="N14" s="108">
        <v>0.32</v>
      </c>
      <c r="O14" s="108">
        <v>0.35000000000000003</v>
      </c>
      <c r="P14" s="108">
        <v>0.37</v>
      </c>
      <c r="Q14" s="108">
        <v>0.39</v>
      </c>
      <c r="R14" s="108">
        <v>0.42</v>
      </c>
      <c r="S14" s="108">
        <v>0.44</v>
      </c>
      <c r="T14" s="108">
        <v>0.47000000000000003</v>
      </c>
      <c r="U14" s="108">
        <v>0.34</v>
      </c>
      <c r="V14" s="108">
        <v>0.35000000000000003</v>
      </c>
      <c r="W14" s="108">
        <v>0.36</v>
      </c>
      <c r="X14" s="108">
        <v>0.37</v>
      </c>
      <c r="Y14" s="108">
        <v>0.38</v>
      </c>
      <c r="Z14" s="108">
        <v>0.39</v>
      </c>
      <c r="AA14" s="108">
        <v>0.39</v>
      </c>
      <c r="AB14" s="108">
        <v>0.4</v>
      </c>
      <c r="AC14" s="108">
        <v>0.41000000000000003</v>
      </c>
      <c r="AD14" s="108">
        <v>0.42</v>
      </c>
      <c r="AE14" s="108">
        <v>0.43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0.02</v>
      </c>
      <c r="I15" s="108">
        <v>0.03</v>
      </c>
      <c r="J15" s="108">
        <v>0.04</v>
      </c>
      <c r="K15" s="108">
        <v>0.05</v>
      </c>
      <c r="L15" s="108">
        <v>0.06</v>
      </c>
      <c r="M15" s="108">
        <v>0.08</v>
      </c>
      <c r="N15" s="108">
        <v>0.09</v>
      </c>
      <c r="O15" s="108">
        <v>9.9999999999999992E-2</v>
      </c>
      <c r="P15" s="108">
        <v>0.11</v>
      </c>
      <c r="Q15" s="108">
        <v>0.12</v>
      </c>
      <c r="R15" s="108">
        <v>0.14000000000000001</v>
      </c>
      <c r="S15" s="108">
        <v>0.15000000000000002</v>
      </c>
      <c r="T15" s="108">
        <v>0.16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0.02</v>
      </c>
      <c r="I16" s="108">
        <v>0.03</v>
      </c>
      <c r="J16" s="108">
        <v>0.04</v>
      </c>
      <c r="K16" s="108">
        <v>0.05</v>
      </c>
      <c r="L16" s="108">
        <v>0.06</v>
      </c>
      <c r="M16" s="108">
        <v>0.08</v>
      </c>
      <c r="N16" s="108">
        <v>0.09</v>
      </c>
      <c r="O16" s="108">
        <v>9.9999999999999992E-2</v>
      </c>
      <c r="P16" s="108">
        <v>0.11</v>
      </c>
      <c r="Q16" s="108">
        <v>0.12</v>
      </c>
      <c r="R16" s="108">
        <v>0.14000000000000001</v>
      </c>
      <c r="S16" s="108">
        <v>0.15000000000000002</v>
      </c>
      <c r="T16" s="108">
        <v>0.16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0.3</v>
      </c>
      <c r="I17" s="108">
        <v>0.6</v>
      </c>
      <c r="J17" s="108">
        <v>0.9</v>
      </c>
      <c r="K17" s="108">
        <v>1.2</v>
      </c>
      <c r="L17" s="108">
        <v>1.5</v>
      </c>
      <c r="M17" s="108">
        <v>1.8</v>
      </c>
      <c r="N17" s="108">
        <v>2.1</v>
      </c>
      <c r="O17" s="108">
        <v>2.4</v>
      </c>
      <c r="P17" s="108">
        <v>2.7</v>
      </c>
      <c r="Q17" s="108">
        <v>3</v>
      </c>
      <c r="R17" s="108">
        <v>3.3</v>
      </c>
      <c r="S17" s="108">
        <v>3.6</v>
      </c>
      <c r="T17" s="108">
        <v>3.9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3</v>
      </c>
      <c r="I21" s="120">
        <v>7</v>
      </c>
      <c r="J21" s="120">
        <v>10</v>
      </c>
      <c r="K21" s="120">
        <v>13</v>
      </c>
      <c r="L21" s="120">
        <v>16</v>
      </c>
      <c r="M21" s="120">
        <v>20</v>
      </c>
      <c r="N21" s="120">
        <v>23</v>
      </c>
      <c r="O21" s="120">
        <v>26</v>
      </c>
      <c r="P21" s="120">
        <v>29</v>
      </c>
      <c r="Q21" s="120">
        <v>33</v>
      </c>
      <c r="R21" s="120">
        <v>36</v>
      </c>
      <c r="S21" s="120">
        <v>39</v>
      </c>
      <c r="T21" s="120">
        <v>42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165.07653631284921</v>
      </c>
      <c r="I22" s="78">
        <v>165.07653631284921</v>
      </c>
      <c r="J22" s="78">
        <v>165.07653631284916</v>
      </c>
      <c r="K22" s="78">
        <v>165.07653631284921</v>
      </c>
      <c r="L22" s="78">
        <v>165.07653631284919</v>
      </c>
      <c r="M22" s="78">
        <v>165.07653631284916</v>
      </c>
      <c r="N22" s="78">
        <v>165.07653631284916</v>
      </c>
      <c r="O22" s="78">
        <v>165.07653631284921</v>
      </c>
      <c r="P22" s="78">
        <v>165.07653631284921</v>
      </c>
      <c r="Q22" s="78">
        <v>170.02883240223466</v>
      </c>
      <c r="R22" s="78">
        <v>170.02883240223468</v>
      </c>
      <c r="S22" s="78">
        <v>170.02883240223466</v>
      </c>
      <c r="T22" s="78">
        <v>170.02883240223466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315.03999999999996</v>
      </c>
      <c r="I23" s="52">
        <v>630.07999999999993</v>
      </c>
      <c r="J23" s="52">
        <v>945.11999999999989</v>
      </c>
      <c r="K23" s="52">
        <v>1260.1599999999999</v>
      </c>
      <c r="L23" s="52">
        <v>1575.1999999999996</v>
      </c>
      <c r="M23" s="52">
        <v>1890.2399999999998</v>
      </c>
      <c r="N23" s="52">
        <v>2205.2799999999997</v>
      </c>
      <c r="O23" s="52">
        <v>2520.3199999999997</v>
      </c>
      <c r="P23" s="52">
        <v>2835.3599999999992</v>
      </c>
      <c r="Q23" s="52">
        <v>3150.3999999999992</v>
      </c>
      <c r="R23" s="52">
        <v>3465.4399999999996</v>
      </c>
      <c r="S23" s="52">
        <v>3780.4799999999996</v>
      </c>
      <c r="T23" s="52">
        <v>4095.5199999999995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45433.96</v>
      </c>
      <c r="I26" s="12">
        <v>90867.92</v>
      </c>
      <c r="J26" s="12">
        <v>136301.87999999998</v>
      </c>
      <c r="K26" s="12">
        <v>181735.84</v>
      </c>
      <c r="L26" s="12">
        <v>227169.79999999996</v>
      </c>
      <c r="M26" s="12">
        <v>272603.75999999995</v>
      </c>
      <c r="N26" s="12">
        <v>318037.71999999997</v>
      </c>
      <c r="O26" s="12">
        <v>363471.68</v>
      </c>
      <c r="P26" s="12">
        <v>408905.63999999996</v>
      </c>
      <c r="Q26" s="12">
        <v>467969.78799999994</v>
      </c>
      <c r="R26" s="12">
        <v>514766.76679999998</v>
      </c>
      <c r="S26" s="12">
        <v>561563.74560000002</v>
      </c>
      <c r="T26" s="12">
        <v>608360.72439999995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2663.9599999999996</v>
      </c>
      <c r="I27" s="12">
        <v>5327.9199999999992</v>
      </c>
      <c r="J27" s="12">
        <v>7991.8799999999992</v>
      </c>
      <c r="K27" s="12">
        <v>10655.839999999998</v>
      </c>
      <c r="L27" s="12">
        <v>13319.799999999997</v>
      </c>
      <c r="M27" s="12">
        <v>15983.759999999998</v>
      </c>
      <c r="N27" s="12">
        <v>18647.719999999998</v>
      </c>
      <c r="O27" s="12">
        <v>21311.679999999997</v>
      </c>
      <c r="P27" s="12">
        <v>23975.639999999996</v>
      </c>
      <c r="Q27" s="12">
        <v>27438.787999999997</v>
      </c>
      <c r="R27" s="12">
        <v>30182.666799999999</v>
      </c>
      <c r="S27" s="12">
        <v>32926.545599999998</v>
      </c>
      <c r="T27" s="12">
        <v>35670.424399999996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6331.181999999998</v>
      </c>
      <c r="I28" s="12">
        <v>12662.363999999996</v>
      </c>
      <c r="J28" s="12">
        <v>18993.545999999995</v>
      </c>
      <c r="K28" s="12">
        <v>25324.727999999992</v>
      </c>
      <c r="L28" s="12">
        <v>31655.909999999989</v>
      </c>
      <c r="M28" s="12">
        <v>37987.09199999999</v>
      </c>
      <c r="N28" s="12">
        <v>44318.27399999999</v>
      </c>
      <c r="O28" s="12">
        <v>50649.455999999984</v>
      </c>
      <c r="P28" s="12">
        <v>56980.637999999984</v>
      </c>
      <c r="Q28" s="12">
        <v>65211.174599999984</v>
      </c>
      <c r="R28" s="12">
        <v>71732.292059999978</v>
      </c>
      <c r="S28" s="12">
        <v>78253.409519999972</v>
      </c>
      <c r="T28" s="12">
        <v>84774.526979999995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487.01399999999995</v>
      </c>
      <c r="I29" s="12">
        <v>974.02799999999991</v>
      </c>
      <c r="J29" s="12">
        <v>1461.0420000000001</v>
      </c>
      <c r="K29" s="12">
        <v>1948.0559999999998</v>
      </c>
      <c r="L29" s="12">
        <v>2435.0699999999997</v>
      </c>
      <c r="M29" s="12">
        <v>2922.0840000000003</v>
      </c>
      <c r="N29" s="12">
        <v>3409.098</v>
      </c>
      <c r="O29" s="12">
        <v>3896.1119999999996</v>
      </c>
      <c r="P29" s="12">
        <v>4383.1260000000002</v>
      </c>
      <c r="Q29" s="12">
        <v>5016.2442000000001</v>
      </c>
      <c r="R29" s="12">
        <v>5517.8686199999993</v>
      </c>
      <c r="S29" s="12">
        <v>6019.4930400000003</v>
      </c>
      <c r="T29" s="12">
        <v>6521.1174600000013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635.43999999999994</v>
      </c>
      <c r="I30" s="12">
        <v>1270.8799999999999</v>
      </c>
      <c r="J30" s="12">
        <v>1906.3199999999997</v>
      </c>
      <c r="K30" s="12">
        <v>2541.7599999999998</v>
      </c>
      <c r="L30" s="12">
        <v>3177.1999999999994</v>
      </c>
      <c r="M30" s="12">
        <v>3812.6399999999994</v>
      </c>
      <c r="N30" s="12">
        <v>4448.08</v>
      </c>
      <c r="O30" s="12">
        <v>5083.5199999999995</v>
      </c>
      <c r="P30" s="12">
        <v>5718.9599999999991</v>
      </c>
      <c r="Q30" s="12">
        <v>6545.0319999999992</v>
      </c>
      <c r="R30" s="12">
        <v>7199.5351999999993</v>
      </c>
      <c r="S30" s="12">
        <v>7854.0383999999995</v>
      </c>
      <c r="T30" s="12">
        <v>8508.5416000000005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-9775.5657199999987</v>
      </c>
      <c r="I35" s="12">
        <v>-16441.75244</v>
      </c>
      <c r="J35" s="12">
        <v>-23107.939159999998</v>
      </c>
      <c r="K35" s="12">
        <v>-29774.12588</v>
      </c>
      <c r="L35" s="12">
        <v>-36440.31259999999</v>
      </c>
      <c r="M35" s="12">
        <v>-43106.499319999988</v>
      </c>
      <c r="N35" s="12">
        <v>-49772.686039999986</v>
      </c>
      <c r="O35" s="12">
        <v>-56438.872759999998</v>
      </c>
      <c r="P35" s="12">
        <v>-63105.059479999996</v>
      </c>
      <c r="Q35" s="12">
        <v>-71864.383585999982</v>
      </c>
      <c r="R35" s="12">
        <v>-78730.555907599992</v>
      </c>
      <c r="S35" s="12">
        <v>-85596.728229199987</v>
      </c>
      <c r="T35" s="12">
        <v>-92462.900550799983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69023.521946666675</v>
      </c>
      <c r="I37" s="13">
        <v>115244.93122666668</v>
      </c>
      <c r="J37" s="13">
        <v>161466.34050666663</v>
      </c>
      <c r="K37" s="13">
        <v>207687.74978666668</v>
      </c>
      <c r="L37" s="13">
        <v>253909.15906666662</v>
      </c>
      <c r="M37" s="13">
        <v>300130.56834666658</v>
      </c>
      <c r="N37" s="13">
        <v>346351.9776266666</v>
      </c>
      <c r="O37" s="13">
        <v>392573.38690666668</v>
      </c>
      <c r="P37" s="13">
        <v>438794.79618666659</v>
      </c>
      <c r="Q37" s="13">
        <v>499566.69163066661</v>
      </c>
      <c r="R37" s="13">
        <v>547174.74318906665</v>
      </c>
      <c r="S37" s="13">
        <v>594782.79474746657</v>
      </c>
      <c r="T37" s="13">
        <v>642390.84630586649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43612.98992400329</v>
      </c>
      <c r="I40" s="12">
        <v>74421.884381339914</v>
      </c>
      <c r="J40" s="12">
        <v>93883.674305343186</v>
      </c>
      <c r="K40" s="12">
        <v>113305.23542934647</v>
      </c>
      <c r="L40" s="12">
        <v>132759.66322001643</v>
      </c>
      <c r="M40" s="12">
        <v>152488.25314401975</v>
      </c>
      <c r="N40" s="12">
        <v>171750.79760135635</v>
      </c>
      <c r="O40" s="12">
        <v>191269.02539202629</v>
      </c>
      <c r="P40" s="12">
        <v>210730.81531602962</v>
      </c>
      <c r="Q40" s="12">
        <v>253097.43408403615</v>
      </c>
      <c r="R40" s="12">
        <v>274684.45132043981</v>
      </c>
      <c r="S40" s="12">
        <v>296198.75357017672</v>
      </c>
      <c r="T40" s="12">
        <v>317562.47080658033</v>
      </c>
      <c r="U40" s="12">
        <v>333243.20304298401</v>
      </c>
      <c r="V40" s="12">
        <v>333553.69637631736</v>
      </c>
      <c r="W40" s="12">
        <v>333970.52304298396</v>
      </c>
      <c r="X40" s="12">
        <v>334214.02637631731</v>
      </c>
      <c r="Y40" s="12">
        <v>334524.51970965072</v>
      </c>
      <c r="Z40" s="12">
        <v>334941.34637631732</v>
      </c>
      <c r="AA40" s="12">
        <v>335114.66970965068</v>
      </c>
      <c r="AB40" s="12">
        <v>335425.16304298397</v>
      </c>
      <c r="AC40" s="12">
        <v>369309.22201394913</v>
      </c>
      <c r="AD40" s="12">
        <v>369694.04234728246</v>
      </c>
      <c r="AE40" s="12">
        <v>370035.58501394914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363.89520000000005</v>
      </c>
      <c r="I44" s="12">
        <v>963.64839999999992</v>
      </c>
      <c r="J44" s="12">
        <v>993.97300000000007</v>
      </c>
      <c r="K44" s="12">
        <v>1024.2975999999999</v>
      </c>
      <c r="L44" s="12">
        <v>1054.6222</v>
      </c>
      <c r="M44" s="12">
        <v>1095.0550000000001</v>
      </c>
      <c r="N44" s="12">
        <v>1122.0101999999999</v>
      </c>
      <c r="O44" s="12">
        <v>1155.7042000000001</v>
      </c>
      <c r="P44" s="12">
        <v>1186.0287999999998</v>
      </c>
      <c r="Q44" s="12">
        <v>1261.5033600000002</v>
      </c>
      <c r="R44" s="12">
        <v>1300.0492959999999</v>
      </c>
      <c r="S44" s="12">
        <v>1335.0910559999998</v>
      </c>
      <c r="T44" s="12">
        <v>1366.6286400000004</v>
      </c>
      <c r="U44" s="12">
        <v>1156.37808</v>
      </c>
      <c r="V44" s="12">
        <v>1170.3947840000001</v>
      </c>
      <c r="W44" s="12">
        <v>1187.9156640000001</v>
      </c>
      <c r="X44" s="12">
        <v>1198.4281919999999</v>
      </c>
      <c r="Y44" s="12">
        <v>1212.444896</v>
      </c>
      <c r="Z44" s="12">
        <v>1229.965776</v>
      </c>
      <c r="AA44" s="12">
        <v>1236.9741279999998</v>
      </c>
      <c r="AB44" s="12">
        <v>1250.990832</v>
      </c>
      <c r="AC44" s="12">
        <v>1315.6078374400001</v>
      </c>
      <c r="AD44" s="12">
        <v>1330.1852096000002</v>
      </c>
      <c r="AE44" s="12">
        <v>1344.7625817600001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3533.9999999999991</v>
      </c>
      <c r="I46" s="12">
        <v>5399.4999999999991</v>
      </c>
      <c r="J46" s="12">
        <v>6677</v>
      </c>
      <c r="K46" s="12">
        <v>7950.9999999999991</v>
      </c>
      <c r="L46" s="12">
        <v>9224.9999999999982</v>
      </c>
      <c r="M46" s="12">
        <v>10513</v>
      </c>
      <c r="N46" s="12">
        <v>11780.000000000002</v>
      </c>
      <c r="O46" s="12">
        <v>13057.5</v>
      </c>
      <c r="P46" s="12">
        <v>14335</v>
      </c>
      <c r="Q46" s="12">
        <v>15917.609999999999</v>
      </c>
      <c r="R46" s="12">
        <v>17224.23</v>
      </c>
      <c r="S46" s="12">
        <v>18530.849999999999</v>
      </c>
      <c r="T46" s="12">
        <v>19830.329999999998</v>
      </c>
      <c r="U46" s="12">
        <v>20879.910000000007</v>
      </c>
      <c r="V46" s="12">
        <v>20894.190000000002</v>
      </c>
      <c r="W46" s="12">
        <v>20912.040000000005</v>
      </c>
      <c r="X46" s="12">
        <v>20922.750000000004</v>
      </c>
      <c r="Y46" s="12">
        <v>20937.030000000006</v>
      </c>
      <c r="Z46" s="12">
        <v>20954.880000000005</v>
      </c>
      <c r="AA46" s="12">
        <v>20962.020000000004</v>
      </c>
      <c r="AB46" s="12">
        <v>20976.300000000003</v>
      </c>
      <c r="AC46" s="12">
        <v>21410.391600000003</v>
      </c>
      <c r="AD46" s="12">
        <v>21424.957200000004</v>
      </c>
      <c r="AE46" s="12">
        <v>21439.522800000002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151234.47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12578.520636484942</v>
      </c>
      <c r="I49" s="12">
        <f>'Corp.'!I$50*(I$37-(I31-I32-I34)*$C$35)/(SUM('MDA1:NCA9'!I$37)-SUM('MDA1:NCA9'!I$31)-SUM('MDA1:NCA9'!I$32)-SUM('MDA1:NCA9'!I$34))</f>
        <v>19795.929178700546</v>
      </c>
      <c r="J49" s="12">
        <f>'Corp.'!J$50*(J$37-(J31-J32-J34)*$C$35)/(SUM('MDA1:NCA9'!J$37)-SUM('MDA1:NCA9'!J$31)-SUM('MDA1:NCA9'!J$32)-SUM('MDA1:NCA9'!J$34))</f>
        <v>25976.548645049832</v>
      </c>
      <c r="K49" s="12">
        <f>'Corp.'!K$50*(K$37-(K31-K32-K34)*$C$35)/(SUM('MDA1:NCA9'!K$37)-SUM('MDA1:NCA9'!K$31)-SUM('MDA1:NCA9'!K$32)-SUM('MDA1:NCA9'!K$34))</f>
        <v>30768.240632008346</v>
      </c>
      <c r="L49" s="12">
        <f>'Corp.'!L$50*(L$37-(L31-L32-L34)*$C$35)/(SUM('MDA1:NCA9'!L$37)-SUM('MDA1:NCA9'!L$31)-SUM('MDA1:NCA9'!L$32)-SUM('MDA1:NCA9'!L$34))</f>
        <v>35605.427790973779</v>
      </c>
      <c r="M49" s="12">
        <f>'Corp.'!M$50*(M$37-(M31-M32-M34)*$C$35)/(SUM('MDA1:NCA9'!M$37)-SUM('MDA1:NCA9'!M$31)-SUM('MDA1:NCA9'!M$32)-SUM('MDA1:NCA9'!M$34))</f>
        <v>39530.373884531356</v>
      </c>
      <c r="N49" s="12">
        <f>'Corp.'!N$50*(N$37-(N31-N32-N34)*$C$35)/(SUM('MDA1:NCA9'!N$37)-SUM('MDA1:NCA9'!N$31)-SUM('MDA1:NCA9'!N$32)-SUM('MDA1:NCA9'!N$34))</f>
        <v>43086.205648740295</v>
      </c>
      <c r="O49" s="12">
        <f>'Corp.'!O$50*(O$37-(O31-O32-O34)*$C$35)/(SUM('MDA1:NCA9'!O$37)-SUM('MDA1:NCA9'!O$31)-SUM('MDA1:NCA9'!O$32)-SUM('MDA1:NCA9'!O$34))</f>
        <v>45825.223190347875</v>
      </c>
      <c r="P49" s="12">
        <f>'Corp.'!P$50*(P$37-(P31-P32-P34)*$C$35)/(SUM('MDA1:NCA9'!P$37)-SUM('MDA1:NCA9'!P$31)-SUM('MDA1:NCA9'!P$32)-SUM('MDA1:NCA9'!P$34))</f>
        <v>48463.826345041154</v>
      </c>
      <c r="Q49" s="12">
        <f>'Corp.'!Q$50*(Q$37-(Q31-Q32-Q34)*$C$35)/(SUM('MDA1:NCA9'!Q$37)-SUM('MDA1:NCA9'!Q$31)-SUM('MDA1:NCA9'!Q$32)-SUM('MDA1:NCA9'!Q$34))</f>
        <v>55993.495770839589</v>
      </c>
      <c r="R49" s="12">
        <f>'Corp.'!R$50*(R$37-(R31-R32-R34)*$C$35)/(SUM('MDA1:NCA9'!R$37)-SUM('MDA1:NCA9'!R$31)-SUM('MDA1:NCA9'!R$32)-SUM('MDA1:NCA9'!R$34))</f>
        <v>59123.961886353041</v>
      </c>
      <c r="S49" s="12">
        <f>'Corp.'!S$50*(S$37-(S31-S32-S34)*$C$35)/(SUM('MDA1:NCA9'!S$37)-SUM('MDA1:NCA9'!S$31)-SUM('MDA1:NCA9'!S$32)-SUM('MDA1:NCA9'!S$34))</f>
        <v>61614.163068377231</v>
      </c>
      <c r="T49" s="12">
        <f>'Corp.'!T$50*(T$37-(T31-T32-T34)*$C$35)/(SUM('MDA1:NCA9'!T$37)-SUM('MDA1:NCA9'!T$31)-SUM('MDA1:NCA9'!T$32)-SUM('MDA1:NCA9'!T$34))</f>
        <v>64128.919793803412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151234.47</v>
      </c>
      <c r="G50" s="13">
        <v>0</v>
      </c>
      <c r="H50" s="13">
        <v>96925.510560488226</v>
      </c>
      <c r="I50" s="13">
        <v>136817.31356004046</v>
      </c>
      <c r="J50" s="13">
        <v>163737.22295039301</v>
      </c>
      <c r="K50" s="13">
        <v>189224.47606135483</v>
      </c>
      <c r="L50" s="13">
        <v>214790.0910109902</v>
      </c>
      <c r="M50" s="13">
        <v>239731.6270285511</v>
      </c>
      <c r="N50" s="13">
        <v>263817.00325009663</v>
      </c>
      <c r="O50" s="13">
        <v>287351.74858237419</v>
      </c>
      <c r="P50" s="13">
        <v>310729.64166107075</v>
      </c>
      <c r="Q50" s="13">
        <v>363456.53985487571</v>
      </c>
      <c r="R50" s="13">
        <v>389480.64320679283</v>
      </c>
      <c r="S50" s="13">
        <v>414791.76663855393</v>
      </c>
      <c r="T50" s="13">
        <v>439969.72060038376</v>
      </c>
      <c r="U50" s="13">
        <v>459681.12918569084</v>
      </c>
      <c r="V50" s="13">
        <v>458568.23981003306</v>
      </c>
      <c r="W50" s="13">
        <v>457112.75625367131</v>
      </c>
      <c r="X50" s="13">
        <v>455471.28265882027</v>
      </c>
      <c r="Y50" s="13">
        <v>454567.76669988176</v>
      </c>
      <c r="Z50" s="13">
        <v>453773.47414546856</v>
      </c>
      <c r="AA50" s="13">
        <v>452679.34259582061</v>
      </c>
      <c r="AB50" s="13">
        <v>451758.27169443603</v>
      </c>
      <c r="AC50" s="13">
        <v>492044.20861530514</v>
      </c>
      <c r="AD50" s="13">
        <v>491498.04130536009</v>
      </c>
      <c r="AE50" s="13">
        <v>490958.98120016034</v>
      </c>
      <c r="AF50" s="13">
        <v>490473.30904548994</v>
      </c>
      <c r="AG50" s="13">
        <v>489802.95126794273</v>
      </c>
      <c r="AH50" s="13">
        <v>488914.22524148942</v>
      </c>
      <c r="AI50" s="13">
        <v>487992.82571459655</v>
      </c>
      <c r="AJ50" s="13">
        <v>487041.638881422</v>
      </c>
      <c r="AK50" s="13">
        <v>486163.0300037681</v>
      </c>
      <c r="AL50" s="13">
        <v>485355.4123373644</v>
      </c>
      <c r="AM50" s="13">
        <v>484484.63193344069</v>
      </c>
      <c r="AN50" s="13">
        <v>483743.51224889903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-151234.47</v>
      </c>
      <c r="G52" s="74">
        <f t="shared" si="0"/>
        <v>0</v>
      </c>
      <c r="H52" s="74">
        <f t="shared" si="0"/>
        <v>-27901.988613821552</v>
      </c>
      <c r="I52" s="74">
        <f t="shared" si="0"/>
        <v>-21572.382333373782</v>
      </c>
      <c r="J52" s="74">
        <f t="shared" si="0"/>
        <v>-2270.8824437263829</v>
      </c>
      <c r="K52" s="74">
        <f t="shared" si="0"/>
        <v>18463.273725311854</v>
      </c>
      <c r="L52" s="74">
        <f t="shared" si="0"/>
        <v>39119.068055676413</v>
      </c>
      <c r="M52" s="74">
        <f t="shared" si="0"/>
        <v>60398.941318115481</v>
      </c>
      <c r="N52" s="74">
        <f t="shared" si="0"/>
        <v>82534.974376569968</v>
      </c>
      <c r="O52" s="74">
        <f t="shared" si="0"/>
        <v>105221.63832429249</v>
      </c>
      <c r="P52" s="74">
        <f t="shared" si="0"/>
        <v>128065.15452559583</v>
      </c>
      <c r="Q52" s="74">
        <f t="shared" si="0"/>
        <v>136110.1517757909</v>
      </c>
      <c r="R52" s="74">
        <f t="shared" si="0"/>
        <v>157694.09998227382</v>
      </c>
      <c r="S52" s="74">
        <f t="shared" si="0"/>
        <v>179991.02810891264</v>
      </c>
      <c r="T52" s="74">
        <f t="shared" si="0"/>
        <v>202421.12570548273</v>
      </c>
      <c r="U52" s="74">
        <f t="shared" si="0"/>
        <v>230317.7686785757</v>
      </c>
      <c r="V52" s="74">
        <f t="shared" si="0"/>
        <v>231430.65805423347</v>
      </c>
      <c r="W52" s="74">
        <f t="shared" si="0"/>
        <v>232886.14161059522</v>
      </c>
      <c r="X52" s="74">
        <f t="shared" si="0"/>
        <v>234527.61520544626</v>
      </c>
      <c r="Y52" s="74">
        <f t="shared" si="0"/>
        <v>235431.13116438477</v>
      </c>
      <c r="Z52" s="74">
        <f t="shared" si="0"/>
        <v>236225.42371879797</v>
      </c>
      <c r="AA52" s="74">
        <f t="shared" si="0"/>
        <v>237319.55526844593</v>
      </c>
      <c r="AB52" s="74">
        <f t="shared" si="0"/>
        <v>238240.6261698305</v>
      </c>
      <c r="AC52" s="74">
        <f t="shared" si="0"/>
        <v>197954.6892489614</v>
      </c>
      <c r="AD52" s="74">
        <f t="shared" si="0"/>
        <v>198500.85655890644</v>
      </c>
      <c r="AE52" s="74">
        <f t="shared" si="0"/>
        <v>199039.91666410619</v>
      </c>
      <c r="AF52" s="74">
        <f t="shared" si="0"/>
        <v>199525.5888187766</v>
      </c>
      <c r="AG52" s="74">
        <f t="shared" si="0"/>
        <v>200195.9465963238</v>
      </c>
      <c r="AH52" s="74">
        <f t="shared" si="0"/>
        <v>201084.67262277711</v>
      </c>
      <c r="AI52" s="74">
        <f t="shared" si="0"/>
        <v>202006.07214966998</v>
      </c>
      <c r="AJ52" s="74">
        <f t="shared" si="0"/>
        <v>202957.25898284453</v>
      </c>
      <c r="AK52" s="74">
        <f t="shared" si="0"/>
        <v>203835.86786049843</v>
      </c>
      <c r="AL52" s="74">
        <f t="shared" si="0"/>
        <v>204643.48552690214</v>
      </c>
      <c r="AM52" s="74">
        <f t="shared" si="0"/>
        <v>205514.26593082584</v>
      </c>
      <c r="AN52" s="74">
        <f t="shared" si="0"/>
        <v>206255.3856153675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>
        <f t="shared" si="1"/>
        <v>-0.40423884245403985</v>
      </c>
      <c r="I53" s="107">
        <f t="shared" si="1"/>
        <v>-0.18718725503809505</v>
      </c>
      <c r="J53" s="107">
        <f t="shared" si="1"/>
        <v>-1.4064122817180108E-2</v>
      </c>
      <c r="K53" s="107">
        <f t="shared" si="1"/>
        <v>8.8899194797367756E-2</v>
      </c>
      <c r="L53" s="107">
        <f t="shared" si="1"/>
        <v>0.15406717977198009</v>
      </c>
      <c r="M53" s="107">
        <f t="shared" si="1"/>
        <v>0.20124221818136009</v>
      </c>
      <c r="N53" s="107">
        <f t="shared" si="1"/>
        <v>0.23829797347233445</v>
      </c>
      <c r="O53" s="107">
        <f t="shared" si="1"/>
        <v>0.26803049272748758</v>
      </c>
      <c r="P53" s="107">
        <f t="shared" si="1"/>
        <v>0.29185659364819805</v>
      </c>
      <c r="Q53" s="107">
        <f t="shared" si="1"/>
        <v>0.27245641884470984</v>
      </c>
      <c r="R53" s="107">
        <f t="shared" si="1"/>
        <v>0.28819696439787135</v>
      </c>
      <c r="S53" s="107">
        <f t="shared" si="1"/>
        <v>0.30261639996720718</v>
      </c>
      <c r="T53" s="107">
        <f t="shared" si="1"/>
        <v>0.31510586875502022</v>
      </c>
      <c r="U53" s="107">
        <f t="shared" si="1"/>
        <v>0.33379440081929346</v>
      </c>
      <c r="V53" s="107">
        <f t="shared" si="1"/>
        <v>0.33540728654868007</v>
      </c>
      <c r="W53" s="107">
        <f t="shared" si="1"/>
        <v>0.33751668637651583</v>
      </c>
      <c r="X53" s="107">
        <f t="shared" si="1"/>
        <v>0.33989563741532453</v>
      </c>
      <c r="Y53" s="107">
        <f t="shared" si="1"/>
        <v>0.34120508292565088</v>
      </c>
      <c r="Z53" s="107">
        <f t="shared" si="1"/>
        <v>0.34235623339396576</v>
      </c>
      <c r="AA53" s="107">
        <f t="shared" si="1"/>
        <v>0.34394193382484267</v>
      </c>
      <c r="AB53" s="107">
        <f t="shared" si="1"/>
        <v>0.34527682132138149</v>
      </c>
      <c r="AC53" s="107">
        <f t="shared" si="1"/>
        <v>0.28689131223496844</v>
      </c>
      <c r="AD53" s="107">
        <f t="shared" si="1"/>
        <v>0.28768286032531409</v>
      </c>
      <c r="AE53" s="107">
        <f t="shared" si="1"/>
        <v>0.28846410810247469</v>
      </c>
      <c r="AF53" s="107">
        <f t="shared" si="1"/>
        <v>0.28916798191469917</v>
      </c>
      <c r="AG53" s="107">
        <f t="shared" si="1"/>
        <v>0.29013951647746755</v>
      </c>
      <c r="AH53" s="107">
        <f t="shared" si="1"/>
        <v>0.29142752726879512</v>
      </c>
      <c r="AI53" s="107">
        <f t="shared" si="1"/>
        <v>0.29276289103494729</v>
      </c>
      <c r="AJ53" s="107">
        <f t="shared" si="1"/>
        <v>0.29414142487915884</v>
      </c>
      <c r="AK53" s="107">
        <f t="shared" si="1"/>
        <v>0.29541477311257403</v>
      </c>
      <c r="AL53" s="107">
        <f t="shared" si="1"/>
        <v>0.29658523536824355</v>
      </c>
      <c r="AM53" s="107">
        <f t="shared" si="1"/>
        <v>0.29784723796943469</v>
      </c>
      <c r="AN53" s="107">
        <f t="shared" si="1"/>
        <v>0.29892132618440953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235166.66666666666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-54276.210786933363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-57980.095368799972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-60759.55176506663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-63995.050414666664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-67230.549064266728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-70466.047713866617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-386401.13666666666</v>
      </c>
      <c r="G58" s="13">
        <f t="shared" si="2"/>
        <v>-235166.66666666666</v>
      </c>
      <c r="H58" s="13">
        <f t="shared" si="2"/>
        <v>-263068.65528048819</v>
      </c>
      <c r="I58" s="13">
        <f t="shared" si="2"/>
        <v>-256739.04900004045</v>
      </c>
      <c r="J58" s="13">
        <f t="shared" si="2"/>
        <v>-237437.54911039304</v>
      </c>
      <c r="K58" s="13">
        <f t="shared" si="2"/>
        <v>-270979.60372828814</v>
      </c>
      <c r="L58" s="13">
        <f t="shared" si="2"/>
        <v>-18861.027313123559</v>
      </c>
      <c r="M58" s="13">
        <f t="shared" si="2"/>
        <v>-360.61044695114833</v>
      </c>
      <c r="N58" s="13">
        <f t="shared" si="2"/>
        <v>18539.923961903303</v>
      </c>
      <c r="O58" s="13">
        <f t="shared" si="2"/>
        <v>37991.089260025765</v>
      </c>
      <c r="P58" s="13">
        <f t="shared" si="2"/>
        <v>57599.106811729216</v>
      </c>
      <c r="Q58" s="13">
        <f t="shared" si="2"/>
        <v>98023.77791579091</v>
      </c>
      <c r="R58" s="13">
        <f t="shared" si="2"/>
        <v>112674.51473027383</v>
      </c>
      <c r="S58" s="13">
        <f t="shared" si="2"/>
        <v>128038.23146491265</v>
      </c>
      <c r="T58" s="13">
        <f t="shared" si="2"/>
        <v>143535.11766948272</v>
      </c>
      <c r="U58" s="13">
        <f t="shared" si="2"/>
        <v>164498.54925057571</v>
      </c>
      <c r="V58" s="13">
        <f t="shared" si="2"/>
        <v>156495.65430963348</v>
      </c>
      <c r="W58" s="13">
        <f t="shared" si="2"/>
        <v>150809.93013223523</v>
      </c>
      <c r="X58" s="13">
        <f t="shared" si="2"/>
        <v>145310.19599332626</v>
      </c>
      <c r="Y58" s="13">
        <f t="shared" si="2"/>
        <v>139072.50421850482</v>
      </c>
      <c r="Z58" s="13">
        <f t="shared" si="2"/>
        <v>132725.58903915802</v>
      </c>
      <c r="AA58" s="13">
        <f t="shared" si="2"/>
        <v>133819.72058880597</v>
      </c>
      <c r="AB58" s="13">
        <f t="shared" si="2"/>
        <v>134740.79149019055</v>
      </c>
      <c r="AC58" s="13">
        <f t="shared" si="2"/>
        <v>94454.854569321426</v>
      </c>
      <c r="AD58" s="13">
        <f t="shared" si="2"/>
        <v>95001.021879266467</v>
      </c>
      <c r="AE58" s="13">
        <f t="shared" si="2"/>
        <v>95540.081984466218</v>
      </c>
      <c r="AF58" s="13">
        <f t="shared" si="2"/>
        <v>96025.754139136625</v>
      </c>
      <c r="AG58" s="13">
        <f t="shared" si="2"/>
        <v>96696.111916683833</v>
      </c>
      <c r="AH58" s="13">
        <f t="shared" si="2"/>
        <v>97584.837943137143</v>
      </c>
      <c r="AI58" s="13">
        <f t="shared" si="2"/>
        <v>98506.237470030013</v>
      </c>
      <c r="AJ58" s="13">
        <f t="shared" si="2"/>
        <v>99457.424303204563</v>
      </c>
      <c r="AK58" s="13">
        <f t="shared" si="2"/>
        <v>100336.03318085846</v>
      </c>
      <c r="AL58" s="13">
        <f t="shared" si="2"/>
        <v>101143.65084726216</v>
      </c>
      <c r="AM58" s="13">
        <f t="shared" si="2"/>
        <v>102014.43125118587</v>
      </c>
      <c r="AN58" s="13">
        <f t="shared" si="2"/>
        <v>102755.55093572753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-386401.13666666666</v>
      </c>
      <c r="G59" s="12">
        <v>-621567.80333333334</v>
      </c>
      <c r="H59" s="12">
        <v>-884636.45861382154</v>
      </c>
      <c r="I59" s="12">
        <v>-1141375.5076138619</v>
      </c>
      <c r="J59" s="12">
        <v>-1378813.056724255</v>
      </c>
      <c r="K59" s="12">
        <v>-1649792.6604525431</v>
      </c>
      <c r="L59" s="12">
        <v>-1668653.6877656665</v>
      </c>
      <c r="M59" s="12">
        <v>-1669014.2982126176</v>
      </c>
      <c r="N59" s="12">
        <v>-1650474.3742507144</v>
      </c>
      <c r="O59" s="12">
        <v>-1612483.2849906888</v>
      </c>
      <c r="P59" s="12">
        <v>-1554884.1781789595</v>
      </c>
      <c r="Q59" s="12">
        <v>-1456860.4002631686</v>
      </c>
      <c r="R59" s="12">
        <v>-1344185.8855328949</v>
      </c>
      <c r="S59" s="12">
        <v>-1216147.6540679822</v>
      </c>
      <c r="T59" s="12">
        <v>-1072612.5363984995</v>
      </c>
      <c r="U59" s="12">
        <v>-908113.98714792379</v>
      </c>
      <c r="V59" s="12">
        <v>-751618.33283829037</v>
      </c>
      <c r="W59" s="12">
        <v>-600808.4027060552</v>
      </c>
      <c r="X59" s="12">
        <v>-455498.20671272895</v>
      </c>
      <c r="Y59" s="12">
        <v>-316425.70249422413</v>
      </c>
      <c r="Z59" s="12">
        <v>-183700.11345506611</v>
      </c>
      <c r="AA59" s="12">
        <v>-49880.392866260139</v>
      </c>
      <c r="AB59" s="12">
        <v>84860.398623930407</v>
      </c>
      <c r="AC59" s="12">
        <v>179315.25319325185</v>
      </c>
      <c r="AD59" s="12">
        <v>274316.27507251833</v>
      </c>
      <c r="AE59" s="12">
        <v>369856.35705698456</v>
      </c>
      <c r="AF59" s="12">
        <v>465882.1111961212</v>
      </c>
      <c r="AG59" s="12">
        <v>562578.22311280505</v>
      </c>
      <c r="AH59" s="12">
        <v>660163.06105594221</v>
      </c>
      <c r="AI59" s="12">
        <v>758669.29852597218</v>
      </c>
      <c r="AJ59" s="12">
        <v>858126.7228291767</v>
      </c>
      <c r="AK59" s="12">
        <v>958462.75601003517</v>
      </c>
      <c r="AL59" s="12">
        <v>1059606.4068572973</v>
      </c>
      <c r="AM59" s="12">
        <v>1161620.8381084832</v>
      </c>
      <c r="AN59" s="12">
        <v>1264376.3890442108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2887.8263378764791</v>
      </c>
      <c r="I63" s="12">
        <v>5775.6526757529582</v>
      </c>
      <c r="J63" s="12">
        <v>8663.4790136294396</v>
      </c>
      <c r="K63" s="12">
        <v>11551.305351505916</v>
      </c>
      <c r="L63" s="12">
        <v>14439.131689382399</v>
      </c>
      <c r="M63" s="12">
        <v>17326.958027258879</v>
      </c>
      <c r="N63" s="12">
        <v>20214.784365135358</v>
      </c>
      <c r="O63" s="12">
        <v>23102.610703011833</v>
      </c>
      <c r="P63" s="12">
        <v>25990.437040888315</v>
      </c>
      <c r="Q63" s="12">
        <v>29744.611280127738</v>
      </c>
      <c r="R63" s="12">
        <v>32719.072408140517</v>
      </c>
      <c r="S63" s="12">
        <v>35693.533536153293</v>
      </c>
      <c r="T63" s="12">
        <v>38667.994664166064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385.87127394816008</v>
      </c>
      <c r="I64" s="12">
        <v>771.74254789632016</v>
      </c>
      <c r="J64" s="12">
        <v>1157.6138218444801</v>
      </c>
      <c r="K64" s="12">
        <v>1543.4850957926403</v>
      </c>
      <c r="L64" s="12">
        <v>1929.3563697408006</v>
      </c>
      <c r="M64" s="12">
        <v>2315.2276436889601</v>
      </c>
      <c r="N64" s="12">
        <v>2701.0989176371204</v>
      </c>
      <c r="O64" s="12">
        <v>3086.9701915852806</v>
      </c>
      <c r="P64" s="12">
        <v>3472.8414655334409</v>
      </c>
      <c r="Q64" s="12">
        <v>3974.4741216660486</v>
      </c>
      <c r="R64" s="12">
        <v>4371.9215338326539</v>
      </c>
      <c r="S64" s="12">
        <v>4769.3689459992584</v>
      </c>
      <c r="T64" s="12">
        <v>5166.8163581658646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2346.7496455603195</v>
      </c>
      <c r="I65" s="12">
        <v>4693.4992911206391</v>
      </c>
      <c r="J65" s="12">
        <v>7040.2489366809596</v>
      </c>
      <c r="K65" s="12">
        <v>9386.9985822412782</v>
      </c>
      <c r="L65" s="12">
        <v>11733.7482278016</v>
      </c>
      <c r="M65" s="12">
        <v>14080.497873361919</v>
      </c>
      <c r="N65" s="12">
        <v>16427.247518922235</v>
      </c>
      <c r="O65" s="12">
        <v>18773.997164482556</v>
      </c>
      <c r="P65" s="12">
        <v>21120.746810042881</v>
      </c>
      <c r="Q65" s="12">
        <v>24171.521349271297</v>
      </c>
      <c r="R65" s="12">
        <v>26588.673484198422</v>
      </c>
      <c r="S65" s="12">
        <v>29005.82561912555</v>
      </c>
      <c r="T65" s="12">
        <v>31422.977754052685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5620.4472573849589</v>
      </c>
      <c r="I67" s="13">
        <v>11240.894514769918</v>
      </c>
      <c r="J67" s="13">
        <v>16861.341772154879</v>
      </c>
      <c r="K67" s="13">
        <v>22481.789029539836</v>
      </c>
      <c r="L67" s="13">
        <v>28102.236286924799</v>
      </c>
      <c r="M67" s="13">
        <v>33722.683544309759</v>
      </c>
      <c r="N67" s="13">
        <v>39343.130801694715</v>
      </c>
      <c r="O67" s="13">
        <v>44963.578059079671</v>
      </c>
      <c r="P67" s="13">
        <v>50584.025316464642</v>
      </c>
      <c r="Q67" s="13">
        <v>57890.60675106509</v>
      </c>
      <c r="R67" s="13">
        <v>63679.667426171589</v>
      </c>
      <c r="S67" s="13">
        <v>69468.728101278102</v>
      </c>
      <c r="T67" s="13">
        <v>75257.788776384608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629.35619066995855</v>
      </c>
      <c r="I72" s="12">
        <v>1258.7123813399171</v>
      </c>
      <c r="J72" s="12">
        <v>1888.0685720098741</v>
      </c>
      <c r="K72" s="12">
        <v>2517.4247626798342</v>
      </c>
      <c r="L72" s="12">
        <v>3146.7809533497898</v>
      </c>
      <c r="M72" s="12">
        <v>3776.1371440197481</v>
      </c>
      <c r="N72" s="12">
        <v>18209.493334689705</v>
      </c>
      <c r="O72" s="12">
        <v>32642.849525359663</v>
      </c>
      <c r="P72" s="12">
        <v>33272.205716029617</v>
      </c>
      <c r="Q72" s="12">
        <v>37291.718097369543</v>
      </c>
      <c r="R72" s="12">
        <v>37984.009907106498</v>
      </c>
      <c r="S72" s="12">
        <v>38676.301716843453</v>
      </c>
      <c r="T72" s="12">
        <v>39368.5935265804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4991.0910667150001</v>
      </c>
      <c r="I75" s="74">
        <v>9982.1821334300002</v>
      </c>
      <c r="J75" s="74">
        <v>14973.273200145006</v>
      </c>
      <c r="K75" s="74">
        <v>19964.36426686</v>
      </c>
      <c r="L75" s="74">
        <v>24955.45533357501</v>
      </c>
      <c r="M75" s="74">
        <v>29946.546400290012</v>
      </c>
      <c r="N75" s="74">
        <v>21133.63746700501</v>
      </c>
      <c r="O75" s="74">
        <v>12320.728533720008</v>
      </c>
      <c r="P75" s="74">
        <v>17311.819600435025</v>
      </c>
      <c r="Q75" s="74">
        <v>20598.888653695547</v>
      </c>
      <c r="R75" s="74">
        <v>25695.657519065091</v>
      </c>
      <c r="S75" s="74">
        <v>30792.42638443465</v>
      </c>
      <c r="T75" s="74">
        <v>35889.195249804208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01A4-B072-4DE8-9D2E-6DB9CBAA4F8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500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1</v>
      </c>
      <c r="J1" s="69">
        <v>3</v>
      </c>
      <c r="K1" s="69">
        <v>5</v>
      </c>
      <c r="L1" s="69">
        <v>6</v>
      </c>
      <c r="M1" s="69">
        <v>8</v>
      </c>
      <c r="N1" s="69">
        <v>10</v>
      </c>
      <c r="O1" s="69">
        <v>12</v>
      </c>
      <c r="P1" s="69">
        <v>13</v>
      </c>
      <c r="Q1" s="69">
        <v>15</v>
      </c>
      <c r="R1" s="69">
        <v>17</v>
      </c>
      <c r="S1" s="69">
        <v>18</v>
      </c>
      <c r="T1" s="69">
        <v>20</v>
      </c>
      <c r="U1" s="69">
        <v>22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1.8809523809523809</v>
      </c>
      <c r="K2" s="69">
        <v>2.0476190476190474</v>
      </c>
      <c r="L2" s="69">
        <v>2.2142857142857144</v>
      </c>
      <c r="M2" s="69">
        <v>2.3809523809523809</v>
      </c>
      <c r="N2" s="69">
        <v>2.5476190476190474</v>
      </c>
      <c r="O2" s="69">
        <v>2.7142857142857144</v>
      </c>
      <c r="P2" s="69">
        <v>2.8809523809523809</v>
      </c>
      <c r="Q2" s="69">
        <v>3.0476190476190474</v>
      </c>
      <c r="R2" s="69">
        <v>3.2142857142857144</v>
      </c>
      <c r="S2" s="69">
        <v>3.3809523809523809</v>
      </c>
      <c r="T2" s="69">
        <v>3.5476190476190474</v>
      </c>
      <c r="U2" s="69">
        <v>3.7142857142857144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0.16666666666666666</v>
      </c>
      <c r="K3" s="69">
        <v>0.33333333333333331</v>
      </c>
      <c r="L3" s="69">
        <v>0.5</v>
      </c>
      <c r="M3" s="69">
        <v>0.66666666666666663</v>
      </c>
      <c r="N3" s="69">
        <v>0.83333333333333337</v>
      </c>
      <c r="O3" s="69">
        <v>1</v>
      </c>
      <c r="P3" s="69">
        <v>1.1666666666666667</v>
      </c>
      <c r="Q3" s="69">
        <v>1.3333333333333333</v>
      </c>
      <c r="R3" s="69">
        <v>1.5</v>
      </c>
      <c r="S3" s="69">
        <v>1.6666666666666667</v>
      </c>
      <c r="T3" s="69">
        <v>1.8333333333333333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1</v>
      </c>
      <c r="J4" s="69">
        <v>4.8809523809523814</v>
      </c>
      <c r="K4" s="69">
        <v>7.0476190476190474</v>
      </c>
      <c r="L4" s="69">
        <v>8.2142857142857153</v>
      </c>
      <c r="M4" s="69">
        <v>10.380952380952381</v>
      </c>
      <c r="N4" s="69">
        <v>12.547619047619047</v>
      </c>
      <c r="O4" s="69">
        <v>14.714285714285715</v>
      </c>
      <c r="P4" s="69">
        <v>15.880952380952381</v>
      </c>
      <c r="Q4" s="69">
        <v>18.047619047619047</v>
      </c>
      <c r="R4" s="69">
        <v>20.214285714285715</v>
      </c>
      <c r="S4" s="69">
        <v>21.38095238095238</v>
      </c>
      <c r="T4" s="69">
        <v>23.547619047619047</v>
      </c>
      <c r="U4" s="69">
        <v>25.714285714285715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2</v>
      </c>
      <c r="J6" s="66">
        <v>4</v>
      </c>
      <c r="K6" s="66">
        <v>5</v>
      </c>
      <c r="L6" s="66">
        <v>6</v>
      </c>
      <c r="M6" s="66">
        <v>7</v>
      </c>
      <c r="N6" s="66">
        <v>8</v>
      </c>
      <c r="O6" s="66">
        <v>9</v>
      </c>
      <c r="P6" s="66">
        <v>10</v>
      </c>
      <c r="Q6" s="66">
        <v>11</v>
      </c>
      <c r="R6" s="66">
        <v>12</v>
      </c>
      <c r="S6" s="66">
        <v>13</v>
      </c>
      <c r="T6" s="66">
        <v>14</v>
      </c>
      <c r="U6" s="66">
        <v>15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0.46</v>
      </c>
      <c r="J7" s="108">
        <v>1.36</v>
      </c>
      <c r="K7" s="108">
        <v>2.2599999999999998</v>
      </c>
      <c r="L7" s="108">
        <v>2.71</v>
      </c>
      <c r="M7" s="108">
        <v>3.61</v>
      </c>
      <c r="N7" s="108">
        <v>4.51</v>
      </c>
      <c r="O7" s="108">
        <v>5.42</v>
      </c>
      <c r="P7" s="108">
        <v>5.87</v>
      </c>
      <c r="Q7" s="108">
        <v>6.77</v>
      </c>
      <c r="R7" s="108">
        <v>7.67</v>
      </c>
      <c r="S7" s="108">
        <v>8.1199999999999992</v>
      </c>
      <c r="T7" s="108">
        <v>9.02</v>
      </c>
      <c r="U7" s="108">
        <v>9.93</v>
      </c>
      <c r="V7" s="108">
        <v>10.83</v>
      </c>
      <c r="W7" s="108">
        <v>10.83</v>
      </c>
      <c r="X7" s="108">
        <v>10.83</v>
      </c>
      <c r="Y7" s="108">
        <v>10.83</v>
      </c>
      <c r="Z7" s="108">
        <v>10.83</v>
      </c>
      <c r="AA7" s="108">
        <v>10.83</v>
      </c>
      <c r="AB7" s="108">
        <v>10.83</v>
      </c>
      <c r="AC7" s="108">
        <v>10.83</v>
      </c>
      <c r="AD7" s="108">
        <v>10.83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9.9999999999999992E-2</v>
      </c>
      <c r="J8" s="108">
        <v>0.28000000000000003</v>
      </c>
      <c r="K8" s="108">
        <v>0.46</v>
      </c>
      <c r="L8" s="108">
        <v>0.55000000000000004</v>
      </c>
      <c r="M8" s="108">
        <v>0.73</v>
      </c>
      <c r="N8" s="108">
        <v>0.91</v>
      </c>
      <c r="O8" s="108">
        <v>1.1000000000000001</v>
      </c>
      <c r="P8" s="108">
        <v>1.19</v>
      </c>
      <c r="Q8" s="108">
        <v>1.37</v>
      </c>
      <c r="R8" s="108">
        <v>1.55</v>
      </c>
      <c r="S8" s="108">
        <v>1.64</v>
      </c>
      <c r="T8" s="108">
        <v>1.82</v>
      </c>
      <c r="U8" s="108">
        <v>2</v>
      </c>
      <c r="V8" s="108">
        <v>2.19</v>
      </c>
      <c r="W8" s="108">
        <v>2.19</v>
      </c>
      <c r="X8" s="108">
        <v>2.19</v>
      </c>
      <c r="Y8" s="108">
        <v>2.19</v>
      </c>
      <c r="Z8" s="108">
        <v>2.19</v>
      </c>
      <c r="AA8" s="108">
        <v>2.19</v>
      </c>
      <c r="AB8" s="108">
        <v>2.19</v>
      </c>
      <c r="AC8" s="108">
        <v>2.19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0.15000000000000002</v>
      </c>
      <c r="K12" s="108">
        <v>0.16</v>
      </c>
      <c r="L12" s="108">
        <v>0.18000000000000002</v>
      </c>
      <c r="M12" s="108">
        <v>0.19</v>
      </c>
      <c r="N12" s="108">
        <v>0.2</v>
      </c>
      <c r="O12" s="108">
        <v>0.21000000000000002</v>
      </c>
      <c r="P12" s="108">
        <v>0.23</v>
      </c>
      <c r="Q12" s="108">
        <v>0.24000000000000002</v>
      </c>
      <c r="R12" s="108">
        <v>0.25</v>
      </c>
      <c r="S12" s="108">
        <v>0.27</v>
      </c>
      <c r="T12" s="108">
        <v>0.28000000000000003</v>
      </c>
      <c r="U12" s="108">
        <v>0.29000000000000004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0.01</v>
      </c>
      <c r="J13" s="108">
        <v>0.21000000000000002</v>
      </c>
      <c r="K13" s="108">
        <v>0.24000000000000002</v>
      </c>
      <c r="L13" s="108">
        <v>0.26</v>
      </c>
      <c r="M13" s="108">
        <v>0.29000000000000004</v>
      </c>
      <c r="N13" s="108">
        <v>0.31</v>
      </c>
      <c r="O13" s="108">
        <v>0.34</v>
      </c>
      <c r="P13" s="108">
        <v>0.36</v>
      </c>
      <c r="Q13" s="108">
        <v>0.39</v>
      </c>
      <c r="R13" s="108">
        <v>0.42</v>
      </c>
      <c r="S13" s="108">
        <v>0.44</v>
      </c>
      <c r="T13" s="108">
        <v>0.47000000000000003</v>
      </c>
      <c r="U13" s="108">
        <v>0.5</v>
      </c>
      <c r="V13" s="108">
        <v>0.34</v>
      </c>
      <c r="W13" s="108">
        <v>0.34</v>
      </c>
      <c r="X13" s="108">
        <v>0.34</v>
      </c>
      <c r="Y13" s="108">
        <v>0.34</v>
      </c>
      <c r="Z13" s="108">
        <v>0.34</v>
      </c>
      <c r="AA13" s="108">
        <v>0.34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0.01</v>
      </c>
      <c r="J14" s="108">
        <v>0.12</v>
      </c>
      <c r="K14" s="108">
        <v>0.13</v>
      </c>
      <c r="L14" s="108">
        <v>0.15000000000000002</v>
      </c>
      <c r="M14" s="108">
        <v>0.17</v>
      </c>
      <c r="N14" s="108">
        <v>0.19</v>
      </c>
      <c r="O14" s="108">
        <v>0.21000000000000002</v>
      </c>
      <c r="P14" s="108">
        <v>0.22</v>
      </c>
      <c r="Q14" s="108">
        <v>0.24000000000000002</v>
      </c>
      <c r="R14" s="108">
        <v>0.26</v>
      </c>
      <c r="S14" s="108">
        <v>0.27</v>
      </c>
      <c r="T14" s="108">
        <v>0.29000000000000004</v>
      </c>
      <c r="U14" s="108">
        <v>0.31</v>
      </c>
      <c r="V14" s="108">
        <v>0.24000000000000002</v>
      </c>
      <c r="W14" s="108">
        <v>0.24000000000000002</v>
      </c>
      <c r="X14" s="108">
        <v>0.24000000000000002</v>
      </c>
      <c r="Y14" s="108">
        <v>0.24000000000000002</v>
      </c>
      <c r="Z14" s="108">
        <v>0.24000000000000002</v>
      </c>
      <c r="AA14" s="108">
        <v>0.24000000000000002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0.01</v>
      </c>
      <c r="J15" s="108">
        <v>0.02</v>
      </c>
      <c r="K15" s="108">
        <v>0.02</v>
      </c>
      <c r="L15" s="108">
        <v>0.03</v>
      </c>
      <c r="M15" s="108">
        <v>0.04</v>
      </c>
      <c r="N15" s="108">
        <v>0.04</v>
      </c>
      <c r="O15" s="108">
        <v>0.05</v>
      </c>
      <c r="P15" s="108">
        <v>6.0000000000000005E-2</v>
      </c>
      <c r="Q15" s="108">
        <v>0.06</v>
      </c>
      <c r="R15" s="108">
        <v>6.9999999999999993E-2</v>
      </c>
      <c r="S15" s="108">
        <v>0.08</v>
      </c>
      <c r="T15" s="108">
        <v>0.08</v>
      </c>
      <c r="U15" s="108">
        <v>0.09</v>
      </c>
      <c r="V15" s="108">
        <v>9.9999999999999992E-2</v>
      </c>
      <c r="W15" s="108">
        <v>9.9999999999999992E-2</v>
      </c>
      <c r="X15" s="108">
        <v>9.9999999999999992E-2</v>
      </c>
      <c r="Y15" s="108">
        <v>9.9999999999999992E-2</v>
      </c>
      <c r="Z15" s="108">
        <v>9.9999999999999992E-2</v>
      </c>
      <c r="AA15" s="108">
        <v>9.9999999999999992E-2</v>
      </c>
      <c r="AB15" s="108">
        <v>9.9999999999999992E-2</v>
      </c>
      <c r="AC15" s="108">
        <v>9.9999999999999992E-2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0.01</v>
      </c>
      <c r="J16" s="108">
        <v>0.02</v>
      </c>
      <c r="K16" s="108">
        <v>0.02</v>
      </c>
      <c r="L16" s="108">
        <v>0.03</v>
      </c>
      <c r="M16" s="108">
        <v>0.04</v>
      </c>
      <c r="N16" s="108">
        <v>0.04</v>
      </c>
      <c r="O16" s="108">
        <v>0.05</v>
      </c>
      <c r="P16" s="108">
        <v>6.0000000000000005E-2</v>
      </c>
      <c r="Q16" s="108">
        <v>0.06</v>
      </c>
      <c r="R16" s="108">
        <v>6.9999999999999993E-2</v>
      </c>
      <c r="S16" s="108">
        <v>0.08</v>
      </c>
      <c r="T16" s="108">
        <v>0.08</v>
      </c>
      <c r="U16" s="108">
        <v>0.09</v>
      </c>
      <c r="V16" s="108">
        <v>9.9999999999999992E-2</v>
      </c>
      <c r="W16" s="108">
        <v>9.9999999999999992E-2</v>
      </c>
      <c r="X16" s="108">
        <v>9.9999999999999992E-2</v>
      </c>
      <c r="Y16" s="108">
        <v>9.9999999999999992E-2</v>
      </c>
      <c r="Z16" s="108">
        <v>9.9999999999999992E-2</v>
      </c>
      <c r="AA16" s="108">
        <v>9.9999999999999992E-2</v>
      </c>
      <c r="AB16" s="108">
        <v>9.9999999999999992E-2</v>
      </c>
      <c r="AC16" s="108">
        <v>9.9999999999999992E-2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1</v>
      </c>
      <c r="J21" s="120">
        <v>2</v>
      </c>
      <c r="K21" s="120">
        <v>3</v>
      </c>
      <c r="L21" s="120">
        <v>3</v>
      </c>
      <c r="M21" s="120">
        <v>4</v>
      </c>
      <c r="N21" s="120">
        <v>5</v>
      </c>
      <c r="O21" s="120">
        <v>7</v>
      </c>
      <c r="P21" s="120">
        <v>7</v>
      </c>
      <c r="Q21" s="120">
        <v>8</v>
      </c>
      <c r="R21" s="120">
        <v>9</v>
      </c>
      <c r="S21" s="120">
        <v>10</v>
      </c>
      <c r="T21" s="120">
        <v>11</v>
      </c>
      <c r="U21" s="120">
        <v>12</v>
      </c>
      <c r="V21" s="120">
        <v>13</v>
      </c>
      <c r="W21" s="120">
        <v>13</v>
      </c>
      <c r="X21" s="120">
        <v>13</v>
      </c>
      <c r="Y21" s="120">
        <v>13</v>
      </c>
      <c r="Z21" s="120">
        <v>13</v>
      </c>
      <c r="AA21" s="120">
        <v>13</v>
      </c>
      <c r="AB21" s="120">
        <v>13</v>
      </c>
      <c r="AC21" s="120">
        <v>13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169.4730113636364</v>
      </c>
      <c r="J22" s="78">
        <v>169.47301136363637</v>
      </c>
      <c r="K22" s="78">
        <v>169.47301136363637</v>
      </c>
      <c r="L22" s="78">
        <v>169.47301136363637</v>
      </c>
      <c r="M22" s="78">
        <v>169.4730113636364</v>
      </c>
      <c r="N22" s="78">
        <v>169.47301136363637</v>
      </c>
      <c r="O22" s="78">
        <v>169.47301136363637</v>
      </c>
      <c r="P22" s="78">
        <v>169.47301136363637</v>
      </c>
      <c r="Q22" s="78">
        <v>174.55720170454546</v>
      </c>
      <c r="R22" s="78">
        <v>174.55720170454549</v>
      </c>
      <c r="S22" s="78">
        <v>174.55720170454549</v>
      </c>
      <c r="T22" s="78">
        <v>174.55720170454541</v>
      </c>
      <c r="U22" s="78">
        <v>174.55720170454541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51.626666666666658</v>
      </c>
      <c r="J23" s="52">
        <v>154.88</v>
      </c>
      <c r="K23" s="52">
        <v>258.13333333333333</v>
      </c>
      <c r="L23" s="52">
        <v>309.76</v>
      </c>
      <c r="M23" s="52">
        <v>413.01333333333326</v>
      </c>
      <c r="N23" s="52">
        <v>516.26666666666665</v>
      </c>
      <c r="O23" s="52">
        <v>619.52</v>
      </c>
      <c r="P23" s="52">
        <v>671.14666666666665</v>
      </c>
      <c r="Q23" s="52">
        <v>774.39999999999986</v>
      </c>
      <c r="R23" s="52">
        <v>877.65333333333331</v>
      </c>
      <c r="S23" s="52">
        <v>929.27999999999986</v>
      </c>
      <c r="T23" s="52">
        <v>1032.5333333333333</v>
      </c>
      <c r="U23" s="52">
        <v>1135.7866666666666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7916.5233333333326</v>
      </c>
      <c r="J26" s="12">
        <v>23749.57</v>
      </c>
      <c r="K26" s="12">
        <v>39582.616666666661</v>
      </c>
      <c r="L26" s="12">
        <v>47499.14</v>
      </c>
      <c r="M26" s="12">
        <v>63332.186666666661</v>
      </c>
      <c r="N26" s="12">
        <v>79165.233333333323</v>
      </c>
      <c r="O26" s="12">
        <v>94998.28</v>
      </c>
      <c r="P26" s="12">
        <v>102914.80333333333</v>
      </c>
      <c r="Q26" s="12">
        <v>122310.28549999998</v>
      </c>
      <c r="R26" s="12">
        <v>138618.32356666666</v>
      </c>
      <c r="S26" s="12">
        <v>146772.3426</v>
      </c>
      <c r="T26" s="12">
        <v>163080.38066666664</v>
      </c>
      <c r="U26" s="12">
        <v>179388.4187333333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1055.1969999999997</v>
      </c>
      <c r="J28" s="12">
        <v>3165.590999999999</v>
      </c>
      <c r="K28" s="12">
        <v>5275.9849999999979</v>
      </c>
      <c r="L28" s="12">
        <v>6331.181999999998</v>
      </c>
      <c r="M28" s="12">
        <v>8441.5759999999973</v>
      </c>
      <c r="N28" s="12">
        <v>10551.969999999996</v>
      </c>
      <c r="O28" s="12">
        <v>12662.363999999996</v>
      </c>
      <c r="P28" s="12">
        <v>13717.560999999996</v>
      </c>
      <c r="Q28" s="12">
        <v>16302.793649999996</v>
      </c>
      <c r="R28" s="12">
        <v>18476.499469999999</v>
      </c>
      <c r="S28" s="12">
        <v>19563.352379999993</v>
      </c>
      <c r="T28" s="12">
        <v>21737.058199999992</v>
      </c>
      <c r="U28" s="12">
        <v>23910.764019999991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162.33799999999999</v>
      </c>
      <c r="J29" s="12">
        <v>487.01399999999995</v>
      </c>
      <c r="K29" s="12">
        <v>811.68999999999994</v>
      </c>
      <c r="L29" s="12">
        <v>974.02799999999991</v>
      </c>
      <c r="M29" s="12">
        <v>1298.704</v>
      </c>
      <c r="N29" s="12">
        <v>1623.3799999999999</v>
      </c>
      <c r="O29" s="12">
        <v>1948.0559999999998</v>
      </c>
      <c r="P29" s="12">
        <v>2110.3939999999998</v>
      </c>
      <c r="Q29" s="12">
        <v>2508.1221</v>
      </c>
      <c r="R29" s="12">
        <v>2842.5383799999995</v>
      </c>
      <c r="S29" s="12">
        <v>3009.7465200000001</v>
      </c>
      <c r="T29" s="12">
        <v>3344.1628000000001</v>
      </c>
      <c r="U29" s="12">
        <v>3678.5790799999995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211.8133333333333</v>
      </c>
      <c r="J30" s="12">
        <v>635.43999999999994</v>
      </c>
      <c r="K30" s="12">
        <v>1059.0666666666666</v>
      </c>
      <c r="L30" s="12">
        <v>1270.8799999999999</v>
      </c>
      <c r="M30" s="12">
        <v>1694.5066666666664</v>
      </c>
      <c r="N30" s="12">
        <v>2118.1333333333332</v>
      </c>
      <c r="O30" s="12">
        <v>2541.7599999999998</v>
      </c>
      <c r="P30" s="12">
        <v>2753.5733333333328</v>
      </c>
      <c r="Q30" s="12">
        <v>3272.5159999999996</v>
      </c>
      <c r="R30" s="12">
        <v>3708.8514666666661</v>
      </c>
      <c r="S30" s="12">
        <v>3927.0191999999997</v>
      </c>
      <c r="T30" s="12">
        <v>4363.3546666666662</v>
      </c>
      <c r="U30" s="12">
        <v>4799.6901333333326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-1121.5046</v>
      </c>
      <c r="J35" s="12">
        <v>-3364.5137999999997</v>
      </c>
      <c r="K35" s="12">
        <v>-5607.5229999999992</v>
      </c>
      <c r="L35" s="12">
        <v>-6729.0275999999994</v>
      </c>
      <c r="M35" s="12">
        <v>-8972.0367999999999</v>
      </c>
      <c r="N35" s="12">
        <v>-11215.045999999998</v>
      </c>
      <c r="O35" s="12">
        <v>-13458.055199999999</v>
      </c>
      <c r="P35" s="12">
        <v>-14579.559799999999</v>
      </c>
      <c r="Q35" s="12">
        <v>-17327.246069999997</v>
      </c>
      <c r="R35" s="12">
        <v>-19637.545546000001</v>
      </c>
      <c r="S35" s="12">
        <v>-20792.695283999998</v>
      </c>
      <c r="T35" s="12">
        <v>-23102.994759999994</v>
      </c>
      <c r="U35" s="12">
        <v>-25413.294235999994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8224.3670666666658</v>
      </c>
      <c r="J37" s="13">
        <v>24673.101199999997</v>
      </c>
      <c r="K37" s="13">
        <v>41121.835333333329</v>
      </c>
      <c r="L37" s="13">
        <v>49346.202399999995</v>
      </c>
      <c r="M37" s="13">
        <v>65794.936533333326</v>
      </c>
      <c r="N37" s="13">
        <v>82243.670666666658</v>
      </c>
      <c r="O37" s="13">
        <v>98692.404799999989</v>
      </c>
      <c r="P37" s="13">
        <v>106916.77186666666</v>
      </c>
      <c r="Q37" s="13">
        <v>127066.47117999999</v>
      </c>
      <c r="R37" s="13">
        <v>144008.66733733335</v>
      </c>
      <c r="S37" s="13">
        <v>152479.76541600001</v>
      </c>
      <c r="T37" s="13">
        <v>169421.96157333328</v>
      </c>
      <c r="U37" s="13">
        <v>186364.15773066663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11983.585982178276</v>
      </c>
      <c r="J40" s="12">
        <v>25582.6354132015</v>
      </c>
      <c r="K40" s="12">
        <v>29668.718177558047</v>
      </c>
      <c r="L40" s="12">
        <v>32185.909559736327</v>
      </c>
      <c r="M40" s="12">
        <v>36538.792324092879</v>
      </c>
      <c r="N40" s="12">
        <v>40627.775088449431</v>
      </c>
      <c r="O40" s="12">
        <v>45098.419119472645</v>
      </c>
      <c r="P40" s="12">
        <v>47551.810501650929</v>
      </c>
      <c r="Q40" s="12">
        <v>56871.862592608231</v>
      </c>
      <c r="R40" s="12">
        <v>61660.033633400453</v>
      </c>
      <c r="S40" s="12">
        <v>64358.764153796539</v>
      </c>
      <c r="T40" s="12">
        <v>68923.635194588758</v>
      </c>
      <c r="U40" s="12">
        <v>73736.605295380956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350.41759999999999</v>
      </c>
      <c r="J44" s="12">
        <v>849.08879999999999</v>
      </c>
      <c r="K44" s="12">
        <v>865.93580000000009</v>
      </c>
      <c r="L44" s="12">
        <v>892.89099999999996</v>
      </c>
      <c r="M44" s="12">
        <v>919.84619999999995</v>
      </c>
      <c r="N44" s="12">
        <v>936.69320000000005</v>
      </c>
      <c r="O44" s="12">
        <v>963.64839999999981</v>
      </c>
      <c r="P44" s="12">
        <v>987.2342000000001</v>
      </c>
      <c r="Q44" s="12">
        <v>1047.7486240000003</v>
      </c>
      <c r="R44" s="12">
        <v>1075.7820319999998</v>
      </c>
      <c r="S44" s="12">
        <v>1100.3112639999999</v>
      </c>
      <c r="T44" s="12">
        <v>1121.3363200000001</v>
      </c>
      <c r="U44" s="12">
        <v>1149.3697279999999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2160</v>
      </c>
      <c r="J46" s="12">
        <v>3439.9999999999995</v>
      </c>
      <c r="K46" s="12">
        <v>4004.9999999999995</v>
      </c>
      <c r="L46" s="12">
        <v>4315</v>
      </c>
      <c r="M46" s="12">
        <v>4895</v>
      </c>
      <c r="N46" s="12">
        <v>5459.9999999999991</v>
      </c>
      <c r="O46" s="12">
        <v>6050.0000000000009</v>
      </c>
      <c r="P46" s="12">
        <v>6355.0000000000009</v>
      </c>
      <c r="Q46" s="12">
        <v>7063.5000000000009</v>
      </c>
      <c r="R46" s="12">
        <v>7655.1</v>
      </c>
      <c r="S46" s="12">
        <v>7966.1999999999989</v>
      </c>
      <c r="T46" s="12">
        <v>8547.6</v>
      </c>
      <c r="U46" s="12">
        <v>9144.2999999999993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1412.7214642625243</v>
      </c>
      <c r="J49" s="12">
        <f>'Corp.'!J$50*(J$37-(J31-J32-J34)*$C$35)/(SUM('MDA1:NCA9'!J$37)-SUM('MDA1:NCA9'!J$31)-SUM('MDA1:NCA9'!J$32)-SUM('MDA1:NCA9'!J$34))</f>
        <v>3969.3846502923311</v>
      </c>
      <c r="K49" s="12">
        <f>'Corp.'!K$50*(K$37-(K31-K32-K34)*$C$35)/(SUM('MDA1:NCA9'!K$37)-SUM('MDA1:NCA9'!K$31)-SUM('MDA1:NCA9'!K$32)-SUM('MDA1:NCA9'!K$34))</f>
        <v>6092.0614049960232</v>
      </c>
      <c r="L49" s="12">
        <f>'Corp.'!L$50*(L$37-(L31-L32-L34)*$C$35)/(SUM('MDA1:NCA9'!L$37)-SUM('MDA1:NCA9'!L$31)-SUM('MDA1:NCA9'!L$32)-SUM('MDA1:NCA9'!L$34))</f>
        <v>6919.7686793592948</v>
      </c>
      <c r="M49" s="12">
        <f>'Corp.'!M$50*(M$37-(M31-M32-M34)*$C$35)/(SUM('MDA1:NCA9'!M$37)-SUM('MDA1:NCA9'!M$31)-SUM('MDA1:NCA9'!M$32)-SUM('MDA1:NCA9'!M$34))</f>
        <v>8665.8898332125355</v>
      </c>
      <c r="N49" s="12">
        <f>'Corp.'!N$50*(N$37-(N31-N32-N34)*$C$35)/(SUM('MDA1:NCA9'!N$37)-SUM('MDA1:NCA9'!N$31)-SUM('MDA1:NCA9'!N$32)-SUM('MDA1:NCA9'!N$34))</f>
        <v>10231.117292683362</v>
      </c>
      <c r="O49" s="12">
        <f>'Corp.'!O$50*(O$37-(O31-O32-O34)*$C$35)/(SUM('MDA1:NCA9'!O$37)-SUM('MDA1:NCA9'!O$31)-SUM('MDA1:NCA9'!O$32)-SUM('MDA1:NCA9'!O$34))</f>
        <v>11520.397530735818</v>
      </c>
      <c r="P49" s="12">
        <f>'Corp.'!P$50*(P$37-(P31-P32-P34)*$C$35)/(SUM('MDA1:NCA9'!P$37)-SUM('MDA1:NCA9'!P$31)-SUM('MDA1:NCA9'!P$32)-SUM('MDA1:NCA9'!P$34))</f>
        <v>11808.699442539024</v>
      </c>
      <c r="Q49" s="12">
        <f>'Corp.'!Q$50*(Q$37-(Q31-Q32-Q34)*$C$35)/(SUM('MDA1:NCA9'!Q$37)-SUM('MDA1:NCA9'!Q$31)-SUM('MDA1:NCA9'!Q$32)-SUM('MDA1:NCA9'!Q$34))</f>
        <v>14242.13430524895</v>
      </c>
      <c r="R49" s="12">
        <f>'Corp.'!R$50*(R$37-(R31-R32-R34)*$C$35)/(SUM('MDA1:NCA9'!R$37)-SUM('MDA1:NCA9'!R$31)-SUM('MDA1:NCA9'!R$32)-SUM('MDA1:NCA9'!R$34))</f>
        <v>15560.592050234676</v>
      </c>
      <c r="S49" s="12">
        <f>'Corp.'!S$50*(S$37-(S31-S32-S34)*$C$35)/(SUM('MDA1:NCA9'!S$37)-SUM('MDA1:NCA9'!S$31)-SUM('MDA1:NCA9'!S$32)-SUM('MDA1:NCA9'!S$34))</f>
        <v>15795.536141825072</v>
      </c>
      <c r="T49" s="12">
        <f>'Corp.'!T$50*(T$37-(T31-T32-T34)*$C$35)/(SUM('MDA1:NCA9'!T$37)-SUM('MDA1:NCA9'!T$31)-SUM('MDA1:NCA9'!T$32)-SUM('MDA1:NCA9'!T$34))</f>
        <v>16913.14166060201</v>
      </c>
      <c r="U49" s="12">
        <f>'Corp.'!U$50*(U$37-(U31-U32-U34)*$C$35)/(SUM('MDA1:NCA9'!U$37)-SUM('MDA1:NCA9'!U$31)-SUM('MDA1:NCA9'!U$32)-SUM('MDA1:NCA9'!U$34))</f>
        <v>18125.973349289747</v>
      </c>
      <c r="V49" s="12">
        <f>'Corp.'!V$50*(V$37-(V31-V32-V34)*$C$35)/(SUM('MDA1:NCA9'!V$37)-SUM('MDA1:NCA9'!V$31)-SUM('MDA1:NCA9'!V$32)-SUM('MDA1:NCA9'!V$34))</f>
        <v>19350.185586063482</v>
      </c>
      <c r="W49" s="12">
        <f>'Corp.'!W$50*(W$37-(W31-W32-W34)*$C$35)/(SUM('MDA1:NCA9'!W$37)-SUM('MDA1:NCA9'!W$31)-SUM('MDA1:NCA9'!W$32)-SUM('MDA1:NCA9'!W$34))</f>
        <v>18793.254865742791</v>
      </c>
      <c r="X49" s="12">
        <f>'Corp.'!X$50*(X$37-(X31-X32-X34)*$C$35)/(SUM('MDA1:NCA9'!X$37)-SUM('MDA1:NCA9'!X$31)-SUM('MDA1:NCA9'!X$32)-SUM('MDA1:NCA9'!X$34))</f>
        <v>18234.695716336548</v>
      </c>
      <c r="Y49" s="12">
        <f>'Corp.'!Y$50*(Y$37-(Y31-Y32-Y34)*$C$35)/(SUM('MDA1:NCA9'!Y$37)-SUM('MDA1:NCA9'!Y$31)-SUM('MDA1:NCA9'!Y$32)-SUM('MDA1:NCA9'!Y$34))</f>
        <v>17872.783518644017</v>
      </c>
      <c r="Z49" s="12">
        <f>'Corp.'!Z$50*(Z$37-(Z31-Z32-Z34)*$C$35)/(SUM('MDA1:NCA9'!Z$37)-SUM('MDA1:NCA9'!Z$31)-SUM('MDA1:NCA9'!Z$32)-SUM('MDA1:NCA9'!Z$34))</f>
        <v>17510.670981723048</v>
      </c>
      <c r="AA49" s="12">
        <f>'Corp.'!AA$50*(AA$37-(AA31-AA32-AA34)*$C$35)/(SUM('MDA1:NCA9'!AA$37)-SUM('MDA1:NCA9'!AA$31)-SUM('MDA1:NCA9'!AA$32)-SUM('MDA1:NCA9'!AA$34))</f>
        <v>17135.11496395936</v>
      </c>
      <c r="AB49" s="12">
        <f>'Corp.'!AB$50*(AB$37-(AB31-AB32-AB34)*$C$35)/(SUM('MDA1:NCA9'!AB$37)-SUM('MDA1:NCA9'!AB$31)-SUM('MDA1:NCA9'!AB$32)-SUM('MDA1:NCA9'!AB$34))</f>
        <v>16768.03024881435</v>
      </c>
      <c r="AC49" s="12">
        <f>'Corp.'!AC$50*(AC$37-(AC31-AC32-AC34)*$C$35)/(SUM('MDA1:NCA9'!AC$37)-SUM('MDA1:NCA9'!AC$31)-SUM('MDA1:NCA9'!AC$32)-SUM('MDA1:NCA9'!AC$34))</f>
        <v>18145.319955040359</v>
      </c>
      <c r="AD49" s="12">
        <f>'Corp.'!AD$50*(AD$37-(AD31-AD32-AD34)*$C$35)/(SUM('MDA1:NCA9'!AD$37)-SUM('MDA1:NCA9'!AD$31)-SUM('MDA1:NCA9'!AD$32)-SUM('MDA1:NCA9'!AD$34))</f>
        <v>17866.715187854588</v>
      </c>
      <c r="AE49" s="12">
        <f>'Corp.'!AE$50*(AE$37-(AE31-AE32-AE34)*$C$35)/(SUM('MDA1:NCA9'!AE$37)-SUM('MDA1:NCA9'!AE$31)-SUM('MDA1:NCA9'!AE$32)-SUM('MDA1:NCA9'!AE$34))</f>
        <v>17602.956190031058</v>
      </c>
      <c r="AF49" s="12">
        <f>'Corp.'!AF$50*(AF$37-(AF31-AF32-AF34)*$C$35)/(SUM('MDA1:NCA9'!AF$37)-SUM('MDA1:NCA9'!AF$31)-SUM('MDA1:NCA9'!AF$32)-SUM('MDA1:NCA9'!AF$34))</f>
        <v>17354.927810904559</v>
      </c>
      <c r="AG49" s="12">
        <f>'Corp.'!AG$50*(AG$37-(AG31-AG32-AG34)*$C$35)/(SUM('MDA1:NCA9'!AG$37)-SUM('MDA1:NCA9'!AG$31)-SUM('MDA1:NCA9'!AG$32)-SUM('MDA1:NCA9'!AG$34))</f>
        <v>17157.408661271958</v>
      </c>
      <c r="AH49" s="12">
        <f>'Corp.'!AH$50*(AH$37-(AH31-AH32-AH34)*$C$35)/(SUM('MDA1:NCA9'!AH$37)-SUM('MDA1:NCA9'!AH$31)-SUM('MDA1:NCA9'!AH$32)-SUM('MDA1:NCA9'!AH$34))</f>
        <v>16895.54788351875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15556.3074464408</v>
      </c>
      <c r="J50" s="13">
        <v>32992.02006349383</v>
      </c>
      <c r="K50" s="13">
        <v>39765.779582554067</v>
      </c>
      <c r="L50" s="13">
        <v>43420.678239095621</v>
      </c>
      <c r="M50" s="13">
        <v>50099.682157305419</v>
      </c>
      <c r="N50" s="13">
        <v>56318.892381132791</v>
      </c>
      <c r="O50" s="13">
        <v>62668.816650208464</v>
      </c>
      <c r="P50" s="13">
        <v>65715.509944189951</v>
      </c>
      <c r="Q50" s="13">
        <v>78177.496897857185</v>
      </c>
      <c r="R50" s="13">
        <v>84875.72568363513</v>
      </c>
      <c r="S50" s="13">
        <v>88120.500295621605</v>
      </c>
      <c r="T50" s="13">
        <v>94384.376855190771</v>
      </c>
      <c r="U50" s="13">
        <v>101006.87864467071</v>
      </c>
      <c r="V50" s="13">
        <v>104113.40358890333</v>
      </c>
      <c r="W50" s="13">
        <v>103556.47286858264</v>
      </c>
      <c r="X50" s="13">
        <v>102997.91371917639</v>
      </c>
      <c r="Y50" s="13">
        <v>102636.00152148386</v>
      </c>
      <c r="Z50" s="13">
        <v>102273.88898456289</v>
      </c>
      <c r="AA50" s="13">
        <v>101898.33296679921</v>
      </c>
      <c r="AB50" s="13">
        <v>101531.24825165419</v>
      </c>
      <c r="AC50" s="13">
        <v>110622.71575816418</v>
      </c>
      <c r="AD50" s="13">
        <v>110344.11099097841</v>
      </c>
      <c r="AE50" s="13">
        <v>110080.35199315488</v>
      </c>
      <c r="AF50" s="13">
        <v>109832.32361402838</v>
      </c>
      <c r="AG50" s="13">
        <v>109634.80446439578</v>
      </c>
      <c r="AH50" s="13">
        <v>109372.94368664258</v>
      </c>
      <c r="AI50" s="13">
        <v>109101.45574823204</v>
      </c>
      <c r="AJ50" s="13">
        <v>108821.19105865418</v>
      </c>
      <c r="AK50" s="13">
        <v>108562.3112720888</v>
      </c>
      <c r="AL50" s="13">
        <v>108324.3488585251</v>
      </c>
      <c r="AM50" s="13">
        <v>108067.77571107977</v>
      </c>
      <c r="AN50" s="13">
        <v>107849.40675233916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-7331.9403797741343</v>
      </c>
      <c r="J52" s="74">
        <f t="shared" si="0"/>
        <v>-8318.9188634938328</v>
      </c>
      <c r="K52" s="74">
        <f t="shared" si="0"/>
        <v>1356.0557507792619</v>
      </c>
      <c r="L52" s="74">
        <f t="shared" si="0"/>
        <v>5925.5241609043733</v>
      </c>
      <c r="M52" s="74">
        <f t="shared" si="0"/>
        <v>15695.254376027908</v>
      </c>
      <c r="N52" s="74">
        <f t="shared" si="0"/>
        <v>25924.778285533866</v>
      </c>
      <c r="O52" s="74">
        <f t="shared" si="0"/>
        <v>36023.588149791525</v>
      </c>
      <c r="P52" s="74">
        <f t="shared" si="0"/>
        <v>41201.261922476711</v>
      </c>
      <c r="Q52" s="74">
        <f t="shared" si="0"/>
        <v>48888.974282142808</v>
      </c>
      <c r="R52" s="74">
        <f t="shared" si="0"/>
        <v>59132.941653698217</v>
      </c>
      <c r="S52" s="74">
        <f t="shared" si="0"/>
        <v>64359.265120378404</v>
      </c>
      <c r="T52" s="74">
        <f t="shared" si="0"/>
        <v>75037.584718142505</v>
      </c>
      <c r="U52" s="74">
        <f t="shared" si="0"/>
        <v>85357.27908599592</v>
      </c>
      <c r="V52" s="74">
        <f t="shared" si="0"/>
        <v>99192.950299096628</v>
      </c>
      <c r="W52" s="74">
        <f t="shared" si="0"/>
        <v>99749.881019417313</v>
      </c>
      <c r="X52" s="74">
        <f t="shared" si="0"/>
        <v>100308.44016882357</v>
      </c>
      <c r="Y52" s="74">
        <f t="shared" si="0"/>
        <v>100670.35236651609</v>
      </c>
      <c r="Z52" s="74">
        <f t="shared" si="0"/>
        <v>101032.46490343707</v>
      </c>
      <c r="AA52" s="74">
        <f t="shared" si="0"/>
        <v>101408.02092120075</v>
      </c>
      <c r="AB52" s="74">
        <f t="shared" si="0"/>
        <v>101775.10563634576</v>
      </c>
      <c r="AC52" s="74">
        <f t="shared" si="0"/>
        <v>92683.638129835774</v>
      </c>
      <c r="AD52" s="74">
        <f t="shared" si="0"/>
        <v>92962.242897021541</v>
      </c>
      <c r="AE52" s="74">
        <f t="shared" si="0"/>
        <v>93226.001894845074</v>
      </c>
      <c r="AF52" s="74">
        <f t="shared" si="0"/>
        <v>93474.03027397157</v>
      </c>
      <c r="AG52" s="74">
        <f t="shared" si="0"/>
        <v>93671.54942360417</v>
      </c>
      <c r="AH52" s="74">
        <f t="shared" si="0"/>
        <v>93933.410201357372</v>
      </c>
      <c r="AI52" s="74">
        <f t="shared" si="0"/>
        <v>94204.898139767916</v>
      </c>
      <c r="AJ52" s="74">
        <f t="shared" si="0"/>
        <v>94485.162829345776</v>
      </c>
      <c r="AK52" s="74">
        <f t="shared" si="0"/>
        <v>94744.042615911152</v>
      </c>
      <c r="AL52" s="74">
        <f t="shared" si="0"/>
        <v>94982.005029474851</v>
      </c>
      <c r="AM52" s="74">
        <f t="shared" si="0"/>
        <v>95238.578176920186</v>
      </c>
      <c r="AN52" s="74">
        <f t="shared" si="0"/>
        <v>95456.947135660797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>
        <f t="shared" si="1"/>
        <v>-0.89148992504121882</v>
      </c>
      <c r="J53" s="107">
        <f t="shared" si="1"/>
        <v>-0.33716551462504574</v>
      </c>
      <c r="K53" s="107">
        <f t="shared" si="1"/>
        <v>3.2976537642035744E-2</v>
      </c>
      <c r="L53" s="107">
        <f t="shared" si="1"/>
        <v>0.12008065206056007</v>
      </c>
      <c r="M53" s="107">
        <f t="shared" si="1"/>
        <v>0.23854805860442327</v>
      </c>
      <c r="N53" s="107">
        <f t="shared" si="1"/>
        <v>0.31521912963499543</v>
      </c>
      <c r="O53" s="107">
        <f t="shared" si="1"/>
        <v>0.3650087179737212</v>
      </c>
      <c r="P53" s="107">
        <f t="shared" si="1"/>
        <v>0.3853582670252878</v>
      </c>
      <c r="Q53" s="107">
        <f t="shared" si="1"/>
        <v>0.38475117651522406</v>
      </c>
      <c r="R53" s="107">
        <f t="shared" si="1"/>
        <v>0.41062071295460401</v>
      </c>
      <c r="S53" s="107">
        <f t="shared" si="1"/>
        <v>0.42208397255066249</v>
      </c>
      <c r="T53" s="107">
        <f t="shared" si="1"/>
        <v>0.44290352927865811</v>
      </c>
      <c r="U53" s="107">
        <f t="shared" si="1"/>
        <v>0.45801338693760102</v>
      </c>
      <c r="V53" s="107">
        <f t="shared" si="1"/>
        <v>0.48789891905563038</v>
      </c>
      <c r="W53" s="107">
        <f t="shared" si="1"/>
        <v>0.49063828607328636</v>
      </c>
      <c r="X53" s="107">
        <f t="shared" si="1"/>
        <v>0.49338566282135377</v>
      </c>
      <c r="Y53" s="107">
        <f t="shared" si="1"/>
        <v>0.49516579507384545</v>
      </c>
      <c r="Z53" s="107">
        <f t="shared" si="1"/>
        <v>0.49694691273198055</v>
      </c>
      <c r="AA53" s="107">
        <f t="shared" si="1"/>
        <v>0.49879415464341914</v>
      </c>
      <c r="AB53" s="107">
        <f t="shared" si="1"/>
        <v>0.50059972888212312</v>
      </c>
      <c r="AC53" s="107">
        <f t="shared" si="1"/>
        <v>0.45588166015162784</v>
      </c>
      <c r="AD53" s="107">
        <f t="shared" si="1"/>
        <v>0.45725202935976011</v>
      </c>
      <c r="AE53" s="107">
        <f t="shared" si="1"/>
        <v>0.45854937689848407</v>
      </c>
      <c r="AF53" s="107">
        <f t="shared" si="1"/>
        <v>0.4597693504722718</v>
      </c>
      <c r="AG53" s="107">
        <f t="shared" si="1"/>
        <v>0.46074088503504013</v>
      </c>
      <c r="AH53" s="107">
        <f t="shared" si="1"/>
        <v>0.46202889582636769</v>
      </c>
      <c r="AI53" s="107">
        <f t="shared" si="1"/>
        <v>0.46336425959251987</v>
      </c>
      <c r="AJ53" s="107">
        <f t="shared" si="1"/>
        <v>0.46474279343673142</v>
      </c>
      <c r="AK53" s="107">
        <f t="shared" si="1"/>
        <v>0.4660161416701466</v>
      </c>
      <c r="AL53" s="107">
        <f t="shared" si="1"/>
        <v>0.46718660392581618</v>
      </c>
      <c r="AM53" s="107">
        <f t="shared" si="1"/>
        <v>0.46844860652700726</v>
      </c>
      <c r="AN53" s="107">
        <f t="shared" si="1"/>
        <v>0.46952269474198216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-7401.9303599999985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-9869.2404799999986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-12336.550599999999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-14803.860719999997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-16037.515779999998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-7331.9403797741343</v>
      </c>
      <c r="J58" s="13">
        <f t="shared" si="2"/>
        <v>-8318.9188634938328</v>
      </c>
      <c r="K58" s="13">
        <f t="shared" si="2"/>
        <v>1356.0557507792619</v>
      </c>
      <c r="L58" s="13">
        <f t="shared" si="2"/>
        <v>5925.5241609043733</v>
      </c>
      <c r="M58" s="13">
        <f t="shared" si="2"/>
        <v>15695.254376027908</v>
      </c>
      <c r="N58" s="13">
        <f t="shared" si="2"/>
        <v>24691.123225533865</v>
      </c>
      <c r="O58" s="13">
        <f t="shared" si="2"/>
        <v>32322.622969791526</v>
      </c>
      <c r="P58" s="13">
        <f t="shared" si="2"/>
        <v>35032.98662247671</v>
      </c>
      <c r="Q58" s="13">
        <f t="shared" si="2"/>
        <v>41487.04392214281</v>
      </c>
      <c r="R58" s="13">
        <f t="shared" si="2"/>
        <v>49263.701173698217</v>
      </c>
      <c r="S58" s="13">
        <f t="shared" si="2"/>
        <v>52022.714520378402</v>
      </c>
      <c r="T58" s="13">
        <f t="shared" si="2"/>
        <v>60233.723998142508</v>
      </c>
      <c r="U58" s="13">
        <f t="shared" si="2"/>
        <v>69319.763305995919</v>
      </c>
      <c r="V58" s="13">
        <f t="shared" si="2"/>
        <v>80132.979622096638</v>
      </c>
      <c r="W58" s="13">
        <f t="shared" si="2"/>
        <v>78148.580918817315</v>
      </c>
      <c r="X58" s="13">
        <f t="shared" si="2"/>
        <v>77436.475356423558</v>
      </c>
      <c r="Y58" s="13">
        <f t="shared" si="2"/>
        <v>75257.058130516103</v>
      </c>
      <c r="Z58" s="13">
        <f t="shared" si="2"/>
        <v>73077.841243837072</v>
      </c>
      <c r="AA58" s="13">
        <f t="shared" si="2"/>
        <v>70912.067838000759</v>
      </c>
      <c r="AB58" s="13">
        <f t="shared" si="2"/>
        <v>71279.152553145774</v>
      </c>
      <c r="AC58" s="13">
        <f t="shared" si="2"/>
        <v>62187.685046635786</v>
      </c>
      <c r="AD58" s="13">
        <f t="shared" si="2"/>
        <v>62466.289813821553</v>
      </c>
      <c r="AE58" s="13">
        <f t="shared" si="2"/>
        <v>62730.048811645087</v>
      </c>
      <c r="AF58" s="13">
        <f t="shared" si="2"/>
        <v>62978.077190771583</v>
      </c>
      <c r="AG58" s="13">
        <f t="shared" si="2"/>
        <v>63175.596340404183</v>
      </c>
      <c r="AH58" s="13">
        <f t="shared" si="2"/>
        <v>63437.457118157385</v>
      </c>
      <c r="AI58" s="13">
        <f t="shared" si="2"/>
        <v>63708.945056567929</v>
      </c>
      <c r="AJ58" s="13">
        <f t="shared" si="2"/>
        <v>63989.209746145789</v>
      </c>
      <c r="AK58" s="13">
        <f t="shared" si="2"/>
        <v>64248.089532711165</v>
      </c>
      <c r="AL58" s="13">
        <f t="shared" si="2"/>
        <v>64486.051946274863</v>
      </c>
      <c r="AM58" s="13">
        <f t="shared" si="2"/>
        <v>64742.625093720198</v>
      </c>
      <c r="AN58" s="13">
        <f t="shared" si="2"/>
        <v>64960.99405246081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-7331.9403797741343</v>
      </c>
      <c r="J59" s="12">
        <v>-15650.859243267967</v>
      </c>
      <c r="K59" s="12">
        <v>-14294.803492488705</v>
      </c>
      <c r="L59" s="12">
        <v>-8369.2793315843319</v>
      </c>
      <c r="M59" s="12">
        <v>7325.9750444435758</v>
      </c>
      <c r="N59" s="12">
        <v>32017.098269977439</v>
      </c>
      <c r="O59" s="12">
        <v>64339.721239768965</v>
      </c>
      <c r="P59" s="12">
        <v>99372.707862245676</v>
      </c>
      <c r="Q59" s="12">
        <v>140859.7517843885</v>
      </c>
      <c r="R59" s="12">
        <v>190123.45295808671</v>
      </c>
      <c r="S59" s="12">
        <v>242146.16747846513</v>
      </c>
      <c r="T59" s="12">
        <v>302379.89147660765</v>
      </c>
      <c r="U59" s="12">
        <v>371699.65478260355</v>
      </c>
      <c r="V59" s="12">
        <v>451832.63440470019</v>
      </c>
      <c r="W59" s="12">
        <v>529981.21532351756</v>
      </c>
      <c r="X59" s="12">
        <v>607417.69067994109</v>
      </c>
      <c r="Y59" s="12">
        <v>682674.74881045718</v>
      </c>
      <c r="Z59" s="12">
        <v>755752.59005429421</v>
      </c>
      <c r="AA59" s="12">
        <v>826664.65789229493</v>
      </c>
      <c r="AB59" s="12">
        <v>897943.8104454407</v>
      </c>
      <c r="AC59" s="12">
        <v>960131.4954920765</v>
      </c>
      <c r="AD59" s="12">
        <v>1022597.7853058981</v>
      </c>
      <c r="AE59" s="12">
        <v>1085327.8341175432</v>
      </c>
      <c r="AF59" s="12">
        <v>1148305.9113083147</v>
      </c>
      <c r="AG59" s="12">
        <v>1211481.5076487188</v>
      </c>
      <c r="AH59" s="12">
        <v>1274918.9647668761</v>
      </c>
      <c r="AI59" s="12">
        <v>1338627.909823444</v>
      </c>
      <c r="AJ59" s="12">
        <v>1402617.1195695898</v>
      </c>
      <c r="AK59" s="12">
        <v>1466865.2091023009</v>
      </c>
      <c r="AL59" s="12">
        <v>1531351.2610485759</v>
      </c>
      <c r="AM59" s="12">
        <v>1596093.886142296</v>
      </c>
      <c r="AN59" s="12">
        <v>1661054.8801947569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1.0488449438217826E-3</v>
      </c>
      <c r="J72" s="12">
        <v>3.1465348314653478E-3</v>
      </c>
      <c r="K72" s="12">
        <v>5.2442247191089144E-3</v>
      </c>
      <c r="L72" s="12">
        <v>6.2930696629306957E-3</v>
      </c>
      <c r="M72" s="12">
        <v>8.3907595505742609E-3</v>
      </c>
      <c r="N72" s="12">
        <v>1.0488449438217829E-2</v>
      </c>
      <c r="O72" s="12">
        <v>1.2586139325861391E-2</v>
      </c>
      <c r="P72" s="12">
        <v>1.3634984269683173E-2</v>
      </c>
      <c r="Q72" s="12">
        <v>1.7305941573059418E-2</v>
      </c>
      <c r="R72" s="12">
        <v>1.9613400449467334E-2</v>
      </c>
      <c r="S72" s="12">
        <v>2.0767129887671303E-2</v>
      </c>
      <c r="T72" s="12">
        <v>2.307458876407922E-2</v>
      </c>
      <c r="U72" s="12">
        <v>2.5382047640487147E-2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-1.0488449438217826E-3</v>
      </c>
      <c r="J75" s="74">
        <v>-3.1465348314653478E-3</v>
      </c>
      <c r="K75" s="74">
        <v>-5.2442247191089144E-3</v>
      </c>
      <c r="L75" s="74">
        <v>-6.2930696629306957E-3</v>
      </c>
      <c r="M75" s="74">
        <v>-8.3907595505742609E-3</v>
      </c>
      <c r="N75" s="74">
        <v>-1.0488449438217829E-2</v>
      </c>
      <c r="O75" s="74">
        <v>-1.2586139325861391E-2</v>
      </c>
      <c r="P75" s="74">
        <v>-1.3634984269683173E-2</v>
      </c>
      <c r="Q75" s="74">
        <v>-1.7305941573059418E-2</v>
      </c>
      <c r="R75" s="74">
        <v>-1.9613400449467334E-2</v>
      </c>
      <c r="S75" s="74">
        <v>-2.0767129887671303E-2</v>
      </c>
      <c r="T75" s="74">
        <v>-2.307458876407922E-2</v>
      </c>
      <c r="U75" s="74">
        <v>-2.5382047640487147E-2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9A68-A704-4B47-A34A-4A5EDBF9B63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498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2.8299999999999996</v>
      </c>
      <c r="H7" s="108">
        <v>5.6499999999999995</v>
      </c>
      <c r="I7" s="108">
        <v>8.48</v>
      </c>
      <c r="J7" s="108">
        <v>11.299999999999999</v>
      </c>
      <c r="K7" s="108">
        <v>14.12</v>
      </c>
      <c r="L7" s="108">
        <v>16.950000000000003</v>
      </c>
      <c r="M7" s="108">
        <v>19.770000000000003</v>
      </c>
      <c r="N7" s="108">
        <v>22.59</v>
      </c>
      <c r="O7" s="108">
        <v>25.42</v>
      </c>
      <c r="P7" s="108">
        <v>28.240000000000002</v>
      </c>
      <c r="Q7" s="108">
        <v>31.060000000000002</v>
      </c>
      <c r="R7" s="108">
        <v>33.89</v>
      </c>
      <c r="S7" s="108">
        <v>36.71</v>
      </c>
      <c r="T7" s="108">
        <v>39.53</v>
      </c>
      <c r="U7" s="108">
        <v>39.53</v>
      </c>
      <c r="V7" s="108">
        <v>39.53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0.43</v>
      </c>
      <c r="H8" s="108">
        <v>0.86</v>
      </c>
      <c r="I8" s="108">
        <v>1.29</v>
      </c>
      <c r="J8" s="108">
        <v>1.72</v>
      </c>
      <c r="K8" s="108">
        <v>2.15</v>
      </c>
      <c r="L8" s="108">
        <v>2.5799999999999996</v>
      </c>
      <c r="M8" s="108">
        <v>3</v>
      </c>
      <c r="N8" s="108">
        <v>3.4299999999999997</v>
      </c>
      <c r="O8" s="108">
        <v>3.86</v>
      </c>
      <c r="P8" s="108">
        <v>4.29</v>
      </c>
      <c r="Q8" s="108">
        <v>4.72</v>
      </c>
      <c r="R8" s="108">
        <v>5.1499999999999995</v>
      </c>
      <c r="S8" s="108">
        <v>5.58</v>
      </c>
      <c r="T8" s="108">
        <v>6</v>
      </c>
      <c r="U8" s="108">
        <v>6</v>
      </c>
      <c r="V8" s="108">
        <v>6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0.25</v>
      </c>
      <c r="I12" s="108">
        <v>0.26</v>
      </c>
      <c r="J12" s="108">
        <v>0.27</v>
      </c>
      <c r="K12" s="108">
        <v>0.29000000000000004</v>
      </c>
      <c r="L12" s="108">
        <v>0.3</v>
      </c>
      <c r="M12" s="108">
        <v>0.31</v>
      </c>
      <c r="N12" s="108">
        <v>0.33</v>
      </c>
      <c r="O12" s="108">
        <v>0.34</v>
      </c>
      <c r="P12" s="108">
        <v>0.35000000000000003</v>
      </c>
      <c r="Q12" s="108">
        <v>0.36</v>
      </c>
      <c r="R12" s="108">
        <v>0.38</v>
      </c>
      <c r="S12" s="108">
        <v>0.39</v>
      </c>
      <c r="T12" s="108">
        <v>0.17</v>
      </c>
      <c r="U12" s="108">
        <v>0.18000000000000002</v>
      </c>
      <c r="V12" s="108">
        <v>0.2</v>
      </c>
      <c r="W12" s="108">
        <v>0.21000000000000002</v>
      </c>
      <c r="X12" s="108">
        <v>0.22</v>
      </c>
      <c r="Y12" s="108">
        <v>0.24000000000000002</v>
      </c>
      <c r="Z12" s="108">
        <v>0.25</v>
      </c>
      <c r="AA12" s="108">
        <v>0.26</v>
      </c>
      <c r="AB12" s="108">
        <v>0.27</v>
      </c>
      <c r="AC12" s="108">
        <v>0.29000000000000004</v>
      </c>
      <c r="AD12" s="108">
        <v>0.3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0.02</v>
      </c>
      <c r="H13" s="108">
        <v>0.35000000000000003</v>
      </c>
      <c r="I13" s="108">
        <v>0.39</v>
      </c>
      <c r="J13" s="108">
        <v>0.42</v>
      </c>
      <c r="K13" s="108">
        <v>0.45</v>
      </c>
      <c r="L13" s="108">
        <v>0.49</v>
      </c>
      <c r="M13" s="108">
        <v>0.52</v>
      </c>
      <c r="N13" s="108">
        <v>0.55000000000000004</v>
      </c>
      <c r="O13" s="108">
        <v>0.59</v>
      </c>
      <c r="P13" s="108">
        <v>0.62</v>
      </c>
      <c r="Q13" s="108">
        <v>0.65</v>
      </c>
      <c r="R13" s="108">
        <v>0.69000000000000006</v>
      </c>
      <c r="S13" s="108">
        <v>0.72</v>
      </c>
      <c r="T13" s="108">
        <v>0.45</v>
      </c>
      <c r="U13" s="108">
        <v>0.47000000000000003</v>
      </c>
      <c r="V13" s="108">
        <v>0.49</v>
      </c>
      <c r="W13" s="108">
        <v>0.5</v>
      </c>
      <c r="X13" s="108">
        <v>0.52</v>
      </c>
      <c r="Y13" s="108">
        <v>0.54</v>
      </c>
      <c r="Z13" s="108">
        <v>0.55000000000000004</v>
      </c>
      <c r="AA13" s="108">
        <v>0.57000000000000006</v>
      </c>
      <c r="AB13" s="108">
        <v>0.59</v>
      </c>
      <c r="AC13" s="108">
        <v>0.6</v>
      </c>
      <c r="AD13" s="108">
        <v>0.62</v>
      </c>
      <c r="AE13" s="108">
        <v>0.64</v>
      </c>
      <c r="AF13" s="108">
        <v>0.64</v>
      </c>
      <c r="AG13" s="108">
        <v>0.64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0.02</v>
      </c>
      <c r="H14" s="108">
        <v>0.2</v>
      </c>
      <c r="I14" s="108">
        <v>0.22</v>
      </c>
      <c r="J14" s="108">
        <v>0.25</v>
      </c>
      <c r="K14" s="108">
        <v>0.27</v>
      </c>
      <c r="L14" s="108">
        <v>0.3</v>
      </c>
      <c r="M14" s="108">
        <v>0.32</v>
      </c>
      <c r="N14" s="108">
        <v>0.35000000000000003</v>
      </c>
      <c r="O14" s="108">
        <v>0.37</v>
      </c>
      <c r="P14" s="108">
        <v>0.39</v>
      </c>
      <c r="Q14" s="108">
        <v>0.42</v>
      </c>
      <c r="R14" s="108">
        <v>0.44</v>
      </c>
      <c r="S14" s="108">
        <v>0.47000000000000003</v>
      </c>
      <c r="T14" s="108">
        <v>0.34</v>
      </c>
      <c r="U14" s="108">
        <v>0.35000000000000003</v>
      </c>
      <c r="V14" s="108">
        <v>0.36</v>
      </c>
      <c r="W14" s="108">
        <v>0.37</v>
      </c>
      <c r="X14" s="108">
        <v>0.38</v>
      </c>
      <c r="Y14" s="108">
        <v>0.39</v>
      </c>
      <c r="Z14" s="108">
        <v>0.39</v>
      </c>
      <c r="AA14" s="108">
        <v>0.4</v>
      </c>
      <c r="AB14" s="108">
        <v>0.41000000000000003</v>
      </c>
      <c r="AC14" s="108">
        <v>0.42</v>
      </c>
      <c r="AD14" s="108">
        <v>0.43</v>
      </c>
      <c r="AE14" s="108">
        <v>0.44</v>
      </c>
      <c r="AF14" s="108">
        <v>0.44</v>
      </c>
      <c r="AG14" s="108">
        <v>0.44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0.02</v>
      </c>
      <c r="H15" s="108">
        <v>0.03</v>
      </c>
      <c r="I15" s="108">
        <v>0.04</v>
      </c>
      <c r="J15" s="108">
        <v>0.05</v>
      </c>
      <c r="K15" s="108">
        <v>0.06</v>
      </c>
      <c r="L15" s="108">
        <v>0.08</v>
      </c>
      <c r="M15" s="108">
        <v>0.09</v>
      </c>
      <c r="N15" s="108">
        <v>9.9999999999999992E-2</v>
      </c>
      <c r="O15" s="108">
        <v>0.11</v>
      </c>
      <c r="P15" s="108">
        <v>0.12</v>
      </c>
      <c r="Q15" s="108">
        <v>0.14000000000000001</v>
      </c>
      <c r="R15" s="108">
        <v>0.15000000000000002</v>
      </c>
      <c r="S15" s="108">
        <v>0.16</v>
      </c>
      <c r="T15" s="108">
        <v>0.17</v>
      </c>
      <c r="U15" s="108">
        <v>0.17</v>
      </c>
      <c r="V15" s="108">
        <v>0.17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0.02</v>
      </c>
      <c r="H16" s="108">
        <v>0.03</v>
      </c>
      <c r="I16" s="108">
        <v>0.04</v>
      </c>
      <c r="J16" s="108">
        <v>0.05</v>
      </c>
      <c r="K16" s="108">
        <v>0.06</v>
      </c>
      <c r="L16" s="108">
        <v>0.08</v>
      </c>
      <c r="M16" s="108">
        <v>0.09</v>
      </c>
      <c r="N16" s="108">
        <v>9.9999999999999992E-2</v>
      </c>
      <c r="O16" s="108">
        <v>0.11</v>
      </c>
      <c r="P16" s="108">
        <v>0.12</v>
      </c>
      <c r="Q16" s="108">
        <v>0.14000000000000001</v>
      </c>
      <c r="R16" s="108">
        <v>0.15000000000000002</v>
      </c>
      <c r="S16" s="108">
        <v>0.16</v>
      </c>
      <c r="T16" s="108">
        <v>0.17</v>
      </c>
      <c r="U16" s="108">
        <v>0.17</v>
      </c>
      <c r="V16" s="108">
        <v>0.17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0.3</v>
      </c>
      <c r="H17" s="108">
        <v>0.6</v>
      </c>
      <c r="I17" s="108">
        <v>0.9</v>
      </c>
      <c r="J17" s="108">
        <v>1.2</v>
      </c>
      <c r="K17" s="108">
        <v>1.5</v>
      </c>
      <c r="L17" s="108">
        <v>1.8</v>
      </c>
      <c r="M17" s="108">
        <v>2.1</v>
      </c>
      <c r="N17" s="108">
        <v>2.4</v>
      </c>
      <c r="O17" s="108">
        <v>2.7</v>
      </c>
      <c r="P17" s="108">
        <v>3</v>
      </c>
      <c r="Q17" s="108">
        <v>3.3</v>
      </c>
      <c r="R17" s="108">
        <v>3.6</v>
      </c>
      <c r="S17" s="108">
        <v>3.9</v>
      </c>
      <c r="T17" s="108">
        <v>4.2</v>
      </c>
      <c r="U17" s="108">
        <v>4.2</v>
      </c>
      <c r="V17" s="108">
        <v>4.2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1</v>
      </c>
      <c r="H20" s="108">
        <v>1</v>
      </c>
      <c r="I20" s="108">
        <v>1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3</v>
      </c>
      <c r="H21" s="120">
        <v>7</v>
      </c>
      <c r="I21" s="120">
        <v>10</v>
      </c>
      <c r="J21" s="120">
        <v>13</v>
      </c>
      <c r="K21" s="120">
        <v>16</v>
      </c>
      <c r="L21" s="120">
        <v>20</v>
      </c>
      <c r="M21" s="120">
        <v>23</v>
      </c>
      <c r="N21" s="120">
        <v>26</v>
      </c>
      <c r="O21" s="120">
        <v>29</v>
      </c>
      <c r="P21" s="120">
        <v>33</v>
      </c>
      <c r="Q21" s="120">
        <v>36</v>
      </c>
      <c r="R21" s="120">
        <v>39</v>
      </c>
      <c r="S21" s="120">
        <v>42</v>
      </c>
      <c r="T21" s="120">
        <v>46</v>
      </c>
      <c r="U21" s="120">
        <v>46</v>
      </c>
      <c r="V21" s="120">
        <v>46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151234.47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13729.217253221579</v>
      </c>
      <c r="H49" s="12">
        <f>'Corp.'!H$50*(H$37-(H31-H32-H34)*$C$35)/(SUM('MDA1:NCA9'!H$37)-SUM('MDA1:NCA9'!H$31)-SUM('MDA1:NCA9'!H$32)-SUM('MDA1:NCA9'!H$34))</f>
        <v>21001.691956620307</v>
      </c>
      <c r="I49" s="12">
        <f>'Corp.'!I$50*(I$37-(I31-I32-I34)*$C$35)/(SUM('MDA1:NCA9'!I$37)-SUM('MDA1:NCA9'!I$31)-SUM('MDA1:NCA9'!I$32)-SUM('MDA1:NCA9'!I$34))</f>
        <v>27735.503916672962</v>
      </c>
      <c r="J49" s="12">
        <f>'Corp.'!J$50*(J$37-(J31-J32-J34)*$C$35)/(SUM('MDA1:NCA9'!J$37)-SUM('MDA1:NCA9'!J$31)-SUM('MDA1:NCA9'!J$32)-SUM('MDA1:NCA9'!J$34))</f>
        <v>33412.60425166777</v>
      </c>
      <c r="K49" s="12">
        <f>'Corp.'!K$50*(K$37-(K31-K32-K34)*$C$35)/(SUM('MDA1:NCA9'!K$37)-SUM('MDA1:NCA9'!K$31)-SUM('MDA1:NCA9'!K$32)-SUM('MDA1:NCA9'!K$34))</f>
        <v>37615.786741677271</v>
      </c>
      <c r="L49" s="12">
        <f>'Corp.'!L$50*(L$37-(L31-L32-L34)*$C$35)/(SUM('MDA1:NCA9'!L$37)-SUM('MDA1:NCA9'!L$31)-SUM('MDA1:NCA9'!L$32)-SUM('MDA1:NCA9'!L$34))</f>
        <v>42087.00985191857</v>
      </c>
      <c r="M49" s="12">
        <f>'Corp.'!M$50*(M$37-(M31-M32-M34)*$C$35)/(SUM('MDA1:NCA9'!M$37)-SUM('MDA1:NCA9'!M$31)-SUM('MDA1:NCA9'!M$32)-SUM('MDA1:NCA9'!M$34))</f>
        <v>45618.222917615829</v>
      </c>
      <c r="N49" s="12">
        <f>'Corp.'!N$50*(N$37-(N31-N32-N34)*$C$35)/(SUM('MDA1:NCA9'!N$37)-SUM('MDA1:NCA9'!N$31)-SUM('MDA1:NCA9'!N$32)-SUM('MDA1:NCA9'!N$34))</f>
        <v>48836.151583102255</v>
      </c>
      <c r="O49" s="12">
        <f>'Corp.'!O$50*(O$37-(O31-O32-O34)*$C$35)/(SUM('MDA1:NCA9'!O$37)-SUM('MDA1:NCA9'!O$31)-SUM('MDA1:NCA9'!O$32)-SUM('MDA1:NCA9'!O$34))</f>
        <v>51220.663806224329</v>
      </c>
      <c r="P49" s="12">
        <f>'Corp.'!P$50*(P$37-(P31-P32-P34)*$C$35)/(SUM('MDA1:NCA9'!P$37)-SUM('MDA1:NCA9'!P$31)-SUM('MDA1:NCA9'!P$32)-SUM('MDA1:NCA9'!P$34))</f>
        <v>53568.869459125977</v>
      </c>
      <c r="Q49" s="12">
        <f>'Corp.'!Q$50*(Q$37-(Q31-Q32-Q34)*$C$35)/(SUM('MDA1:NCA9'!Q$37)-SUM('MDA1:NCA9'!Q$31)-SUM('MDA1:NCA9'!Q$32)-SUM('MDA1:NCA9'!Q$34))</f>
        <v>61329.602597521276</v>
      </c>
      <c r="R49" s="12">
        <f>'Corp.'!R$50*(R$37-(R31-R32-R34)*$C$35)/(SUM('MDA1:NCA9'!R$37)-SUM('MDA1:NCA9'!R$31)-SUM('MDA1:NCA9'!R$32)-SUM('MDA1:NCA9'!R$34))</f>
        <v>64268.162456388804</v>
      </c>
      <c r="S49" s="12">
        <f>'Corp.'!S$50*(S$37-(S31-S32-S34)*$C$35)/(SUM('MDA1:NCA9'!S$37)-SUM('MDA1:NCA9'!S$31)-SUM('MDA1:NCA9'!S$32)-SUM('MDA1:NCA9'!S$34))</f>
        <v>66545.930224373064</v>
      </c>
      <c r="T49" s="12">
        <f>'Corp.'!T$50*(T$37-(T31-T32-T34)*$C$35)/(SUM('MDA1:NCA9'!T$37)-SUM('MDA1:NCA9'!T$31)-SUM('MDA1:NCA9'!T$32)-SUM('MDA1:NCA9'!T$34))</f>
        <v>68881.5605536847</v>
      </c>
      <c r="U49" s="12">
        <f>'Corp.'!U$50*(U$37-(U31-U32-U34)*$C$35)/(SUM('MDA1:NCA9'!U$37)-SUM('MDA1:NCA9'!U$31)-SUM('MDA1:NCA9'!U$32)-SUM('MDA1:NCA9'!U$34))</f>
        <v>67110.016142706809</v>
      </c>
      <c r="V49" s="12">
        <f>'Corp.'!V$50*(V$37-(V31-V32-V34)*$C$35)/(SUM('MDA1:NCA9'!V$37)-SUM('MDA1:NCA9'!V$31)-SUM('MDA1:NCA9'!V$32)-SUM('MDA1:NCA9'!V$34))</f>
        <v>65672.353433715718</v>
      </c>
      <c r="W49" s="12">
        <f>'Corp.'!W$50*(W$37-(W31-W32-W34)*$C$35)/(SUM('MDA1:NCA9'!W$37)-SUM('MDA1:NCA9'!W$31)-SUM('MDA1:NCA9'!W$32)-SUM('MDA1:NCA9'!W$34))</f>
        <v>63782.19321068735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151234.47</v>
      </c>
      <c r="F50" s="13">
        <v>0</v>
      </c>
      <c r="G50" s="13">
        <v>98076.20717722486</v>
      </c>
      <c r="H50" s="13">
        <v>138023.07633796023</v>
      </c>
      <c r="I50" s="13">
        <v>165496.17822201614</v>
      </c>
      <c r="J50" s="13">
        <v>191868.83968101424</v>
      </c>
      <c r="K50" s="13">
        <v>216800.4499616937</v>
      </c>
      <c r="L50" s="13">
        <v>242288.2629959383</v>
      </c>
      <c r="M50" s="13">
        <v>266349.02051897219</v>
      </c>
      <c r="N50" s="13">
        <v>290362.67697512853</v>
      </c>
      <c r="O50" s="13">
        <v>313486.47912225395</v>
      </c>
      <c r="P50" s="13">
        <v>336462.94589915883</v>
      </c>
      <c r="Q50" s="13">
        <v>391686.28391796106</v>
      </c>
      <c r="R50" s="13">
        <v>417445.76602656551</v>
      </c>
      <c r="S50" s="13">
        <v>442386.73103095341</v>
      </c>
      <c r="T50" s="13">
        <v>461452.67359666876</v>
      </c>
      <c r="U50" s="13">
        <v>460005.90251902415</v>
      </c>
      <c r="V50" s="13">
        <v>459002.91647669964</v>
      </c>
      <c r="W50" s="13">
        <v>457366.96958700469</v>
      </c>
      <c r="X50" s="13">
        <v>455796.05599215371</v>
      </c>
      <c r="Y50" s="13">
        <v>455002.44336654834</v>
      </c>
      <c r="Z50" s="13">
        <v>453953.93747880193</v>
      </c>
      <c r="AA50" s="13">
        <v>453004.11592915386</v>
      </c>
      <c r="AB50" s="13">
        <v>452083.0450277694</v>
      </c>
      <c r="AC50" s="13">
        <v>492443.5945486385</v>
      </c>
      <c r="AD50" s="13">
        <v>491854.14957202674</v>
      </c>
      <c r="AE50" s="13">
        <v>491315.08946682699</v>
      </c>
      <c r="AF50" s="13">
        <v>490473.30904548994</v>
      </c>
      <c r="AG50" s="13">
        <v>489802.95126794273</v>
      </c>
      <c r="AH50" s="13">
        <v>488914.22524148942</v>
      </c>
      <c r="AI50" s="13">
        <v>487992.82571459655</v>
      </c>
      <c r="AJ50" s="13">
        <v>487041.638881422</v>
      </c>
      <c r="AK50" s="13">
        <v>486163.0300037681</v>
      </c>
      <c r="AL50" s="13">
        <v>485355.4123373644</v>
      </c>
      <c r="AM50" s="13">
        <v>484484.63193344069</v>
      </c>
      <c r="AN50" s="13">
        <v>483743.51224889903</v>
      </c>
    </row>
    <row r="52" spans="2:40" x14ac:dyDescent="0.25">
      <c r="B52" s="1" t="s">
        <v>50</v>
      </c>
      <c r="E52" s="74">
        <f>E37-E50</f>
        <v>-151234.47</v>
      </c>
      <c r="F52" s="74">
        <f t="shared" ref="F52:AN52" si="0">F37-F50</f>
        <v>0</v>
      </c>
      <c r="G52" s="74">
        <f t="shared" si="0"/>
        <v>-29052.685230558185</v>
      </c>
      <c r="H52" s="74">
        <f t="shared" si="0"/>
        <v>-22778.145111293547</v>
      </c>
      <c r="I52" s="74">
        <f t="shared" si="0"/>
        <v>-4029.8377153495094</v>
      </c>
      <c r="J52" s="74">
        <f t="shared" si="0"/>
        <v>15818.910105652438</v>
      </c>
      <c r="K52" s="74">
        <f t="shared" si="0"/>
        <v>37108.709104972921</v>
      </c>
      <c r="L52" s="74">
        <f t="shared" si="0"/>
        <v>57842.305350728275</v>
      </c>
      <c r="M52" s="74">
        <f t="shared" si="0"/>
        <v>80002.957107694412</v>
      </c>
      <c r="N52" s="74">
        <f t="shared" si="0"/>
        <v>102210.70993153815</v>
      </c>
      <c r="O52" s="74">
        <f t="shared" si="0"/>
        <v>125308.31706441264</v>
      </c>
      <c r="P52" s="74">
        <f t="shared" si="0"/>
        <v>148553.25956750783</v>
      </c>
      <c r="Q52" s="74">
        <f t="shared" si="0"/>
        <v>155488.45927110559</v>
      </c>
      <c r="R52" s="74">
        <f t="shared" si="0"/>
        <v>177337.02872090106</v>
      </c>
      <c r="S52" s="74">
        <f t="shared" si="0"/>
        <v>200004.11527491309</v>
      </c>
      <c r="T52" s="74">
        <f t="shared" si="0"/>
        <v>228546.22426759778</v>
      </c>
      <c r="U52" s="74">
        <f t="shared" si="0"/>
        <v>229992.99534524238</v>
      </c>
      <c r="V52" s="74">
        <f t="shared" si="0"/>
        <v>230995.98138756689</v>
      </c>
      <c r="W52" s="74">
        <f t="shared" si="0"/>
        <v>232631.92827726185</v>
      </c>
      <c r="X52" s="74">
        <f t="shared" si="0"/>
        <v>234202.84187211283</v>
      </c>
      <c r="Y52" s="74">
        <f t="shared" si="0"/>
        <v>234996.45449771819</v>
      </c>
      <c r="Z52" s="74">
        <f t="shared" si="0"/>
        <v>236044.9603854646</v>
      </c>
      <c r="AA52" s="74">
        <f t="shared" si="0"/>
        <v>236994.78193511267</v>
      </c>
      <c r="AB52" s="74">
        <f t="shared" si="0"/>
        <v>237915.85283649713</v>
      </c>
      <c r="AC52" s="74">
        <f t="shared" si="0"/>
        <v>197555.30331562803</v>
      </c>
      <c r="AD52" s="74">
        <f t="shared" si="0"/>
        <v>198144.74829223979</v>
      </c>
      <c r="AE52" s="74">
        <f t="shared" si="0"/>
        <v>198683.80839743954</v>
      </c>
      <c r="AF52" s="74">
        <f t="shared" si="0"/>
        <v>199525.5888187766</v>
      </c>
      <c r="AG52" s="74">
        <f t="shared" si="0"/>
        <v>200195.9465963238</v>
      </c>
      <c r="AH52" s="74">
        <f t="shared" si="0"/>
        <v>201084.67262277711</v>
      </c>
      <c r="AI52" s="74">
        <f t="shared" si="0"/>
        <v>202006.07214966998</v>
      </c>
      <c r="AJ52" s="74">
        <f t="shared" si="0"/>
        <v>202957.25898284453</v>
      </c>
      <c r="AK52" s="74">
        <f t="shared" si="0"/>
        <v>203835.86786049843</v>
      </c>
      <c r="AL52" s="74">
        <f t="shared" si="0"/>
        <v>204643.48552690214</v>
      </c>
      <c r="AM52" s="74">
        <f t="shared" si="0"/>
        <v>205514.26593082584</v>
      </c>
      <c r="AN52" s="74">
        <f t="shared" si="0"/>
        <v>206255.3856153675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>
        <f t="shared" si="1"/>
        <v>-0.42090992188151033</v>
      </c>
      <c r="H53" s="107">
        <f t="shared" si="1"/>
        <v>-0.19764986510767149</v>
      </c>
      <c r="I53" s="107">
        <f t="shared" si="1"/>
        <v>-2.4957757156719145E-2</v>
      </c>
      <c r="J53" s="107">
        <f t="shared" si="1"/>
        <v>7.6166794247139527E-2</v>
      </c>
      <c r="K53" s="107">
        <f t="shared" si="1"/>
        <v>0.14614954908038438</v>
      </c>
      <c r="L53" s="107">
        <f t="shared" si="1"/>
        <v>0.19272380574016496</v>
      </c>
      <c r="M53" s="107">
        <f t="shared" si="1"/>
        <v>0.2309874413188128</v>
      </c>
      <c r="N53" s="107">
        <f t="shared" si="1"/>
        <v>0.26036077161755872</v>
      </c>
      <c r="O53" s="107">
        <f t="shared" si="1"/>
        <v>0.28557384488923049</v>
      </c>
      <c r="P53" s="107">
        <f t="shared" si="1"/>
        <v>0.30628514654386602</v>
      </c>
      <c r="Q53" s="107">
        <f t="shared" si="1"/>
        <v>0.284166002189504</v>
      </c>
      <c r="R53" s="107">
        <f t="shared" si="1"/>
        <v>0.29815426788899463</v>
      </c>
      <c r="S53" s="107">
        <f t="shared" si="1"/>
        <v>0.31134334560502686</v>
      </c>
      <c r="T53" s="107">
        <f t="shared" si="1"/>
        <v>0.33122694105021072</v>
      </c>
      <c r="U53" s="107">
        <f t="shared" si="1"/>
        <v>0.33332371407712824</v>
      </c>
      <c r="V53" s="107">
        <f t="shared" si="1"/>
        <v>0.33477731935885985</v>
      </c>
      <c r="W53" s="107">
        <f t="shared" si="1"/>
        <v>0.33714826066725712</v>
      </c>
      <c r="X53" s="107">
        <f t="shared" si="1"/>
        <v>0.33942495067315914</v>
      </c>
      <c r="Y53" s="107">
        <f t="shared" si="1"/>
        <v>0.34057511573583071</v>
      </c>
      <c r="Z53" s="107">
        <f t="shared" si="1"/>
        <v>0.34209469191340403</v>
      </c>
      <c r="AA53" s="107">
        <f t="shared" si="1"/>
        <v>0.34347124708267751</v>
      </c>
      <c r="AB53" s="107">
        <f t="shared" si="1"/>
        <v>0.34480613457921616</v>
      </c>
      <c r="AC53" s="107">
        <f t="shared" si="1"/>
        <v>0.28631249111718177</v>
      </c>
      <c r="AD53" s="107">
        <f t="shared" si="1"/>
        <v>0.28716676056375084</v>
      </c>
      <c r="AE53" s="107">
        <f t="shared" si="1"/>
        <v>0.28794800834091144</v>
      </c>
      <c r="AF53" s="107">
        <f t="shared" si="1"/>
        <v>0.28916798191469917</v>
      </c>
      <c r="AG53" s="107">
        <f t="shared" si="1"/>
        <v>0.29013951647746755</v>
      </c>
      <c r="AH53" s="107">
        <f t="shared" si="1"/>
        <v>0.29142752726879512</v>
      </c>
      <c r="AI53" s="107">
        <f t="shared" si="1"/>
        <v>0.29276289103494729</v>
      </c>
      <c r="AJ53" s="107">
        <f t="shared" si="1"/>
        <v>0.29414142487915884</v>
      </c>
      <c r="AK53" s="107">
        <f t="shared" si="1"/>
        <v>0.29541477311257403</v>
      </c>
      <c r="AL53" s="107">
        <f t="shared" si="1"/>
        <v>0.29658523536824355</v>
      </c>
      <c r="AM53" s="107">
        <f t="shared" si="1"/>
        <v>0.29784723796943469</v>
      </c>
      <c r="AN53" s="107">
        <f t="shared" si="1"/>
        <v>0.29892132618440953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235166.66666666666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-50387.171021066672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-43404.921846933343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-49875.919146133296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-54276.210786933363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-57980.095368799972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-60759.55176506663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-63995.050414666664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-67230.549064266728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-70466.047713866617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-386401.13666666666</v>
      </c>
      <c r="F58" s="13">
        <f t="shared" ref="F58:AN58" si="2">F37-F50-F55+F56</f>
        <v>-235166.66666666666</v>
      </c>
      <c r="G58" s="13">
        <f t="shared" si="2"/>
        <v>-314606.52291829151</v>
      </c>
      <c r="H58" s="13">
        <f t="shared" si="2"/>
        <v>-301349.73362489359</v>
      </c>
      <c r="I58" s="13">
        <f t="shared" si="2"/>
        <v>-289072.42352814949</v>
      </c>
      <c r="J58" s="13">
        <f t="shared" si="2"/>
        <v>-273623.96734794759</v>
      </c>
      <c r="K58" s="13">
        <f t="shared" si="2"/>
        <v>-20871.386263827051</v>
      </c>
      <c r="L58" s="13">
        <f t="shared" si="2"/>
        <v>-2917.246414338355</v>
      </c>
      <c r="M58" s="13">
        <f t="shared" si="2"/>
        <v>16007.906693027748</v>
      </c>
      <c r="N58" s="13">
        <f t="shared" si="2"/>
        <v>34980.160867271421</v>
      </c>
      <c r="O58" s="13">
        <f t="shared" si="2"/>
        <v>54842.269350546019</v>
      </c>
      <c r="P58" s="13">
        <f t="shared" si="2"/>
        <v>110466.88570750784</v>
      </c>
      <c r="Q58" s="13">
        <f t="shared" si="2"/>
        <v>110468.8740191056</v>
      </c>
      <c r="R58" s="13">
        <f t="shared" si="2"/>
        <v>125384.23207690107</v>
      </c>
      <c r="S58" s="13">
        <f t="shared" si="2"/>
        <v>141118.10723891307</v>
      </c>
      <c r="T58" s="13">
        <f t="shared" si="2"/>
        <v>162727.00483959779</v>
      </c>
      <c r="U58" s="13">
        <f t="shared" si="2"/>
        <v>157240.56452524237</v>
      </c>
      <c r="V58" s="13">
        <f t="shared" si="2"/>
        <v>148919.76990920689</v>
      </c>
      <c r="W58" s="13">
        <f t="shared" si="2"/>
        <v>143414.50906514184</v>
      </c>
      <c r="X58" s="13">
        <f t="shared" si="2"/>
        <v>137844.21492623287</v>
      </c>
      <c r="Y58" s="13">
        <f t="shared" si="2"/>
        <v>131496.61981807824</v>
      </c>
      <c r="Z58" s="13">
        <f t="shared" si="2"/>
        <v>132545.12570582464</v>
      </c>
      <c r="AA58" s="13">
        <f t="shared" si="2"/>
        <v>133494.94725547271</v>
      </c>
      <c r="AB58" s="13">
        <f t="shared" si="2"/>
        <v>134416.01815685717</v>
      </c>
      <c r="AC58" s="13">
        <f t="shared" si="2"/>
        <v>94055.468635988058</v>
      </c>
      <c r="AD58" s="13">
        <f t="shared" si="2"/>
        <v>94644.913612599819</v>
      </c>
      <c r="AE58" s="13">
        <f t="shared" si="2"/>
        <v>95183.97371779957</v>
      </c>
      <c r="AF58" s="13">
        <f t="shared" si="2"/>
        <v>96025.754139136625</v>
      </c>
      <c r="AG58" s="13">
        <f t="shared" si="2"/>
        <v>96696.111916683833</v>
      </c>
      <c r="AH58" s="13">
        <f t="shared" si="2"/>
        <v>97584.837943137143</v>
      </c>
      <c r="AI58" s="13">
        <f t="shared" si="2"/>
        <v>98506.237470030013</v>
      </c>
      <c r="AJ58" s="13">
        <f t="shared" si="2"/>
        <v>99457.424303204563</v>
      </c>
      <c r="AK58" s="13">
        <f t="shared" si="2"/>
        <v>100336.03318085846</v>
      </c>
      <c r="AL58" s="13">
        <f t="shared" si="2"/>
        <v>101143.65084726216</v>
      </c>
      <c r="AM58" s="13">
        <f t="shared" si="2"/>
        <v>102014.43125118587</v>
      </c>
      <c r="AN58" s="13">
        <f t="shared" si="2"/>
        <v>102755.55093572753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-386401.13666666666</v>
      </c>
      <c r="F59" s="12">
        <v>-621567.80333333334</v>
      </c>
      <c r="G59" s="12">
        <v>-936174.32625162485</v>
      </c>
      <c r="H59" s="12">
        <v>-1237524.0598765183</v>
      </c>
      <c r="I59" s="12">
        <v>-1526596.4834046678</v>
      </c>
      <c r="J59" s="12">
        <v>-1800220.4507526155</v>
      </c>
      <c r="K59" s="12">
        <v>-1821091.8370164426</v>
      </c>
      <c r="L59" s="12">
        <v>-1824009.083430781</v>
      </c>
      <c r="M59" s="12">
        <v>-1808001.1767377532</v>
      </c>
      <c r="N59" s="12">
        <v>-1773021.0158704817</v>
      </c>
      <c r="O59" s="12">
        <v>-1718178.7465199358</v>
      </c>
      <c r="P59" s="12">
        <v>-1607711.8608124279</v>
      </c>
      <c r="Q59" s="12">
        <v>-1497242.9867933223</v>
      </c>
      <c r="R59" s="12">
        <v>-1371858.7547164212</v>
      </c>
      <c r="S59" s="12">
        <v>-1230740.6474775081</v>
      </c>
      <c r="T59" s="12">
        <v>-1068013.6426379103</v>
      </c>
      <c r="U59" s="12">
        <v>-910773.07811266789</v>
      </c>
      <c r="V59" s="12">
        <v>-761853.308203461</v>
      </c>
      <c r="W59" s="12">
        <v>-618438.79913831921</v>
      </c>
      <c r="X59" s="12">
        <v>-480594.58421208634</v>
      </c>
      <c r="Y59" s="12">
        <v>-349097.9643940081</v>
      </c>
      <c r="Z59" s="12">
        <v>-216552.83868818346</v>
      </c>
      <c r="AA59" s="12">
        <v>-83057.891432710749</v>
      </c>
      <c r="AB59" s="12">
        <v>51358.126724146423</v>
      </c>
      <c r="AC59" s="12">
        <v>145413.5953601345</v>
      </c>
      <c r="AD59" s="12">
        <v>240058.50897273433</v>
      </c>
      <c r="AE59" s="12">
        <v>335242.48269053391</v>
      </c>
      <c r="AF59" s="12">
        <v>431268.23682967055</v>
      </c>
      <c r="AG59" s="12">
        <v>527964.34874635434</v>
      </c>
      <c r="AH59" s="12">
        <v>625549.1866894915</v>
      </c>
      <c r="AI59" s="12">
        <v>724055.42415952147</v>
      </c>
      <c r="AJ59" s="12">
        <v>823512.84846272599</v>
      </c>
      <c r="AK59" s="12">
        <v>923848.88164358446</v>
      </c>
      <c r="AL59" s="12">
        <v>1024992.5324908466</v>
      </c>
      <c r="AM59" s="12">
        <v>1127006.9637420324</v>
      </c>
      <c r="AN59" s="12">
        <v>1229762.51467776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1</v>
      </c>
      <c r="N69" s="108">
        <v>1</v>
      </c>
      <c r="O69" s="108">
        <v>1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1</v>
      </c>
      <c r="O70" s="108">
        <v>1</v>
      </c>
      <c r="P70" s="108">
        <v>1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DC90-E8BE-4518-916B-9914956D634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499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3</v>
      </c>
      <c r="P1" s="69">
        <v>6</v>
      </c>
      <c r="Q1" s="69">
        <v>9</v>
      </c>
      <c r="R1" s="69">
        <v>12</v>
      </c>
      <c r="S1" s="69">
        <v>15</v>
      </c>
      <c r="T1" s="69">
        <v>18</v>
      </c>
      <c r="U1" s="69">
        <v>21</v>
      </c>
      <c r="V1" s="69">
        <v>24</v>
      </c>
      <c r="W1" s="69">
        <v>27</v>
      </c>
      <c r="X1" s="69">
        <v>30</v>
      </c>
      <c r="Y1" s="69">
        <v>33</v>
      </c>
      <c r="Z1" s="69">
        <v>36</v>
      </c>
      <c r="AA1" s="69">
        <v>39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4.166666666666667</v>
      </c>
      <c r="W2" s="69">
        <v>4.333333333333333</v>
      </c>
      <c r="X2" s="69">
        <v>4.5</v>
      </c>
      <c r="Y2" s="69">
        <v>4.666666666666667</v>
      </c>
      <c r="Z2" s="69">
        <v>4.833333333333333</v>
      </c>
      <c r="AA2" s="69">
        <v>5</v>
      </c>
      <c r="AB2" s="69">
        <v>2.1666666666666665</v>
      </c>
      <c r="AC2" s="69">
        <v>2.3333333333333335</v>
      </c>
      <c r="AD2" s="69">
        <v>2.5</v>
      </c>
      <c r="AE2" s="69">
        <v>2.6666666666666665</v>
      </c>
      <c r="AF2" s="69">
        <v>2.8333333333333335</v>
      </c>
      <c r="AG2" s="69">
        <v>3</v>
      </c>
      <c r="AH2" s="69">
        <v>3.1666666666666665</v>
      </c>
      <c r="AI2" s="69">
        <v>3.3333333333333335</v>
      </c>
      <c r="AJ2" s="69">
        <v>3.5</v>
      </c>
      <c r="AK2" s="69">
        <v>3.6666666666666665</v>
      </c>
      <c r="AL2" s="69">
        <v>3.8333333333333335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2.1666666666666665</v>
      </c>
      <c r="AC3" s="69">
        <v>2.3333333333333335</v>
      </c>
      <c r="AD3" s="69">
        <v>2.5</v>
      </c>
      <c r="AE3" s="69">
        <v>2.6666666666666665</v>
      </c>
      <c r="AF3" s="69">
        <v>2.8333333333333335</v>
      </c>
      <c r="AG3" s="69">
        <v>3</v>
      </c>
      <c r="AH3" s="69">
        <v>3.1666666666666665</v>
      </c>
      <c r="AI3" s="69">
        <v>3.3333333333333335</v>
      </c>
      <c r="AJ3" s="69">
        <v>3.5</v>
      </c>
      <c r="AK3" s="69">
        <v>3.6666666666666665</v>
      </c>
      <c r="AL3" s="69">
        <v>3.8333333333333335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3</v>
      </c>
      <c r="P4" s="69">
        <v>9.1666666666666661</v>
      </c>
      <c r="Q4" s="69">
        <v>12.333333333333334</v>
      </c>
      <c r="R4" s="69">
        <v>15.5</v>
      </c>
      <c r="S4" s="69">
        <v>18.666666666666668</v>
      </c>
      <c r="T4" s="69">
        <v>21.833333333333332</v>
      </c>
      <c r="U4" s="69">
        <v>25</v>
      </c>
      <c r="V4" s="69">
        <v>28.166666666666668</v>
      </c>
      <c r="W4" s="69">
        <v>31.333333333333332</v>
      </c>
      <c r="X4" s="69">
        <v>34.5</v>
      </c>
      <c r="Y4" s="69">
        <v>37.666666666666664</v>
      </c>
      <c r="Z4" s="69">
        <v>40.833333333333336</v>
      </c>
      <c r="AA4" s="69">
        <v>44</v>
      </c>
      <c r="AB4" s="69">
        <v>44.166666666666664</v>
      </c>
      <c r="AC4" s="69">
        <v>44.333333333333336</v>
      </c>
      <c r="AD4" s="69">
        <v>44.5</v>
      </c>
      <c r="AE4" s="69">
        <v>44.666666666666664</v>
      </c>
      <c r="AF4" s="69">
        <v>44.833333333333336</v>
      </c>
      <c r="AG4" s="69">
        <v>45</v>
      </c>
      <c r="AH4" s="69">
        <v>45.166666666666664</v>
      </c>
      <c r="AI4" s="69">
        <v>45.333333333333336</v>
      </c>
      <c r="AJ4" s="69">
        <v>45.5</v>
      </c>
      <c r="AK4" s="69">
        <v>45.666666666666664</v>
      </c>
      <c r="AL4" s="69">
        <v>45.833333333333336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6</v>
      </c>
      <c r="P6" s="66">
        <v>11</v>
      </c>
      <c r="Q6" s="66">
        <v>15</v>
      </c>
      <c r="R6" s="66">
        <v>18</v>
      </c>
      <c r="S6" s="66">
        <v>22</v>
      </c>
      <c r="T6" s="66">
        <v>26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47</v>
      </c>
      <c r="AA6" s="66">
        <v>51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2.8299999999999996</v>
      </c>
      <c r="P7" s="108">
        <v>5.6499999999999995</v>
      </c>
      <c r="Q7" s="108">
        <v>8.48</v>
      </c>
      <c r="R7" s="108">
        <v>11.299999999999999</v>
      </c>
      <c r="S7" s="108">
        <v>14.12</v>
      </c>
      <c r="T7" s="108">
        <v>16.950000000000003</v>
      </c>
      <c r="U7" s="108">
        <v>19.770000000000003</v>
      </c>
      <c r="V7" s="108">
        <v>22.59</v>
      </c>
      <c r="W7" s="108">
        <v>25.42</v>
      </c>
      <c r="X7" s="108">
        <v>28.240000000000002</v>
      </c>
      <c r="Y7" s="108">
        <v>31.060000000000002</v>
      </c>
      <c r="Z7" s="108">
        <v>33.89</v>
      </c>
      <c r="AA7" s="108">
        <v>36.71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0.43</v>
      </c>
      <c r="P8" s="108">
        <v>0.86</v>
      </c>
      <c r="Q8" s="108">
        <v>1.29</v>
      </c>
      <c r="R8" s="108">
        <v>1.72</v>
      </c>
      <c r="S8" s="108">
        <v>2.15</v>
      </c>
      <c r="T8" s="108">
        <v>2.5799999999999996</v>
      </c>
      <c r="U8" s="108">
        <v>3</v>
      </c>
      <c r="V8" s="108">
        <v>3.4299999999999997</v>
      </c>
      <c r="W8" s="108">
        <v>3.86</v>
      </c>
      <c r="X8" s="108">
        <v>4.29</v>
      </c>
      <c r="Y8" s="108">
        <v>4.72</v>
      </c>
      <c r="Z8" s="108">
        <v>5.1499999999999995</v>
      </c>
      <c r="AA8" s="108">
        <v>5.58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0.25</v>
      </c>
      <c r="Q12" s="108">
        <v>0.26</v>
      </c>
      <c r="R12" s="108">
        <v>0.27</v>
      </c>
      <c r="S12" s="108">
        <v>0.29000000000000004</v>
      </c>
      <c r="T12" s="108">
        <v>0.3</v>
      </c>
      <c r="U12" s="108">
        <v>0.31</v>
      </c>
      <c r="V12" s="108">
        <v>0.33</v>
      </c>
      <c r="W12" s="108">
        <v>0.34</v>
      </c>
      <c r="X12" s="108">
        <v>0.35000000000000003</v>
      </c>
      <c r="Y12" s="108">
        <v>0.36</v>
      </c>
      <c r="Z12" s="108">
        <v>0.38</v>
      </c>
      <c r="AA12" s="108">
        <v>0.39</v>
      </c>
      <c r="AB12" s="108">
        <v>0.17</v>
      </c>
      <c r="AC12" s="108">
        <v>0.18000000000000002</v>
      </c>
      <c r="AD12" s="108">
        <v>0.2</v>
      </c>
      <c r="AE12" s="108">
        <v>0.21000000000000002</v>
      </c>
      <c r="AF12" s="108">
        <v>0.22</v>
      </c>
      <c r="AG12" s="108">
        <v>0.24000000000000002</v>
      </c>
      <c r="AH12" s="108">
        <v>0.25</v>
      </c>
      <c r="AI12" s="108">
        <v>0.26</v>
      </c>
      <c r="AJ12" s="108">
        <v>0.27</v>
      </c>
      <c r="AK12" s="108">
        <v>0.29000000000000004</v>
      </c>
      <c r="AL12" s="108">
        <v>0.3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0.02</v>
      </c>
      <c r="P13" s="108">
        <v>0.35000000000000003</v>
      </c>
      <c r="Q13" s="108">
        <v>0.39</v>
      </c>
      <c r="R13" s="108">
        <v>0.42</v>
      </c>
      <c r="S13" s="108">
        <v>0.45</v>
      </c>
      <c r="T13" s="108">
        <v>0.49</v>
      </c>
      <c r="U13" s="108">
        <v>0.52</v>
      </c>
      <c r="V13" s="108">
        <v>0.55000000000000004</v>
      </c>
      <c r="W13" s="108">
        <v>0.59</v>
      </c>
      <c r="X13" s="108">
        <v>0.62</v>
      </c>
      <c r="Y13" s="108">
        <v>0.65</v>
      </c>
      <c r="Z13" s="108">
        <v>0.69000000000000006</v>
      </c>
      <c r="AA13" s="108">
        <v>0.72</v>
      </c>
      <c r="AB13" s="108">
        <v>0.45</v>
      </c>
      <c r="AC13" s="108">
        <v>0.47000000000000003</v>
      </c>
      <c r="AD13" s="108">
        <v>0.49</v>
      </c>
      <c r="AE13" s="108">
        <v>0.5</v>
      </c>
      <c r="AF13" s="108">
        <v>0.52</v>
      </c>
      <c r="AG13" s="108">
        <v>0.54</v>
      </c>
      <c r="AH13" s="108">
        <v>0.55000000000000004</v>
      </c>
      <c r="AI13" s="108">
        <v>0.57000000000000006</v>
      </c>
      <c r="AJ13" s="108">
        <v>0.59</v>
      </c>
      <c r="AK13" s="108">
        <v>0.6</v>
      </c>
      <c r="AL13" s="108">
        <v>0.62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0.02</v>
      </c>
      <c r="P14" s="108">
        <v>0.2</v>
      </c>
      <c r="Q14" s="108">
        <v>0.22</v>
      </c>
      <c r="R14" s="108">
        <v>0.25</v>
      </c>
      <c r="S14" s="108">
        <v>0.27</v>
      </c>
      <c r="T14" s="108">
        <v>0.3</v>
      </c>
      <c r="U14" s="108">
        <v>0.32</v>
      </c>
      <c r="V14" s="108">
        <v>0.35000000000000003</v>
      </c>
      <c r="W14" s="108">
        <v>0.37</v>
      </c>
      <c r="X14" s="108">
        <v>0.39</v>
      </c>
      <c r="Y14" s="108">
        <v>0.42</v>
      </c>
      <c r="Z14" s="108">
        <v>0.44</v>
      </c>
      <c r="AA14" s="108">
        <v>0.47000000000000003</v>
      </c>
      <c r="AB14" s="108">
        <v>0.34</v>
      </c>
      <c r="AC14" s="108">
        <v>0.35000000000000003</v>
      </c>
      <c r="AD14" s="108">
        <v>0.36</v>
      </c>
      <c r="AE14" s="108">
        <v>0.37</v>
      </c>
      <c r="AF14" s="108">
        <v>0.38</v>
      </c>
      <c r="AG14" s="108">
        <v>0.39</v>
      </c>
      <c r="AH14" s="108">
        <v>0.39</v>
      </c>
      <c r="AI14" s="108">
        <v>0.4</v>
      </c>
      <c r="AJ14" s="108">
        <v>0.41000000000000003</v>
      </c>
      <c r="AK14" s="108">
        <v>0.42</v>
      </c>
      <c r="AL14" s="108">
        <v>0.43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0.02</v>
      </c>
      <c r="P15" s="108">
        <v>0.03</v>
      </c>
      <c r="Q15" s="108">
        <v>0.04</v>
      </c>
      <c r="R15" s="108">
        <v>0.05</v>
      </c>
      <c r="S15" s="108">
        <v>0.06</v>
      </c>
      <c r="T15" s="108">
        <v>0.08</v>
      </c>
      <c r="U15" s="108">
        <v>0.09</v>
      </c>
      <c r="V15" s="108">
        <v>9.9999999999999992E-2</v>
      </c>
      <c r="W15" s="108">
        <v>0.11</v>
      </c>
      <c r="X15" s="108">
        <v>0.12</v>
      </c>
      <c r="Y15" s="108">
        <v>0.14000000000000001</v>
      </c>
      <c r="Z15" s="108">
        <v>0.15000000000000002</v>
      </c>
      <c r="AA15" s="108">
        <v>0.16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0.02</v>
      </c>
      <c r="P16" s="108">
        <v>0.03</v>
      </c>
      <c r="Q16" s="108">
        <v>0.04</v>
      </c>
      <c r="R16" s="108">
        <v>0.05</v>
      </c>
      <c r="S16" s="108">
        <v>0.06</v>
      </c>
      <c r="T16" s="108">
        <v>0.08</v>
      </c>
      <c r="U16" s="108">
        <v>0.09</v>
      </c>
      <c r="V16" s="108">
        <v>9.9999999999999992E-2</v>
      </c>
      <c r="W16" s="108">
        <v>0.11</v>
      </c>
      <c r="X16" s="108">
        <v>0.12</v>
      </c>
      <c r="Y16" s="108">
        <v>0.14000000000000001</v>
      </c>
      <c r="Z16" s="108">
        <v>0.15000000000000002</v>
      </c>
      <c r="AA16" s="108">
        <v>0.16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0.3</v>
      </c>
      <c r="P17" s="108">
        <v>0.6</v>
      </c>
      <c r="Q17" s="108">
        <v>0.9</v>
      </c>
      <c r="R17" s="108">
        <v>1.2</v>
      </c>
      <c r="S17" s="108">
        <v>1.5</v>
      </c>
      <c r="T17" s="108">
        <v>1.8</v>
      </c>
      <c r="U17" s="108">
        <v>2.1</v>
      </c>
      <c r="V17" s="108">
        <v>2.4</v>
      </c>
      <c r="W17" s="108">
        <v>2.7</v>
      </c>
      <c r="X17" s="108">
        <v>3</v>
      </c>
      <c r="Y17" s="108">
        <v>3.3</v>
      </c>
      <c r="Z17" s="108">
        <v>3.6</v>
      </c>
      <c r="AA17" s="108">
        <v>3.9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3</v>
      </c>
      <c r="P21" s="120">
        <v>7</v>
      </c>
      <c r="Q21" s="120">
        <v>10</v>
      </c>
      <c r="R21" s="120">
        <v>13</v>
      </c>
      <c r="S21" s="120">
        <v>16</v>
      </c>
      <c r="T21" s="120">
        <v>20</v>
      </c>
      <c r="U21" s="120">
        <v>23</v>
      </c>
      <c r="V21" s="120">
        <v>26</v>
      </c>
      <c r="W21" s="120">
        <v>29</v>
      </c>
      <c r="X21" s="120">
        <v>33</v>
      </c>
      <c r="Y21" s="120">
        <v>36</v>
      </c>
      <c r="Z21" s="120">
        <v>39</v>
      </c>
      <c r="AA21" s="120">
        <v>42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165.07653631284921</v>
      </c>
      <c r="P22" s="78">
        <v>165.07653631284921</v>
      </c>
      <c r="Q22" s="78">
        <v>170.02883240223466</v>
      </c>
      <c r="R22" s="78">
        <v>170.02883240223466</v>
      </c>
      <c r="S22" s="78">
        <v>170.02883240223466</v>
      </c>
      <c r="T22" s="78">
        <v>170.02883240223466</v>
      </c>
      <c r="U22" s="78">
        <v>170.02883240223463</v>
      </c>
      <c r="V22" s="78">
        <v>170.02883240223466</v>
      </c>
      <c r="W22" s="78">
        <v>170.02883240223468</v>
      </c>
      <c r="X22" s="78">
        <v>170.02883240223466</v>
      </c>
      <c r="Y22" s="78">
        <v>170.02883240223468</v>
      </c>
      <c r="Z22" s="78">
        <v>170.02883240223466</v>
      </c>
      <c r="AA22" s="78">
        <v>170.02883240223466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315.03999999999996</v>
      </c>
      <c r="P23" s="52">
        <v>630.07999999999993</v>
      </c>
      <c r="Q23" s="52">
        <v>945.11999999999989</v>
      </c>
      <c r="R23" s="52">
        <v>1260.1599999999999</v>
      </c>
      <c r="S23" s="52">
        <v>1575.1999999999996</v>
      </c>
      <c r="T23" s="52">
        <v>1890.2399999999998</v>
      </c>
      <c r="U23" s="52">
        <v>2205.2799999999997</v>
      </c>
      <c r="V23" s="52">
        <v>2520.3199999999997</v>
      </c>
      <c r="W23" s="52">
        <v>2835.3599999999992</v>
      </c>
      <c r="X23" s="52">
        <v>3150.3999999999992</v>
      </c>
      <c r="Y23" s="52">
        <v>3465.4399999999996</v>
      </c>
      <c r="Z23" s="52">
        <v>3780.4799999999996</v>
      </c>
      <c r="AA23" s="52">
        <v>4095.5199999999995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45433.96</v>
      </c>
      <c r="P26" s="12">
        <v>90867.92</v>
      </c>
      <c r="Q26" s="12">
        <v>140390.93640000001</v>
      </c>
      <c r="R26" s="12">
        <v>187187.91520000002</v>
      </c>
      <c r="S26" s="12">
        <v>233984.89399999997</v>
      </c>
      <c r="T26" s="12">
        <v>280781.87280000001</v>
      </c>
      <c r="U26" s="12">
        <v>327578.85159999994</v>
      </c>
      <c r="V26" s="12">
        <v>374375.83040000004</v>
      </c>
      <c r="W26" s="12">
        <v>421172.80919999996</v>
      </c>
      <c r="X26" s="12">
        <v>467969.78799999994</v>
      </c>
      <c r="Y26" s="12">
        <v>514766.76679999998</v>
      </c>
      <c r="Z26" s="12">
        <v>561563.74560000002</v>
      </c>
      <c r="AA26" s="12">
        <v>608360.72439999995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2663.9599999999996</v>
      </c>
      <c r="P27" s="12">
        <v>5327.9199999999992</v>
      </c>
      <c r="Q27" s="12">
        <v>8231.6363999999994</v>
      </c>
      <c r="R27" s="12">
        <v>10975.5152</v>
      </c>
      <c r="S27" s="12">
        <v>13719.393999999998</v>
      </c>
      <c r="T27" s="12">
        <v>16463.272799999999</v>
      </c>
      <c r="U27" s="12">
        <v>19207.151600000001</v>
      </c>
      <c r="V27" s="12">
        <v>21951.0304</v>
      </c>
      <c r="W27" s="12">
        <v>24694.909199999995</v>
      </c>
      <c r="X27" s="12">
        <v>27438.787999999997</v>
      </c>
      <c r="Y27" s="12">
        <v>30182.666799999999</v>
      </c>
      <c r="Z27" s="12">
        <v>32926.545599999998</v>
      </c>
      <c r="AA27" s="12">
        <v>35670.424399999996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6331.181999999998</v>
      </c>
      <c r="P28" s="12">
        <v>12662.363999999996</v>
      </c>
      <c r="Q28" s="12">
        <v>19563.352379999993</v>
      </c>
      <c r="R28" s="12">
        <v>26084.469839999991</v>
      </c>
      <c r="S28" s="12">
        <v>32605.587299999992</v>
      </c>
      <c r="T28" s="12">
        <v>39126.704759999986</v>
      </c>
      <c r="U28" s="12">
        <v>45647.822219999987</v>
      </c>
      <c r="V28" s="12">
        <v>52168.939679999981</v>
      </c>
      <c r="W28" s="12">
        <v>58690.057139999983</v>
      </c>
      <c r="X28" s="12">
        <v>65211.174599999984</v>
      </c>
      <c r="Y28" s="12">
        <v>71732.292059999978</v>
      </c>
      <c r="Z28" s="12">
        <v>78253.409519999972</v>
      </c>
      <c r="AA28" s="12">
        <v>84774.526979999995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487.01399999999995</v>
      </c>
      <c r="P29" s="12">
        <v>974.02799999999991</v>
      </c>
      <c r="Q29" s="12">
        <v>1504.8732600000001</v>
      </c>
      <c r="R29" s="12">
        <v>2006.4976799999999</v>
      </c>
      <c r="S29" s="12">
        <v>2508.1221</v>
      </c>
      <c r="T29" s="12">
        <v>3009.7465200000001</v>
      </c>
      <c r="U29" s="12">
        <v>3511.3709400000002</v>
      </c>
      <c r="V29" s="12">
        <v>4012.9953599999999</v>
      </c>
      <c r="W29" s="12">
        <v>4514.61978</v>
      </c>
      <c r="X29" s="12">
        <v>5016.2442000000001</v>
      </c>
      <c r="Y29" s="12">
        <v>5517.8686199999993</v>
      </c>
      <c r="Z29" s="12">
        <v>6019.4930400000003</v>
      </c>
      <c r="AA29" s="12">
        <v>6521.1174600000013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635.43999999999994</v>
      </c>
      <c r="P30" s="12">
        <v>1270.8799999999999</v>
      </c>
      <c r="Q30" s="12">
        <v>1963.5095999999999</v>
      </c>
      <c r="R30" s="12">
        <v>2618.0127999999995</v>
      </c>
      <c r="S30" s="12">
        <v>3272.5159999999996</v>
      </c>
      <c r="T30" s="12">
        <v>3927.0191999999997</v>
      </c>
      <c r="U30" s="12">
        <v>4581.5223999999998</v>
      </c>
      <c r="V30" s="12">
        <v>5236.025599999999</v>
      </c>
      <c r="W30" s="12">
        <v>5890.5288</v>
      </c>
      <c r="X30" s="12">
        <v>6545.0319999999992</v>
      </c>
      <c r="Y30" s="12">
        <v>7199.5351999999993</v>
      </c>
      <c r="Z30" s="12">
        <v>7854.0383999999995</v>
      </c>
      <c r="AA30" s="12">
        <v>8508.5416000000005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-9775.5657199999987</v>
      </c>
      <c r="P35" s="12">
        <v>-16441.75244</v>
      </c>
      <c r="Q35" s="12">
        <v>-23801.177334799995</v>
      </c>
      <c r="R35" s="12">
        <v>-30667.349656399994</v>
      </c>
      <c r="S35" s="12">
        <v>-37533.521977999997</v>
      </c>
      <c r="T35" s="12">
        <v>-44399.694299599993</v>
      </c>
      <c r="U35" s="12">
        <v>-51265.866621199988</v>
      </c>
      <c r="V35" s="12">
        <v>-58132.038942799998</v>
      </c>
      <c r="W35" s="12">
        <v>-64998.211264399994</v>
      </c>
      <c r="X35" s="12">
        <v>-71864.383585999982</v>
      </c>
      <c r="Y35" s="12">
        <v>-78730.555907599992</v>
      </c>
      <c r="Z35" s="12">
        <v>-85596.728229199987</v>
      </c>
      <c r="AA35" s="12">
        <v>-92462.900550799983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69023.521946666675</v>
      </c>
      <c r="P37" s="13">
        <v>115244.93122666668</v>
      </c>
      <c r="Q37" s="13">
        <v>166310.33072186666</v>
      </c>
      <c r="R37" s="13">
        <v>213918.38228026667</v>
      </c>
      <c r="S37" s="13">
        <v>261526.43383866665</v>
      </c>
      <c r="T37" s="13">
        <v>309134.48539706669</v>
      </c>
      <c r="U37" s="13">
        <v>356742.53695546661</v>
      </c>
      <c r="V37" s="13">
        <v>404350.58851386671</v>
      </c>
      <c r="W37" s="13">
        <v>451958.64007226669</v>
      </c>
      <c r="X37" s="13">
        <v>499566.69163066661</v>
      </c>
      <c r="Y37" s="13">
        <v>547174.74318906665</v>
      </c>
      <c r="Z37" s="13">
        <v>594782.79474746657</v>
      </c>
      <c r="AA37" s="13">
        <v>642390.84630586649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43612.98992400329</v>
      </c>
      <c r="P40" s="12">
        <v>74421.884381339914</v>
      </c>
      <c r="Q40" s="12">
        <v>113905.37506921084</v>
      </c>
      <c r="R40" s="12">
        <v>135269.09230561447</v>
      </c>
      <c r="S40" s="12">
        <v>156668.96287535143</v>
      </c>
      <c r="T40" s="12">
        <v>178370.41179175509</v>
      </c>
      <c r="U40" s="12">
        <v>199559.21069482536</v>
      </c>
      <c r="V40" s="12">
        <v>221029.26126456229</v>
      </c>
      <c r="W40" s="12">
        <v>242437.23018096594</v>
      </c>
      <c r="X40" s="12">
        <v>263730.76741736947</v>
      </c>
      <c r="Y40" s="12">
        <v>285317.78465377312</v>
      </c>
      <c r="Z40" s="12">
        <v>306832.08690351003</v>
      </c>
      <c r="AA40" s="12">
        <v>328195.80413991364</v>
      </c>
      <c r="AB40" s="12">
        <v>343876.53637631732</v>
      </c>
      <c r="AC40" s="12">
        <v>378605.73268061579</v>
      </c>
      <c r="AD40" s="12">
        <v>379064.24201394914</v>
      </c>
      <c r="AE40" s="12">
        <v>379332.09568061575</v>
      </c>
      <c r="AF40" s="12">
        <v>379673.63834728248</v>
      </c>
      <c r="AG40" s="12">
        <v>380132.14768061577</v>
      </c>
      <c r="AH40" s="12">
        <v>380322.80334728246</v>
      </c>
      <c r="AI40" s="12">
        <v>380664.34601394914</v>
      </c>
      <c r="AJ40" s="12">
        <v>381005.88868061581</v>
      </c>
      <c r="AK40" s="12">
        <v>381390.70901394915</v>
      </c>
      <c r="AL40" s="12">
        <v>381732.25168061582</v>
      </c>
      <c r="AM40" s="12">
        <v>382073.7943472825</v>
      </c>
      <c r="AN40" s="12">
        <v>382073.7943472825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363.89520000000005</v>
      </c>
      <c r="P44" s="12">
        <v>963.64839999999992</v>
      </c>
      <c r="Q44" s="12">
        <v>1033.7319199999999</v>
      </c>
      <c r="R44" s="12">
        <v>1065.2695039999999</v>
      </c>
      <c r="S44" s="12">
        <v>1096.807088</v>
      </c>
      <c r="T44" s="12">
        <v>1138.8571999999999</v>
      </c>
      <c r="U44" s="12">
        <v>1166.8906079999999</v>
      </c>
      <c r="V44" s="12">
        <v>1201.932368</v>
      </c>
      <c r="W44" s="12">
        <v>1233.4699519999999</v>
      </c>
      <c r="X44" s="12">
        <v>1261.5033600000002</v>
      </c>
      <c r="Y44" s="12">
        <v>1300.0492959999999</v>
      </c>
      <c r="Z44" s="12">
        <v>1335.0910559999998</v>
      </c>
      <c r="AA44" s="12">
        <v>1366.6286400000004</v>
      </c>
      <c r="AB44" s="12">
        <v>1156.37808</v>
      </c>
      <c r="AC44" s="12">
        <v>1217.2105753600003</v>
      </c>
      <c r="AD44" s="12">
        <v>1235.4322905600002</v>
      </c>
      <c r="AE44" s="12">
        <v>1246.3653196800001</v>
      </c>
      <c r="AF44" s="12">
        <v>1260.9426918400002</v>
      </c>
      <c r="AG44" s="12">
        <v>1279.1644070400002</v>
      </c>
      <c r="AH44" s="12">
        <v>1286.4530931200002</v>
      </c>
      <c r="AI44" s="12">
        <v>1301.03046528</v>
      </c>
      <c r="AJ44" s="12">
        <v>1315.6078374400001</v>
      </c>
      <c r="AK44" s="12">
        <v>1330.1852096000002</v>
      </c>
      <c r="AL44" s="12">
        <v>1344.7625817600001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3533.9999999999991</v>
      </c>
      <c r="P46" s="12">
        <v>5399.4999999999991</v>
      </c>
      <c r="Q46" s="12">
        <v>6810.54</v>
      </c>
      <c r="R46" s="12">
        <v>8110.0199999999995</v>
      </c>
      <c r="S46" s="12">
        <v>9409.4999999999982</v>
      </c>
      <c r="T46" s="12">
        <v>10723.26</v>
      </c>
      <c r="U46" s="12">
        <v>12015.600000000002</v>
      </c>
      <c r="V46" s="12">
        <v>13318.650000000001</v>
      </c>
      <c r="W46" s="12">
        <v>14621.7</v>
      </c>
      <c r="X46" s="12">
        <v>15917.609999999999</v>
      </c>
      <c r="Y46" s="12">
        <v>17224.23</v>
      </c>
      <c r="Z46" s="12">
        <v>18530.849999999999</v>
      </c>
      <c r="AA46" s="12">
        <v>19830.329999999998</v>
      </c>
      <c r="AB46" s="12">
        <v>20879.910000000007</v>
      </c>
      <c r="AC46" s="12">
        <v>21312.073800000002</v>
      </c>
      <c r="AD46" s="12">
        <v>21330.280800000004</v>
      </c>
      <c r="AE46" s="12">
        <v>21341.205000000002</v>
      </c>
      <c r="AF46" s="12">
        <v>21355.770600000003</v>
      </c>
      <c r="AG46" s="12">
        <v>21373.977600000006</v>
      </c>
      <c r="AH46" s="12">
        <v>21381.260400000003</v>
      </c>
      <c r="AI46" s="12">
        <v>21395.826000000001</v>
      </c>
      <c r="AJ46" s="12">
        <v>21410.391600000003</v>
      </c>
      <c r="AK46" s="12">
        <v>21424.957200000004</v>
      </c>
      <c r="AL46" s="12">
        <v>21439.522800000002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151234.47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8057.1388792126018</v>
      </c>
      <c r="P49" s="12">
        <f>'Corp.'!P$50*(P$37-(P31-P32-P34)*$C$35)/(SUM('MDA1:NCA9'!P$37)-SUM('MDA1:NCA9'!P$31)-SUM('MDA1:NCA9'!P$32)-SUM('MDA1:NCA9'!P$34))</f>
        <v>12728.524546447436</v>
      </c>
      <c r="Q49" s="12">
        <f>'Corp.'!Q$50*(Q$37-(Q31-Q32-Q34)*$C$35)/(SUM('MDA1:NCA9'!Q$37)-SUM('MDA1:NCA9'!Q$31)-SUM('MDA1:NCA9'!Q$32)-SUM('MDA1:NCA9'!Q$34))</f>
        <v>18640.74798406781</v>
      </c>
      <c r="R49" s="12">
        <f>'Corp.'!R$50*(R$37-(R31-R32-R34)*$C$35)/(SUM('MDA1:NCA9'!R$37)-SUM('MDA1:NCA9'!R$31)-SUM('MDA1:NCA9'!R$32)-SUM('MDA1:NCA9'!R$34))</f>
        <v>23114.557896102662</v>
      </c>
      <c r="S49" s="12">
        <f>'Corp.'!S$50*(S$37-(S31-S32-S34)*$C$35)/(SUM('MDA1:NCA9'!S$37)-SUM('MDA1:NCA9'!S$31)-SUM('MDA1:NCA9'!S$32)-SUM('MDA1:NCA9'!S$34))</f>
        <v>27091.792976406385</v>
      </c>
      <c r="T49" s="12">
        <f>'Corp.'!T$50*(T$37-(T31-T32-T34)*$C$35)/(SUM('MDA1:NCA9'!T$37)-SUM('MDA1:NCA9'!T$31)-SUM('MDA1:NCA9'!T$32)-SUM('MDA1:NCA9'!T$34))</f>
        <v>30860.43447463448</v>
      </c>
      <c r="U49" s="12">
        <f>'Corp.'!U$50*(U$37-(U31-U32-U34)*$C$35)/(SUM('MDA1:NCA9'!U$37)-SUM('MDA1:NCA9'!U$31)-SUM('MDA1:NCA9'!U$32)-SUM('MDA1:NCA9'!U$34))</f>
        <v>34697.153122962096</v>
      </c>
      <c r="V49" s="12">
        <f>'Corp.'!V$50*(V$37-(V31-V32-V34)*$C$35)/(SUM('MDA1:NCA9'!V$37)-SUM('MDA1:NCA9'!V$31)-SUM('MDA1:NCA9'!V$32)-SUM('MDA1:NCA9'!V$34))</f>
        <v>38485.068370699519</v>
      </c>
      <c r="W49" s="12">
        <f>'Corp.'!W$50*(W$37-(W31-W32-W34)*$C$35)/(SUM('MDA1:NCA9'!W$37)-SUM('MDA1:NCA9'!W$31)-SUM('MDA1:NCA9'!W$32)-SUM('MDA1:NCA9'!W$34))</f>
        <v>41778.201955910248</v>
      </c>
      <c r="X49" s="12">
        <f>'Corp.'!X$50*(X$37-(X31-X32-X34)*$C$35)/(SUM('MDA1:NCA9'!X$37)-SUM('MDA1:NCA9'!X$31)-SUM('MDA1:NCA9'!X$32)-SUM('MDA1:NCA9'!X$34))</f>
        <v>44806.502294170641</v>
      </c>
      <c r="Y49" s="12">
        <f>'Corp.'!Y$50*(Y$37-(Y31-Y32-Y34)*$C$35)/(SUM('MDA1:NCA9'!Y$37)-SUM('MDA1:NCA9'!Y$31)-SUM('MDA1:NCA9'!Y$32)-SUM('MDA1:NCA9'!Y$34))</f>
        <v>48102.459883153977</v>
      </c>
      <c r="Z49" s="12">
        <f>'Corp.'!Z$50*(Z$37-(Z31-Z32-Z34)*$C$35)/(SUM('MDA1:NCA9'!Z$37)-SUM('MDA1:NCA9'!Z$31)-SUM('MDA1:NCA9'!Z$32)-SUM('MDA1:NCA9'!Z$34))</f>
        <v>51228.334113700032</v>
      </c>
      <c r="AA49" s="12">
        <f>'Corp.'!AA$50*(AA$37-(AA31-AA32-AA34)*$C$35)/(SUM('MDA1:NCA9'!AA$37)-SUM('MDA1:NCA9'!AA$31)-SUM('MDA1:NCA9'!AA$32)-SUM('MDA1:NCA9'!AA$34))</f>
        <v>54142.139646604912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151234.47</v>
      </c>
      <c r="N50" s="13">
        <v>0</v>
      </c>
      <c r="O50" s="13">
        <v>92404.128803215892</v>
      </c>
      <c r="P50" s="13">
        <v>129749.90892778736</v>
      </c>
      <c r="Q50" s="13">
        <v>177804.66305327864</v>
      </c>
      <c r="R50" s="13">
        <v>204941.67020171712</v>
      </c>
      <c r="S50" s="13">
        <v>231618.2558517578</v>
      </c>
      <c r="T50" s="13">
        <v>258402.10626638957</v>
      </c>
      <c r="U50" s="13">
        <v>284719.96381778747</v>
      </c>
      <c r="V50" s="13">
        <v>311280.97963526181</v>
      </c>
      <c r="W50" s="13">
        <v>337285.13213687623</v>
      </c>
      <c r="X50" s="13">
        <v>362902.87971154007</v>
      </c>
      <c r="Y50" s="13">
        <v>389092.47453692707</v>
      </c>
      <c r="Z50" s="13">
        <v>415039.27101721003</v>
      </c>
      <c r="AA50" s="13">
        <v>440616.27378651855</v>
      </c>
      <c r="AB50" s="13">
        <v>460113.25502776942</v>
      </c>
      <c r="AC50" s="13">
        <v>501242.40148197184</v>
      </c>
      <c r="AD50" s="13">
        <v>500773.56457202678</v>
      </c>
      <c r="AE50" s="13">
        <v>500157.17406682693</v>
      </c>
      <c r="AF50" s="13">
        <v>499671.50191215659</v>
      </c>
      <c r="AG50" s="13">
        <v>499477.86046794266</v>
      </c>
      <c r="AH50" s="13">
        <v>498787.07290815609</v>
      </c>
      <c r="AI50" s="13">
        <v>498221.78164792986</v>
      </c>
      <c r="AJ50" s="13">
        <v>497626.70308142202</v>
      </c>
      <c r="AK50" s="13">
        <v>497147.48013710143</v>
      </c>
      <c r="AL50" s="13">
        <v>496695.97073736438</v>
      </c>
      <c r="AM50" s="13">
        <v>496181.29860010737</v>
      </c>
      <c r="AN50" s="13">
        <v>495440.17891556572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-151234.47</v>
      </c>
      <c r="N52" s="74">
        <f t="shared" si="0"/>
        <v>0</v>
      </c>
      <c r="O52" s="74">
        <f t="shared" si="0"/>
        <v>-23380.606856549217</v>
      </c>
      <c r="P52" s="74">
        <f t="shared" si="0"/>
        <v>-14504.977701120675</v>
      </c>
      <c r="Q52" s="74">
        <f t="shared" si="0"/>
        <v>-11494.332331411977</v>
      </c>
      <c r="R52" s="74">
        <f t="shared" si="0"/>
        <v>8976.7120785495499</v>
      </c>
      <c r="S52" s="74">
        <f t="shared" si="0"/>
        <v>29908.17798690885</v>
      </c>
      <c r="T52" s="74">
        <f t="shared" si="0"/>
        <v>50732.379130677116</v>
      </c>
      <c r="U52" s="74">
        <f t="shared" si="0"/>
        <v>72022.573137679137</v>
      </c>
      <c r="V52" s="74">
        <f t="shared" si="0"/>
        <v>93069.608878604893</v>
      </c>
      <c r="W52" s="74">
        <f t="shared" si="0"/>
        <v>114673.50793539046</v>
      </c>
      <c r="X52" s="74">
        <f t="shared" si="0"/>
        <v>136663.81191912654</v>
      </c>
      <c r="Y52" s="74">
        <f t="shared" si="0"/>
        <v>158082.26865213958</v>
      </c>
      <c r="Z52" s="74">
        <f t="shared" si="0"/>
        <v>179743.52373025654</v>
      </c>
      <c r="AA52" s="74">
        <f t="shared" si="0"/>
        <v>201774.57251934794</v>
      </c>
      <c r="AB52" s="74">
        <f t="shared" si="0"/>
        <v>229885.64283649711</v>
      </c>
      <c r="AC52" s="74">
        <f t="shared" si="0"/>
        <v>188756.49638229469</v>
      </c>
      <c r="AD52" s="74">
        <f t="shared" si="0"/>
        <v>189225.33329223975</v>
      </c>
      <c r="AE52" s="74">
        <f t="shared" si="0"/>
        <v>189841.7237974396</v>
      </c>
      <c r="AF52" s="74">
        <f t="shared" si="0"/>
        <v>190327.39595210995</v>
      </c>
      <c r="AG52" s="74">
        <f t="shared" si="0"/>
        <v>190521.03739632387</v>
      </c>
      <c r="AH52" s="74">
        <f t="shared" si="0"/>
        <v>191211.82495611045</v>
      </c>
      <c r="AI52" s="74">
        <f t="shared" si="0"/>
        <v>191777.11621633667</v>
      </c>
      <c r="AJ52" s="74">
        <f t="shared" si="0"/>
        <v>192372.19478284451</v>
      </c>
      <c r="AK52" s="74">
        <f t="shared" si="0"/>
        <v>192851.4177271651</v>
      </c>
      <c r="AL52" s="74">
        <f t="shared" si="0"/>
        <v>193302.92712690216</v>
      </c>
      <c r="AM52" s="74">
        <f t="shared" si="0"/>
        <v>193817.59926415916</v>
      </c>
      <c r="AN52" s="74">
        <f t="shared" si="0"/>
        <v>194558.71894870081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>
        <f t="shared" si="1"/>
        <v>-0.33873390109845486</v>
      </c>
      <c r="P53" s="107">
        <f t="shared" si="1"/>
        <v>-0.12586217499311891</v>
      </c>
      <c r="Q53" s="107">
        <f t="shared" si="1"/>
        <v>-6.9113760290903506E-2</v>
      </c>
      <c r="R53" s="107">
        <f t="shared" si="1"/>
        <v>4.1963257121067077E-2</v>
      </c>
      <c r="S53" s="107">
        <f t="shared" si="1"/>
        <v>0.11436005740574179</v>
      </c>
      <c r="T53" s="107">
        <f t="shared" si="1"/>
        <v>0.16411103104693769</v>
      </c>
      <c r="U53" s="107">
        <f t="shared" si="1"/>
        <v>0.20188950202669539</v>
      </c>
      <c r="V53" s="107">
        <f t="shared" si="1"/>
        <v>0.23017057850878628</v>
      </c>
      <c r="W53" s="107">
        <f t="shared" si="1"/>
        <v>0.25372566816524306</v>
      </c>
      <c r="X53" s="107">
        <f t="shared" si="1"/>
        <v>0.2735646995860227</v>
      </c>
      <c r="Y53" s="107">
        <f t="shared" si="1"/>
        <v>0.28890636971070321</v>
      </c>
      <c r="Z53" s="107">
        <f t="shared" si="1"/>
        <v>0.30220027431454571</v>
      </c>
      <c r="AA53" s="107">
        <f t="shared" si="1"/>
        <v>0.31409938930430442</v>
      </c>
      <c r="AB53" s="107">
        <f t="shared" si="1"/>
        <v>0.33316813048260718</v>
      </c>
      <c r="AC53" s="107">
        <f t="shared" si="1"/>
        <v>0.273560576642292</v>
      </c>
      <c r="AD53" s="107">
        <f t="shared" si="1"/>
        <v>0.27424005151014502</v>
      </c>
      <c r="AE53" s="107">
        <f t="shared" si="1"/>
        <v>0.27513337250979841</v>
      </c>
      <c r="AF53" s="107">
        <f t="shared" si="1"/>
        <v>0.27583724632202283</v>
      </c>
      <c r="AG53" s="107">
        <f t="shared" si="1"/>
        <v>0.27611788654451197</v>
      </c>
      <c r="AH53" s="107">
        <f t="shared" si="1"/>
        <v>0.27711902953463091</v>
      </c>
      <c r="AI53" s="107">
        <f t="shared" si="1"/>
        <v>0.27793829353921984</v>
      </c>
      <c r="AJ53" s="107">
        <f t="shared" si="1"/>
        <v>0.27880072762186803</v>
      </c>
      <c r="AK53" s="107">
        <f t="shared" si="1"/>
        <v>0.27949525473749665</v>
      </c>
      <c r="AL53" s="107">
        <f t="shared" si="1"/>
        <v>0.28014961723160292</v>
      </c>
      <c r="AM53" s="107">
        <f t="shared" si="1"/>
        <v>0.2808955200712307</v>
      </c>
      <c r="AN53" s="107">
        <f t="shared" si="1"/>
        <v>0.2819696082862056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235166.66666666666</v>
      </c>
      <c r="R55" s="12">
        <v>235166.66666666666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-55966.61828029334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-59864.632781135995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-62692.899389922692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-65984.048885842625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-386401.13666666666</v>
      </c>
      <c r="N58" s="13">
        <f t="shared" si="2"/>
        <v>-235166.66666666666</v>
      </c>
      <c r="O58" s="13">
        <f t="shared" si="2"/>
        <v>-258547.27352321587</v>
      </c>
      <c r="P58" s="13">
        <f t="shared" si="2"/>
        <v>-249671.64436778735</v>
      </c>
      <c r="Q58" s="13">
        <f t="shared" si="2"/>
        <v>-246660.99899807863</v>
      </c>
      <c r="R58" s="13">
        <f t="shared" si="2"/>
        <v>-282156.57286841044</v>
      </c>
      <c r="S58" s="13">
        <f t="shared" si="2"/>
        <v>-29956.454794227146</v>
      </c>
      <c r="T58" s="13">
        <f t="shared" si="2"/>
        <v>-11960.520259245575</v>
      </c>
      <c r="U58" s="13">
        <f t="shared" si="2"/>
        <v>6038.5242518365121</v>
      </c>
      <c r="V58" s="13">
        <f t="shared" si="2"/>
        <v>23822.143342410185</v>
      </c>
      <c r="W58" s="13">
        <f t="shared" si="2"/>
        <v>42093.47879010778</v>
      </c>
      <c r="X58" s="13">
        <f t="shared" si="2"/>
        <v>97434.846843326552</v>
      </c>
      <c r="Y58" s="13">
        <f t="shared" si="2"/>
        <v>111712.09584257958</v>
      </c>
      <c r="Z58" s="13">
        <f t="shared" si="2"/>
        <v>126232.14318693655</v>
      </c>
      <c r="AA58" s="13">
        <f t="shared" si="2"/>
        <v>141121.98424226794</v>
      </c>
      <c r="AB58" s="13">
        <f t="shared" si="2"/>
        <v>162091.84682565712</v>
      </c>
      <c r="AC58" s="13">
        <f t="shared" si="2"/>
        <v>113821.4926376947</v>
      </c>
      <c r="AD58" s="13">
        <f t="shared" si="2"/>
        <v>107149.12181387976</v>
      </c>
      <c r="AE58" s="13">
        <f t="shared" si="2"/>
        <v>100624.30458531961</v>
      </c>
      <c r="AF58" s="13">
        <f t="shared" si="2"/>
        <v>93968.769006229981</v>
      </c>
      <c r="AG58" s="13">
        <f t="shared" si="2"/>
        <v>87021.202716683896</v>
      </c>
      <c r="AH58" s="13">
        <f t="shared" si="2"/>
        <v>87711.990276470475</v>
      </c>
      <c r="AI58" s="13">
        <f t="shared" si="2"/>
        <v>88277.281536696697</v>
      </c>
      <c r="AJ58" s="13">
        <f t="shared" si="2"/>
        <v>88872.360103204541</v>
      </c>
      <c r="AK58" s="13">
        <f t="shared" si="2"/>
        <v>89351.583047525128</v>
      </c>
      <c r="AL58" s="13">
        <f t="shared" si="2"/>
        <v>89803.092447262185</v>
      </c>
      <c r="AM58" s="13">
        <f t="shared" si="2"/>
        <v>90317.764584519187</v>
      </c>
      <c r="AN58" s="13">
        <f t="shared" si="2"/>
        <v>91058.884269060844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-386401.13666666666</v>
      </c>
      <c r="N59" s="12">
        <v>-621567.80333333334</v>
      </c>
      <c r="O59" s="12">
        <v>-880115.07685654925</v>
      </c>
      <c r="P59" s="12">
        <v>-1129786.7212243367</v>
      </c>
      <c r="Q59" s="12">
        <v>-1376447.7202224154</v>
      </c>
      <c r="R59" s="12">
        <v>-1658604.2930908259</v>
      </c>
      <c r="S59" s="12">
        <v>-1688560.747885053</v>
      </c>
      <c r="T59" s="12">
        <v>-1700521.2681442986</v>
      </c>
      <c r="U59" s="12">
        <v>-1694482.743892462</v>
      </c>
      <c r="V59" s="12">
        <v>-1670660.6005500518</v>
      </c>
      <c r="W59" s="12">
        <v>-1628567.1217599439</v>
      </c>
      <c r="X59" s="12">
        <v>-1531132.2749166174</v>
      </c>
      <c r="Y59" s="12">
        <v>-1419420.1790740378</v>
      </c>
      <c r="Z59" s="12">
        <v>-1293188.0358871012</v>
      </c>
      <c r="AA59" s="12">
        <v>-1152066.0516448333</v>
      </c>
      <c r="AB59" s="12">
        <v>-989974.20481917611</v>
      </c>
      <c r="AC59" s="12">
        <v>-876152.71218148142</v>
      </c>
      <c r="AD59" s="12">
        <v>-769003.59036760172</v>
      </c>
      <c r="AE59" s="12">
        <v>-668379.28578228212</v>
      </c>
      <c r="AF59" s="12">
        <v>-574410.51677605219</v>
      </c>
      <c r="AG59" s="12">
        <v>-487389.31405936828</v>
      </c>
      <c r="AH59" s="12">
        <v>-399677.32378289779</v>
      </c>
      <c r="AI59" s="12">
        <v>-311400.04224620108</v>
      </c>
      <c r="AJ59" s="12">
        <v>-222527.68214299652</v>
      </c>
      <c r="AK59" s="12">
        <v>-133176.09909547138</v>
      </c>
      <c r="AL59" s="12">
        <v>-43373.006648209193</v>
      </c>
      <c r="AM59" s="12">
        <v>46944.757936309994</v>
      </c>
      <c r="AN59" s="12">
        <v>138003.64220537082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2887.8263378764791</v>
      </c>
      <c r="P63" s="12">
        <v>5775.6526757529582</v>
      </c>
      <c r="Q63" s="12">
        <v>8923.3833840383231</v>
      </c>
      <c r="R63" s="12">
        <v>11897.844512051095</v>
      </c>
      <c r="S63" s="12">
        <v>14872.305640063869</v>
      </c>
      <c r="T63" s="12">
        <v>17846.766768076646</v>
      </c>
      <c r="U63" s="12">
        <v>20821.227896089418</v>
      </c>
      <c r="V63" s="12">
        <v>23795.68902410219</v>
      </c>
      <c r="W63" s="12">
        <v>26770.150152114962</v>
      </c>
      <c r="X63" s="12">
        <v>29744.611280127738</v>
      </c>
      <c r="Y63" s="12">
        <v>32719.072408140517</v>
      </c>
      <c r="Z63" s="12">
        <v>35693.533536153293</v>
      </c>
      <c r="AA63" s="12">
        <v>38667.994664166064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385.87127394816008</v>
      </c>
      <c r="P64" s="12">
        <v>771.74254789632016</v>
      </c>
      <c r="Q64" s="12">
        <v>1192.3422364998146</v>
      </c>
      <c r="R64" s="12">
        <v>1589.7896486664195</v>
      </c>
      <c r="S64" s="12">
        <v>1987.2370608330243</v>
      </c>
      <c r="T64" s="12">
        <v>2384.6844729996292</v>
      </c>
      <c r="U64" s="12">
        <v>2782.131885166234</v>
      </c>
      <c r="V64" s="12">
        <v>3179.5792973328389</v>
      </c>
      <c r="W64" s="12">
        <v>3577.0267094994438</v>
      </c>
      <c r="X64" s="12">
        <v>3974.4741216660486</v>
      </c>
      <c r="Y64" s="12">
        <v>4371.9215338326539</v>
      </c>
      <c r="Z64" s="12">
        <v>4769.3689459992584</v>
      </c>
      <c r="AA64" s="12">
        <v>5166.8163581658646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2346.7496455603195</v>
      </c>
      <c r="P65" s="12">
        <v>4693.4992911206391</v>
      </c>
      <c r="Q65" s="12">
        <v>7251.4564047813874</v>
      </c>
      <c r="R65" s="12">
        <v>9668.6085397085171</v>
      </c>
      <c r="S65" s="12">
        <v>12085.760674635649</v>
      </c>
      <c r="T65" s="12">
        <v>14502.912809562775</v>
      </c>
      <c r="U65" s="12">
        <v>16920.064944489903</v>
      </c>
      <c r="V65" s="12">
        <v>19337.217079417034</v>
      </c>
      <c r="W65" s="12">
        <v>21754.369214344169</v>
      </c>
      <c r="X65" s="12">
        <v>24171.521349271297</v>
      </c>
      <c r="Y65" s="12">
        <v>26588.673484198422</v>
      </c>
      <c r="Z65" s="12">
        <v>29005.82561912555</v>
      </c>
      <c r="AA65" s="12">
        <v>31422.977754052685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5620.4472573849589</v>
      </c>
      <c r="P67" s="13">
        <v>11240.894514769918</v>
      </c>
      <c r="Q67" s="13">
        <v>17367.182025319526</v>
      </c>
      <c r="R67" s="13">
        <v>23156.242700426032</v>
      </c>
      <c r="S67" s="13">
        <v>28945.303375532545</v>
      </c>
      <c r="T67" s="13">
        <v>34734.364050639051</v>
      </c>
      <c r="U67" s="13">
        <v>40523.424725745557</v>
      </c>
      <c r="V67" s="13">
        <v>46312.485400852063</v>
      </c>
      <c r="W67" s="13">
        <v>52101.546075958577</v>
      </c>
      <c r="X67" s="13">
        <v>57890.60675106509</v>
      </c>
      <c r="Y67" s="13">
        <v>63679.667426171589</v>
      </c>
      <c r="Z67" s="13">
        <v>69468.728101278102</v>
      </c>
      <c r="AA67" s="13">
        <v>75257.788776384608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629.35619066995855</v>
      </c>
      <c r="P72" s="12">
        <v>1258.7123813399171</v>
      </c>
      <c r="Q72" s="12">
        <v>2076.8754292108624</v>
      </c>
      <c r="R72" s="12">
        <v>2769.1672389478153</v>
      </c>
      <c r="S72" s="12">
        <v>3461.459048684771</v>
      </c>
      <c r="T72" s="12">
        <v>4153.7508584217248</v>
      </c>
      <c r="U72" s="12">
        <v>20030.442668158681</v>
      </c>
      <c r="V72" s="12">
        <v>35907.134477895634</v>
      </c>
      <c r="W72" s="12">
        <v>36599.426287632588</v>
      </c>
      <c r="X72" s="12">
        <v>37291.718097369543</v>
      </c>
      <c r="Y72" s="12">
        <v>37984.009907106498</v>
      </c>
      <c r="Z72" s="12">
        <v>38676.301716843453</v>
      </c>
      <c r="AA72" s="12">
        <v>39368.5935265804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4991.0910667150001</v>
      </c>
      <c r="P75" s="74">
        <v>9982.1821334300002</v>
      </c>
      <c r="Q75" s="74">
        <v>15290.306596108663</v>
      </c>
      <c r="R75" s="74">
        <v>20387.075461478216</v>
      </c>
      <c r="S75" s="74">
        <v>25483.844326847775</v>
      </c>
      <c r="T75" s="74">
        <v>30580.613192217326</v>
      </c>
      <c r="U75" s="74">
        <v>20492.982057586876</v>
      </c>
      <c r="V75" s="74">
        <v>10405.35092295643</v>
      </c>
      <c r="W75" s="74">
        <v>15502.119788325988</v>
      </c>
      <c r="X75" s="74">
        <v>20598.888653695547</v>
      </c>
      <c r="Y75" s="74">
        <v>25695.657519065091</v>
      </c>
      <c r="Z75" s="74">
        <v>30792.42638443465</v>
      </c>
      <c r="AA75" s="74">
        <v>35889.195249804208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AEB8-5419-45A4-824C-8EFD9722557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507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1</v>
      </c>
      <c r="P1" s="69">
        <v>3</v>
      </c>
      <c r="Q1" s="69">
        <v>5</v>
      </c>
      <c r="R1" s="69">
        <v>6</v>
      </c>
      <c r="S1" s="69">
        <v>8</v>
      </c>
      <c r="T1" s="69">
        <v>10</v>
      </c>
      <c r="U1" s="69">
        <v>12</v>
      </c>
      <c r="V1" s="69">
        <v>13</v>
      </c>
      <c r="W1" s="69">
        <v>15</v>
      </c>
      <c r="X1" s="69">
        <v>17</v>
      </c>
      <c r="Y1" s="69">
        <v>18</v>
      </c>
      <c r="Z1" s="69">
        <v>20</v>
      </c>
      <c r="AA1" s="69">
        <v>22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1.8809523809523809</v>
      </c>
      <c r="Q2" s="69">
        <v>2.0476190476190474</v>
      </c>
      <c r="R2" s="69">
        <v>2.2142857142857144</v>
      </c>
      <c r="S2" s="69">
        <v>2.3809523809523809</v>
      </c>
      <c r="T2" s="69">
        <v>2.5476190476190474</v>
      </c>
      <c r="U2" s="69">
        <v>2.7142857142857144</v>
      </c>
      <c r="V2" s="69">
        <v>2.8809523809523809</v>
      </c>
      <c r="W2" s="69">
        <v>3.0476190476190474</v>
      </c>
      <c r="X2" s="69">
        <v>3.2142857142857144</v>
      </c>
      <c r="Y2" s="69">
        <v>3.3809523809523809</v>
      </c>
      <c r="Z2" s="69">
        <v>3.5476190476190474</v>
      </c>
      <c r="AA2" s="69">
        <v>3.7142857142857144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1</v>
      </c>
      <c r="P4" s="69">
        <v>4.8809523809523814</v>
      </c>
      <c r="Q4" s="69">
        <v>7.0476190476190474</v>
      </c>
      <c r="R4" s="69">
        <v>8.2142857142857153</v>
      </c>
      <c r="S4" s="69">
        <v>10.380952380952381</v>
      </c>
      <c r="T4" s="69">
        <v>12.547619047619047</v>
      </c>
      <c r="U4" s="69">
        <v>14.714285714285715</v>
      </c>
      <c r="V4" s="69">
        <v>15.880952380952381</v>
      </c>
      <c r="W4" s="69">
        <v>18.047619047619047</v>
      </c>
      <c r="X4" s="69">
        <v>20.214285714285715</v>
      </c>
      <c r="Y4" s="69">
        <v>21.38095238095238</v>
      </c>
      <c r="Z4" s="69">
        <v>23.547619047619047</v>
      </c>
      <c r="AA4" s="69">
        <v>25.714285714285715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2</v>
      </c>
      <c r="P6" s="66">
        <v>4</v>
      </c>
      <c r="Q6" s="66">
        <v>5</v>
      </c>
      <c r="R6" s="66">
        <v>6</v>
      </c>
      <c r="S6" s="66">
        <v>7</v>
      </c>
      <c r="T6" s="66">
        <v>8</v>
      </c>
      <c r="U6" s="66">
        <v>9</v>
      </c>
      <c r="V6" s="66">
        <v>10</v>
      </c>
      <c r="W6" s="66">
        <v>11</v>
      </c>
      <c r="X6" s="66">
        <v>12</v>
      </c>
      <c r="Y6" s="66">
        <v>13</v>
      </c>
      <c r="Z6" s="66">
        <v>14</v>
      </c>
      <c r="AA6" s="66">
        <v>15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0.46</v>
      </c>
      <c r="P7" s="108">
        <v>1.36</v>
      </c>
      <c r="Q7" s="108">
        <v>2.2599999999999998</v>
      </c>
      <c r="R7" s="108">
        <v>2.71</v>
      </c>
      <c r="S7" s="108">
        <v>3.61</v>
      </c>
      <c r="T7" s="108">
        <v>4.51</v>
      </c>
      <c r="U7" s="108">
        <v>5.42</v>
      </c>
      <c r="V7" s="108">
        <v>5.87</v>
      </c>
      <c r="W7" s="108">
        <v>6.77</v>
      </c>
      <c r="X7" s="108">
        <v>7.67</v>
      </c>
      <c r="Y7" s="108">
        <v>8.1199999999999992</v>
      </c>
      <c r="Z7" s="108">
        <v>9.02</v>
      </c>
      <c r="AA7" s="108">
        <v>9.93</v>
      </c>
      <c r="AB7" s="108">
        <v>10.83</v>
      </c>
      <c r="AC7" s="108">
        <v>10.83</v>
      </c>
      <c r="AD7" s="108">
        <v>10.83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9.9999999999999992E-2</v>
      </c>
      <c r="P8" s="108">
        <v>0.28000000000000003</v>
      </c>
      <c r="Q8" s="108">
        <v>0.46</v>
      </c>
      <c r="R8" s="108">
        <v>0.55000000000000004</v>
      </c>
      <c r="S8" s="108">
        <v>0.73</v>
      </c>
      <c r="T8" s="108">
        <v>0.91</v>
      </c>
      <c r="U8" s="108">
        <v>1.1000000000000001</v>
      </c>
      <c r="V8" s="108">
        <v>1.19</v>
      </c>
      <c r="W8" s="108">
        <v>1.37</v>
      </c>
      <c r="X8" s="108">
        <v>1.55</v>
      </c>
      <c r="Y8" s="108">
        <v>1.64</v>
      </c>
      <c r="Z8" s="108">
        <v>1.82</v>
      </c>
      <c r="AA8" s="108">
        <v>2</v>
      </c>
      <c r="AB8" s="108">
        <v>2.19</v>
      </c>
      <c r="AC8" s="108">
        <v>2.19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0.15000000000000002</v>
      </c>
      <c r="Q12" s="108">
        <v>0.16</v>
      </c>
      <c r="R12" s="108">
        <v>0.18000000000000002</v>
      </c>
      <c r="S12" s="108">
        <v>0.19</v>
      </c>
      <c r="T12" s="108">
        <v>0.2</v>
      </c>
      <c r="U12" s="108">
        <v>0.21000000000000002</v>
      </c>
      <c r="V12" s="108">
        <v>0.23</v>
      </c>
      <c r="W12" s="108">
        <v>0.24000000000000002</v>
      </c>
      <c r="X12" s="108">
        <v>0.25</v>
      </c>
      <c r="Y12" s="108">
        <v>0.27</v>
      </c>
      <c r="Z12" s="108">
        <v>0.28000000000000003</v>
      </c>
      <c r="AA12" s="108">
        <v>0.29000000000000004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0.01</v>
      </c>
      <c r="P13" s="108">
        <v>0.21000000000000002</v>
      </c>
      <c r="Q13" s="108">
        <v>0.24000000000000002</v>
      </c>
      <c r="R13" s="108">
        <v>0.26</v>
      </c>
      <c r="S13" s="108">
        <v>0.29000000000000004</v>
      </c>
      <c r="T13" s="108">
        <v>0.31</v>
      </c>
      <c r="U13" s="108">
        <v>0.34</v>
      </c>
      <c r="V13" s="108">
        <v>0.36</v>
      </c>
      <c r="W13" s="108">
        <v>0.39</v>
      </c>
      <c r="X13" s="108">
        <v>0.42</v>
      </c>
      <c r="Y13" s="108">
        <v>0.44</v>
      </c>
      <c r="Z13" s="108">
        <v>0.47000000000000003</v>
      </c>
      <c r="AA13" s="108">
        <v>0.5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0.01</v>
      </c>
      <c r="P14" s="108">
        <v>0.12</v>
      </c>
      <c r="Q14" s="108">
        <v>0.13</v>
      </c>
      <c r="R14" s="108">
        <v>0.15000000000000002</v>
      </c>
      <c r="S14" s="108">
        <v>0.17</v>
      </c>
      <c r="T14" s="108">
        <v>0.19</v>
      </c>
      <c r="U14" s="108">
        <v>0.21000000000000002</v>
      </c>
      <c r="V14" s="108">
        <v>0.22</v>
      </c>
      <c r="W14" s="108">
        <v>0.24000000000000002</v>
      </c>
      <c r="X14" s="108">
        <v>0.26</v>
      </c>
      <c r="Y14" s="108">
        <v>0.27</v>
      </c>
      <c r="Z14" s="108">
        <v>0.29000000000000004</v>
      </c>
      <c r="AA14" s="108">
        <v>0.31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0.01</v>
      </c>
      <c r="P15" s="108">
        <v>0.02</v>
      </c>
      <c r="Q15" s="108">
        <v>0.02</v>
      </c>
      <c r="R15" s="108">
        <v>0.03</v>
      </c>
      <c r="S15" s="108">
        <v>0.04</v>
      </c>
      <c r="T15" s="108">
        <v>0.04</v>
      </c>
      <c r="U15" s="108">
        <v>0.05</v>
      </c>
      <c r="V15" s="108">
        <v>6.0000000000000005E-2</v>
      </c>
      <c r="W15" s="108">
        <v>0.06</v>
      </c>
      <c r="X15" s="108">
        <v>6.9999999999999993E-2</v>
      </c>
      <c r="Y15" s="108">
        <v>0.08</v>
      </c>
      <c r="Z15" s="108">
        <v>0.08</v>
      </c>
      <c r="AA15" s="108">
        <v>0.09</v>
      </c>
      <c r="AB15" s="108">
        <v>9.9999999999999992E-2</v>
      </c>
      <c r="AC15" s="108">
        <v>9.9999999999999992E-2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0.01</v>
      </c>
      <c r="P16" s="108">
        <v>0.02</v>
      </c>
      <c r="Q16" s="108">
        <v>0.02</v>
      </c>
      <c r="R16" s="108">
        <v>0.03</v>
      </c>
      <c r="S16" s="108">
        <v>0.04</v>
      </c>
      <c r="T16" s="108">
        <v>0.04</v>
      </c>
      <c r="U16" s="108">
        <v>0.05</v>
      </c>
      <c r="V16" s="108">
        <v>6.0000000000000005E-2</v>
      </c>
      <c r="W16" s="108">
        <v>0.06</v>
      </c>
      <c r="X16" s="108">
        <v>6.9999999999999993E-2</v>
      </c>
      <c r="Y16" s="108">
        <v>0.08</v>
      </c>
      <c r="Z16" s="108">
        <v>0.08</v>
      </c>
      <c r="AA16" s="108">
        <v>0.09</v>
      </c>
      <c r="AB16" s="108">
        <v>9.9999999999999992E-2</v>
      </c>
      <c r="AC16" s="108">
        <v>9.9999999999999992E-2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1</v>
      </c>
      <c r="P21" s="120">
        <v>2</v>
      </c>
      <c r="Q21" s="120">
        <v>3</v>
      </c>
      <c r="R21" s="120">
        <v>3</v>
      </c>
      <c r="S21" s="120">
        <v>4</v>
      </c>
      <c r="T21" s="120">
        <v>5</v>
      </c>
      <c r="U21" s="120">
        <v>7</v>
      </c>
      <c r="V21" s="120">
        <v>7</v>
      </c>
      <c r="W21" s="120">
        <v>8</v>
      </c>
      <c r="X21" s="120">
        <v>9</v>
      </c>
      <c r="Y21" s="120">
        <v>10</v>
      </c>
      <c r="Z21" s="120">
        <v>11</v>
      </c>
      <c r="AA21" s="120">
        <v>12</v>
      </c>
      <c r="AB21" s="120">
        <v>13</v>
      </c>
      <c r="AC21" s="120">
        <v>13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169.4730113636364</v>
      </c>
      <c r="P22" s="78">
        <v>169.47301136363637</v>
      </c>
      <c r="Q22" s="78">
        <v>174.55720170454541</v>
      </c>
      <c r="R22" s="78">
        <v>174.55720170454543</v>
      </c>
      <c r="S22" s="78">
        <v>174.55720170454555</v>
      </c>
      <c r="T22" s="78">
        <v>174.55720170454541</v>
      </c>
      <c r="U22" s="78">
        <v>174.55720170454543</v>
      </c>
      <c r="V22" s="78">
        <v>174.55720170454546</v>
      </c>
      <c r="W22" s="78">
        <v>174.55720170454546</v>
      </c>
      <c r="X22" s="78">
        <v>174.55720170454549</v>
      </c>
      <c r="Y22" s="78">
        <v>174.55720170454549</v>
      </c>
      <c r="Z22" s="78">
        <v>174.55720170454541</v>
      </c>
      <c r="AA22" s="78">
        <v>174.55720170454541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51.626666666666658</v>
      </c>
      <c r="P23" s="52">
        <v>154.88</v>
      </c>
      <c r="Q23" s="52">
        <v>258.13333333333333</v>
      </c>
      <c r="R23" s="52">
        <v>309.76</v>
      </c>
      <c r="S23" s="52">
        <v>413.01333333333326</v>
      </c>
      <c r="T23" s="52">
        <v>516.26666666666665</v>
      </c>
      <c r="U23" s="52">
        <v>619.52</v>
      </c>
      <c r="V23" s="52">
        <v>671.14666666666665</v>
      </c>
      <c r="W23" s="52">
        <v>774.39999999999986</v>
      </c>
      <c r="X23" s="52">
        <v>877.65333333333331</v>
      </c>
      <c r="Y23" s="52">
        <v>929.27999999999986</v>
      </c>
      <c r="Z23" s="52">
        <v>1032.5333333333333</v>
      </c>
      <c r="AA23" s="52">
        <v>1135.7866666666666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7916.5233333333326</v>
      </c>
      <c r="P26" s="12">
        <v>23749.57</v>
      </c>
      <c r="Q26" s="12">
        <v>40770.095166666659</v>
      </c>
      <c r="R26" s="12">
        <v>48924.114199999996</v>
      </c>
      <c r="S26" s="12">
        <v>65232.152266666664</v>
      </c>
      <c r="T26" s="12">
        <v>81540.190333333318</v>
      </c>
      <c r="U26" s="12">
        <v>97848.228399999993</v>
      </c>
      <c r="V26" s="12">
        <v>106002.24743333334</v>
      </c>
      <c r="W26" s="12">
        <v>122310.28549999998</v>
      </c>
      <c r="X26" s="12">
        <v>138618.32356666666</v>
      </c>
      <c r="Y26" s="12">
        <v>146772.3426</v>
      </c>
      <c r="Z26" s="12">
        <v>163080.38066666664</v>
      </c>
      <c r="AA26" s="12">
        <v>179388.4187333333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1055.1969999999997</v>
      </c>
      <c r="P28" s="12">
        <v>3165.590999999999</v>
      </c>
      <c r="Q28" s="12">
        <v>5434.2645499999981</v>
      </c>
      <c r="R28" s="12">
        <v>6521.1174599999977</v>
      </c>
      <c r="S28" s="12">
        <v>8694.8232799999987</v>
      </c>
      <c r="T28" s="12">
        <v>10868.529099999996</v>
      </c>
      <c r="U28" s="12">
        <v>13042.234919999995</v>
      </c>
      <c r="V28" s="12">
        <v>14129.087829999997</v>
      </c>
      <c r="W28" s="12">
        <v>16302.793649999996</v>
      </c>
      <c r="X28" s="12">
        <v>18476.499469999999</v>
      </c>
      <c r="Y28" s="12">
        <v>19563.352379999993</v>
      </c>
      <c r="Z28" s="12">
        <v>21737.058199999992</v>
      </c>
      <c r="AA28" s="12">
        <v>23910.764019999991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162.33799999999999</v>
      </c>
      <c r="P29" s="12">
        <v>487.01399999999995</v>
      </c>
      <c r="Q29" s="12">
        <v>836.04070000000002</v>
      </c>
      <c r="R29" s="12">
        <v>1003.24884</v>
      </c>
      <c r="S29" s="12">
        <v>1337.6651199999999</v>
      </c>
      <c r="T29" s="12">
        <v>1672.0814</v>
      </c>
      <c r="U29" s="12">
        <v>2006.4976799999999</v>
      </c>
      <c r="V29" s="12">
        <v>2173.7058200000001</v>
      </c>
      <c r="W29" s="12">
        <v>2508.1221</v>
      </c>
      <c r="X29" s="12">
        <v>2842.5383799999995</v>
      </c>
      <c r="Y29" s="12">
        <v>3009.7465200000001</v>
      </c>
      <c r="Z29" s="12">
        <v>3344.1628000000001</v>
      </c>
      <c r="AA29" s="12">
        <v>3678.5790799999995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211.8133333333333</v>
      </c>
      <c r="P30" s="12">
        <v>635.43999999999994</v>
      </c>
      <c r="Q30" s="12">
        <v>1090.8386666666665</v>
      </c>
      <c r="R30" s="12">
        <v>1309.0063999999998</v>
      </c>
      <c r="S30" s="12">
        <v>1745.3418666666664</v>
      </c>
      <c r="T30" s="12">
        <v>2181.6773333333331</v>
      </c>
      <c r="U30" s="12">
        <v>2618.0127999999995</v>
      </c>
      <c r="V30" s="12">
        <v>2836.1805333333332</v>
      </c>
      <c r="W30" s="12">
        <v>3272.5159999999996</v>
      </c>
      <c r="X30" s="12">
        <v>3708.8514666666661</v>
      </c>
      <c r="Y30" s="12">
        <v>3927.0191999999997</v>
      </c>
      <c r="Z30" s="12">
        <v>4363.3546666666662</v>
      </c>
      <c r="AA30" s="12">
        <v>4799.6901333333326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-1121.5046</v>
      </c>
      <c r="P35" s="12">
        <v>-3364.5137999999997</v>
      </c>
      <c r="Q35" s="12">
        <v>-5775.7486899999985</v>
      </c>
      <c r="R35" s="12">
        <v>-6930.8984279999986</v>
      </c>
      <c r="S35" s="12">
        <v>-9241.1979040000006</v>
      </c>
      <c r="T35" s="12">
        <v>-11551.497379999997</v>
      </c>
      <c r="U35" s="12">
        <v>-13861.796855999997</v>
      </c>
      <c r="V35" s="12">
        <v>-15016.946594000001</v>
      </c>
      <c r="W35" s="12">
        <v>-17327.246069999997</v>
      </c>
      <c r="X35" s="12">
        <v>-19637.545546000001</v>
      </c>
      <c r="Y35" s="12">
        <v>-20792.695283999998</v>
      </c>
      <c r="Z35" s="12">
        <v>-23102.994759999994</v>
      </c>
      <c r="AA35" s="12">
        <v>-25413.294235999994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8224.3670666666658</v>
      </c>
      <c r="P37" s="13">
        <v>24673.101199999997</v>
      </c>
      <c r="Q37" s="13">
        <v>42355.490393333319</v>
      </c>
      <c r="R37" s="13">
        <v>50826.588471999989</v>
      </c>
      <c r="S37" s="13">
        <v>67768.784629333342</v>
      </c>
      <c r="T37" s="13">
        <v>84710.980786666638</v>
      </c>
      <c r="U37" s="13">
        <v>101653.17694399998</v>
      </c>
      <c r="V37" s="13">
        <v>110124.27502266667</v>
      </c>
      <c r="W37" s="13">
        <v>127066.47117999999</v>
      </c>
      <c r="X37" s="13">
        <v>144008.66733733335</v>
      </c>
      <c r="Y37" s="13">
        <v>152479.76541600001</v>
      </c>
      <c r="Z37" s="13">
        <v>169421.96157333328</v>
      </c>
      <c r="AA37" s="13">
        <v>186364.15773066663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11983.585982178276</v>
      </c>
      <c r="P40" s="12">
        <v>25582.6354132015</v>
      </c>
      <c r="Q40" s="12">
        <v>32635.589995313858</v>
      </c>
      <c r="R40" s="12">
        <v>35404.500515709959</v>
      </c>
      <c r="S40" s="12">
        <v>40192.671556502173</v>
      </c>
      <c r="T40" s="12">
        <v>44690.552597294387</v>
      </c>
      <c r="U40" s="12">
        <v>49608.261031419919</v>
      </c>
      <c r="V40" s="12">
        <v>52306.991551816027</v>
      </c>
      <c r="W40" s="12">
        <v>56871.862592608231</v>
      </c>
      <c r="X40" s="12">
        <v>61660.033633400453</v>
      </c>
      <c r="Y40" s="12">
        <v>64358.764153796539</v>
      </c>
      <c r="Z40" s="12">
        <v>68923.635194588758</v>
      </c>
      <c r="AA40" s="12">
        <v>73736.605295380956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350.41759999999999</v>
      </c>
      <c r="P44" s="12">
        <v>849.08879999999999</v>
      </c>
      <c r="Q44" s="12">
        <v>900.57323200000008</v>
      </c>
      <c r="R44" s="12">
        <v>928.60663999999997</v>
      </c>
      <c r="S44" s="12">
        <v>956.64004799999998</v>
      </c>
      <c r="T44" s="12">
        <v>974.16092800000001</v>
      </c>
      <c r="U44" s="12">
        <v>1002.1943359999998</v>
      </c>
      <c r="V44" s="12">
        <v>1026.7235680000001</v>
      </c>
      <c r="W44" s="12">
        <v>1047.7486240000003</v>
      </c>
      <c r="X44" s="12">
        <v>1075.7820319999998</v>
      </c>
      <c r="Y44" s="12">
        <v>1100.3112639999999</v>
      </c>
      <c r="Z44" s="12">
        <v>1121.3363200000001</v>
      </c>
      <c r="AA44" s="12">
        <v>1149.3697279999999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2160</v>
      </c>
      <c r="P46" s="12">
        <v>3439.9999999999995</v>
      </c>
      <c r="Q46" s="12">
        <v>4085.0999999999995</v>
      </c>
      <c r="R46" s="12">
        <v>4401.3</v>
      </c>
      <c r="S46" s="12">
        <v>4992.9000000000005</v>
      </c>
      <c r="T46" s="12">
        <v>5569.1999999999989</v>
      </c>
      <c r="U46" s="12">
        <v>6171.0000000000009</v>
      </c>
      <c r="V46" s="12">
        <v>6482.1000000000013</v>
      </c>
      <c r="W46" s="12">
        <v>7063.5000000000009</v>
      </c>
      <c r="X46" s="12">
        <v>7655.1</v>
      </c>
      <c r="Y46" s="12">
        <v>7966.1999999999989</v>
      </c>
      <c r="Z46" s="12">
        <v>8547.6</v>
      </c>
      <c r="AA46" s="12">
        <v>9144.2999999999993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960.03312756131811</v>
      </c>
      <c r="P49" s="12">
        <f>'Corp.'!P$50*(P$37-(P31-P32-P34)*$C$35)/(SUM('MDA1:NCA9'!P$37)-SUM('MDA1:NCA9'!P$31)-SUM('MDA1:NCA9'!P$32)-SUM('MDA1:NCA9'!P$34))</f>
        <v>2725.084486739775</v>
      </c>
      <c r="Q49" s="12">
        <f>'Corp.'!Q$50*(Q$37-(Q31-Q32-Q34)*$C$35)/(SUM('MDA1:NCA9'!Q$37)-SUM('MDA1:NCA9'!Q$31)-SUM('MDA1:NCA9'!Q$32)-SUM('MDA1:NCA9'!Q$34))</f>
        <v>4747.3781017496476</v>
      </c>
      <c r="R49" s="12">
        <f>'Corp.'!R$50*(R$37-(R31-R32-R34)*$C$35)/(SUM('MDA1:NCA9'!R$37)-SUM('MDA1:NCA9'!R$31)-SUM('MDA1:NCA9'!R$32)-SUM('MDA1:NCA9'!R$34))</f>
        <v>5491.9736647887075</v>
      </c>
      <c r="S49" s="12">
        <f>'Corp.'!S$50*(S$37-(S31-S32-S34)*$C$35)/(SUM('MDA1:NCA9'!S$37)-SUM('MDA1:NCA9'!S$31)-SUM('MDA1:NCA9'!S$32)-SUM('MDA1:NCA9'!S$34))</f>
        <v>7020.2382852555875</v>
      </c>
      <c r="T49" s="12">
        <f>'Corp.'!T$50*(T$37-(T31-T32-T34)*$C$35)/(SUM('MDA1:NCA9'!T$37)-SUM('MDA1:NCA9'!T$31)-SUM('MDA1:NCA9'!T$32)-SUM('MDA1:NCA9'!T$34))</f>
        <v>8456.5708303010051</v>
      </c>
      <c r="U49" s="12">
        <f>'Corp.'!U$50*(U$37-(U31-U32-U34)*$C$35)/(SUM('MDA1:NCA9'!U$37)-SUM('MDA1:NCA9'!U$31)-SUM('MDA1:NCA9'!U$32)-SUM('MDA1:NCA9'!U$34))</f>
        <v>9886.8945541580433</v>
      </c>
      <c r="V49" s="12">
        <f>'Corp.'!V$50*(V$37-(V31-V32-V34)*$C$35)/(SUM('MDA1:NCA9'!V$37)-SUM('MDA1:NCA9'!V$31)-SUM('MDA1:NCA9'!V$32)-SUM('MDA1:NCA9'!V$34))</f>
        <v>10481.350525784388</v>
      </c>
      <c r="W49" s="12">
        <f>'Corp.'!W$50*(W$37-(W31-W32-W34)*$C$35)/(SUM('MDA1:NCA9'!W$37)-SUM('MDA1:NCA9'!W$31)-SUM('MDA1:NCA9'!W$32)-SUM('MDA1:NCA9'!W$34))</f>
        <v>11745.784291089247</v>
      </c>
      <c r="X49" s="12">
        <f>'Corp.'!X$50*(X$37-(X31-X32-X34)*$C$35)/(SUM('MDA1:NCA9'!X$37)-SUM('MDA1:NCA9'!X$31)-SUM('MDA1:NCA9'!X$32)-SUM('MDA1:NCA9'!X$34))</f>
        <v>12916.242799071726</v>
      </c>
      <c r="Y49" s="12">
        <f>'Corp.'!Y$50*(Y$37-(Y31-Y32-Y34)*$C$35)/(SUM('MDA1:NCA9'!Y$37)-SUM('MDA1:NCA9'!Y$31)-SUM('MDA1:NCA9'!Y$32)-SUM('MDA1:NCA9'!Y$34))</f>
        <v>13404.587638983017</v>
      </c>
      <c r="Z49" s="12">
        <f>'Corp.'!Z$50*(Z$37-(Z31-Z32-Z34)*$C$35)/(SUM('MDA1:NCA9'!Z$37)-SUM('MDA1:NCA9'!Z$31)-SUM('MDA1:NCA9'!Z$32)-SUM('MDA1:NCA9'!Z$34))</f>
        <v>14592.225818102541</v>
      </c>
      <c r="AA49" s="12">
        <f>'Corp.'!AA$50*(AA$37-(AA31-AA32-AA34)*$C$35)/(SUM('MDA1:NCA9'!AA$37)-SUM('MDA1:NCA9'!AA$31)-SUM('MDA1:NCA9'!AA$32)-SUM('MDA1:NCA9'!AA$34))</f>
        <v>15707.188716962748</v>
      </c>
      <c r="AB49" s="12">
        <f>'Corp.'!AB$50*(AB$37-(AB31-AB32-AB34)*$C$35)/(SUM('MDA1:NCA9'!AB$37)-SUM('MDA1:NCA9'!AB$31)-SUM('MDA1:NCA9'!AB$32)-SUM('MDA1:NCA9'!AB$34))</f>
        <v>16768.03024881435</v>
      </c>
      <c r="AC49" s="12">
        <f>'Corp.'!AC$50*(AC$37-(AC31-AC32-AC34)*$C$35)/(SUM('MDA1:NCA9'!AC$37)-SUM('MDA1:NCA9'!AC$31)-SUM('MDA1:NCA9'!AC$32)-SUM('MDA1:NCA9'!AC$34))</f>
        <v>18145.319955040359</v>
      </c>
      <c r="AD49" s="12">
        <f>'Corp.'!AD$50*(AD$37-(AD31-AD32-AD34)*$C$35)/(SUM('MDA1:NCA9'!AD$37)-SUM('MDA1:NCA9'!AD$31)-SUM('MDA1:NCA9'!AD$32)-SUM('MDA1:NCA9'!AD$34))</f>
        <v>17866.715187854588</v>
      </c>
      <c r="AE49" s="12">
        <f>'Corp.'!AE$50*(AE$37-(AE31-AE32-AE34)*$C$35)/(SUM('MDA1:NCA9'!AE$37)-SUM('MDA1:NCA9'!AE$31)-SUM('MDA1:NCA9'!AE$32)-SUM('MDA1:NCA9'!AE$34))</f>
        <v>17602.956190031058</v>
      </c>
      <c r="AF49" s="12">
        <f>'Corp.'!AF$50*(AF$37-(AF31-AF32-AF34)*$C$35)/(SUM('MDA1:NCA9'!AF$37)-SUM('MDA1:NCA9'!AF$31)-SUM('MDA1:NCA9'!AF$32)-SUM('MDA1:NCA9'!AF$34))</f>
        <v>17354.927810904559</v>
      </c>
      <c r="AG49" s="12">
        <f>'Corp.'!AG$50*(AG$37-(AG31-AG32-AG34)*$C$35)/(SUM('MDA1:NCA9'!AG$37)-SUM('MDA1:NCA9'!AG$31)-SUM('MDA1:NCA9'!AG$32)-SUM('MDA1:NCA9'!AG$34))</f>
        <v>17157.408661271958</v>
      </c>
      <c r="AH49" s="12">
        <f>'Corp.'!AH$50*(AH$37-(AH31-AH32-AH34)*$C$35)/(SUM('MDA1:NCA9'!AH$37)-SUM('MDA1:NCA9'!AH$31)-SUM('MDA1:NCA9'!AH$32)-SUM('MDA1:NCA9'!AH$34))</f>
        <v>16895.54788351875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15103.619109739595</v>
      </c>
      <c r="P50" s="13">
        <v>31747.719899941276</v>
      </c>
      <c r="Q50" s="13">
        <v>41468.0680970635</v>
      </c>
      <c r="R50" s="13">
        <v>45297.774180498673</v>
      </c>
      <c r="S50" s="13">
        <v>52205.809841757764</v>
      </c>
      <c r="T50" s="13">
        <v>58716.323427595387</v>
      </c>
      <c r="U50" s="13">
        <v>65666.155585577959</v>
      </c>
      <c r="V50" s="13">
        <v>69270.442077600412</v>
      </c>
      <c r="W50" s="13">
        <v>75681.146883697482</v>
      </c>
      <c r="X50" s="13">
        <v>82231.376432472185</v>
      </c>
      <c r="Y50" s="13">
        <v>85729.551792779559</v>
      </c>
      <c r="Z50" s="13">
        <v>92063.461012691303</v>
      </c>
      <c r="AA50" s="13">
        <v>98588.094012343703</v>
      </c>
      <c r="AB50" s="13">
        <v>101531.24825165419</v>
      </c>
      <c r="AC50" s="13">
        <v>110622.71575816418</v>
      </c>
      <c r="AD50" s="13">
        <v>110344.11099097841</v>
      </c>
      <c r="AE50" s="13">
        <v>110080.35199315488</v>
      </c>
      <c r="AF50" s="13">
        <v>109832.32361402838</v>
      </c>
      <c r="AG50" s="13">
        <v>109634.80446439578</v>
      </c>
      <c r="AH50" s="13">
        <v>109372.94368664258</v>
      </c>
      <c r="AI50" s="13">
        <v>109101.45574823204</v>
      </c>
      <c r="AJ50" s="13">
        <v>108821.19105865418</v>
      </c>
      <c r="AK50" s="13">
        <v>108562.3112720888</v>
      </c>
      <c r="AL50" s="13">
        <v>108324.3488585251</v>
      </c>
      <c r="AM50" s="13">
        <v>108067.77571107977</v>
      </c>
      <c r="AN50" s="13">
        <v>107849.40675233916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-6879.2520430729292</v>
      </c>
      <c r="P52" s="74">
        <f t="shared" si="0"/>
        <v>-7074.6186999412785</v>
      </c>
      <c r="Q52" s="74">
        <f t="shared" si="0"/>
        <v>887.42229626981862</v>
      </c>
      <c r="R52" s="74">
        <f t="shared" si="0"/>
        <v>5528.8142915013159</v>
      </c>
      <c r="S52" s="74">
        <f t="shared" si="0"/>
        <v>15562.974787575578</v>
      </c>
      <c r="T52" s="74">
        <f t="shared" si="0"/>
        <v>25994.657359071251</v>
      </c>
      <c r="U52" s="74">
        <f t="shared" si="0"/>
        <v>35987.021358422018</v>
      </c>
      <c r="V52" s="74">
        <f t="shared" si="0"/>
        <v>40853.832945066257</v>
      </c>
      <c r="W52" s="74">
        <f t="shared" si="0"/>
        <v>51385.324296302511</v>
      </c>
      <c r="X52" s="74">
        <f t="shared" si="0"/>
        <v>61777.290904861162</v>
      </c>
      <c r="Y52" s="74">
        <f t="shared" si="0"/>
        <v>66750.21362322045</v>
      </c>
      <c r="Z52" s="74">
        <f t="shared" si="0"/>
        <v>77358.500560641973</v>
      </c>
      <c r="AA52" s="74">
        <f t="shared" si="0"/>
        <v>87776.063718322926</v>
      </c>
      <c r="AB52" s="74">
        <f t="shared" si="0"/>
        <v>101775.10563634576</v>
      </c>
      <c r="AC52" s="74">
        <f t="shared" si="0"/>
        <v>92683.638129835774</v>
      </c>
      <c r="AD52" s="74">
        <f t="shared" si="0"/>
        <v>92962.242897021541</v>
      </c>
      <c r="AE52" s="74">
        <f t="shared" si="0"/>
        <v>93226.001894845074</v>
      </c>
      <c r="AF52" s="74">
        <f t="shared" si="0"/>
        <v>93474.03027397157</v>
      </c>
      <c r="AG52" s="74">
        <f t="shared" si="0"/>
        <v>93671.54942360417</v>
      </c>
      <c r="AH52" s="74">
        <f t="shared" si="0"/>
        <v>93933.410201357372</v>
      </c>
      <c r="AI52" s="74">
        <f t="shared" si="0"/>
        <v>94204.898139767916</v>
      </c>
      <c r="AJ52" s="74">
        <f t="shared" si="0"/>
        <v>94485.162829345776</v>
      </c>
      <c r="AK52" s="74">
        <f t="shared" si="0"/>
        <v>94744.042615911152</v>
      </c>
      <c r="AL52" s="74">
        <f t="shared" si="0"/>
        <v>94982.005029474851</v>
      </c>
      <c r="AM52" s="74">
        <f t="shared" si="0"/>
        <v>95238.578176920186</v>
      </c>
      <c r="AN52" s="74">
        <f t="shared" si="0"/>
        <v>95456.947135660797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>
        <f t="shared" si="1"/>
        <v>-0.83644759375521016</v>
      </c>
      <c r="P53" s="107">
        <f t="shared" si="1"/>
        <v>-0.28673406891960868</v>
      </c>
      <c r="Q53" s="107">
        <f t="shared" si="1"/>
        <v>2.0951765356245228E-2</v>
      </c>
      <c r="R53" s="107">
        <f t="shared" si="1"/>
        <v>0.10877799312749667</v>
      </c>
      <c r="S53" s="107">
        <f t="shared" si="1"/>
        <v>0.2296481318456349</v>
      </c>
      <c r="T53" s="107">
        <f t="shared" si="1"/>
        <v>0.3068629015704038</v>
      </c>
      <c r="U53" s="107">
        <f t="shared" si="1"/>
        <v>0.35401767500337955</v>
      </c>
      <c r="V53" s="107">
        <f t="shared" si="1"/>
        <v>0.37097935888029582</v>
      </c>
      <c r="W53" s="107">
        <f t="shared" si="1"/>
        <v>0.40439719321008782</v>
      </c>
      <c r="X53" s="107">
        <f t="shared" si="1"/>
        <v>0.42898314418916772</v>
      </c>
      <c r="Y53" s="107">
        <f t="shared" si="1"/>
        <v>0.43776440395950539</v>
      </c>
      <c r="Z53" s="107">
        <f t="shared" si="1"/>
        <v>0.45660255519564275</v>
      </c>
      <c r="AA53" s="107">
        <f t="shared" si="1"/>
        <v>0.47099219499694162</v>
      </c>
      <c r="AB53" s="107">
        <f t="shared" si="1"/>
        <v>0.50059972888212312</v>
      </c>
      <c r="AC53" s="107">
        <f t="shared" si="1"/>
        <v>0.45588166015162784</v>
      </c>
      <c r="AD53" s="107">
        <f t="shared" si="1"/>
        <v>0.45725202935976011</v>
      </c>
      <c r="AE53" s="107">
        <f t="shared" si="1"/>
        <v>0.45854937689848407</v>
      </c>
      <c r="AF53" s="107">
        <f t="shared" si="1"/>
        <v>0.4597693504722718</v>
      </c>
      <c r="AG53" s="107">
        <f t="shared" si="1"/>
        <v>0.46074088503504013</v>
      </c>
      <c r="AH53" s="107">
        <f t="shared" si="1"/>
        <v>0.46202889582636769</v>
      </c>
      <c r="AI53" s="107">
        <f t="shared" si="1"/>
        <v>0.46336425959251987</v>
      </c>
      <c r="AJ53" s="107">
        <f t="shared" si="1"/>
        <v>0.46474279343673142</v>
      </c>
      <c r="AK53" s="107">
        <f t="shared" si="1"/>
        <v>0.4660161416701466</v>
      </c>
      <c r="AL53" s="107">
        <f t="shared" si="1"/>
        <v>0.46718660392581618</v>
      </c>
      <c r="AM53" s="107">
        <f t="shared" si="1"/>
        <v>0.46844860652700726</v>
      </c>
      <c r="AN53" s="107">
        <f t="shared" si="1"/>
        <v>0.46952269474198216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-6879.2520430729292</v>
      </c>
      <c r="P58" s="13">
        <f t="shared" si="2"/>
        <v>-7074.6186999412785</v>
      </c>
      <c r="Q58" s="13">
        <f t="shared" si="2"/>
        <v>887.42229626981862</v>
      </c>
      <c r="R58" s="13">
        <f t="shared" si="2"/>
        <v>5528.8142915013159</v>
      </c>
      <c r="S58" s="13">
        <f t="shared" si="2"/>
        <v>15562.974787575578</v>
      </c>
      <c r="T58" s="13">
        <f t="shared" si="2"/>
        <v>24761.00229907125</v>
      </c>
      <c r="U58" s="13">
        <f t="shared" si="2"/>
        <v>32286.056178422019</v>
      </c>
      <c r="V58" s="13">
        <f t="shared" si="2"/>
        <v>34500.50938606626</v>
      </c>
      <c r="W58" s="13">
        <f t="shared" si="2"/>
        <v>43761.336025502511</v>
      </c>
      <c r="X58" s="13">
        <f t="shared" si="2"/>
        <v>51611.973210461161</v>
      </c>
      <c r="Y58" s="13">
        <f t="shared" si="2"/>
        <v>54043.566505220457</v>
      </c>
      <c r="Z58" s="13">
        <f t="shared" si="2"/>
        <v>62110.524019041979</v>
      </c>
      <c r="AA58" s="13">
        <f t="shared" si="2"/>
        <v>71257.422464922929</v>
      </c>
      <c r="AB58" s="13">
        <f t="shared" si="2"/>
        <v>82715.134959345771</v>
      </c>
      <c r="AC58" s="13">
        <f t="shared" si="2"/>
        <v>71082.338029235776</v>
      </c>
      <c r="AD58" s="13">
        <f t="shared" si="2"/>
        <v>70090.278084621532</v>
      </c>
      <c r="AE58" s="13">
        <f t="shared" si="2"/>
        <v>67812.707658845087</v>
      </c>
      <c r="AF58" s="13">
        <f t="shared" si="2"/>
        <v>65519.406614371575</v>
      </c>
      <c r="AG58" s="13">
        <f t="shared" si="2"/>
        <v>63175.596340404183</v>
      </c>
      <c r="AH58" s="13">
        <f t="shared" si="2"/>
        <v>63437.457118157385</v>
      </c>
      <c r="AI58" s="13">
        <f t="shared" si="2"/>
        <v>63708.945056567929</v>
      </c>
      <c r="AJ58" s="13">
        <f t="shared" si="2"/>
        <v>63989.209746145789</v>
      </c>
      <c r="AK58" s="13">
        <f t="shared" si="2"/>
        <v>64248.089532711165</v>
      </c>
      <c r="AL58" s="13">
        <f t="shared" si="2"/>
        <v>64486.051946274863</v>
      </c>
      <c r="AM58" s="13">
        <f t="shared" si="2"/>
        <v>64742.625093720198</v>
      </c>
      <c r="AN58" s="13">
        <f t="shared" si="2"/>
        <v>64960.99405246081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-6879.2520430729292</v>
      </c>
      <c r="P59" s="12">
        <v>-13953.870743014208</v>
      </c>
      <c r="Q59" s="12">
        <v>-13066.448446744389</v>
      </c>
      <c r="R59" s="12">
        <v>-7537.6341552430731</v>
      </c>
      <c r="S59" s="12">
        <v>8025.3406323325053</v>
      </c>
      <c r="T59" s="12">
        <v>32786.342931403757</v>
      </c>
      <c r="U59" s="12">
        <v>65072.399109825776</v>
      </c>
      <c r="V59" s="12">
        <v>99572.908495892043</v>
      </c>
      <c r="W59" s="12">
        <v>143334.24452139455</v>
      </c>
      <c r="X59" s="12">
        <v>194946.21773185569</v>
      </c>
      <c r="Y59" s="12">
        <v>248989.78423707615</v>
      </c>
      <c r="Z59" s="12">
        <v>311100.30825611815</v>
      </c>
      <c r="AA59" s="12">
        <v>382357.73072104109</v>
      </c>
      <c r="AB59" s="12">
        <v>465072.86568038689</v>
      </c>
      <c r="AC59" s="12">
        <v>536155.20370962261</v>
      </c>
      <c r="AD59" s="12">
        <v>606245.48179424414</v>
      </c>
      <c r="AE59" s="12">
        <v>674058.18945308926</v>
      </c>
      <c r="AF59" s="12">
        <v>739577.59606746084</v>
      </c>
      <c r="AG59" s="12">
        <v>802753.19240786508</v>
      </c>
      <c r="AH59" s="12">
        <v>866190.64952602249</v>
      </c>
      <c r="AI59" s="12">
        <v>929899.59458259039</v>
      </c>
      <c r="AJ59" s="12">
        <v>993888.80432873615</v>
      </c>
      <c r="AK59" s="12">
        <v>1058136.8938614472</v>
      </c>
      <c r="AL59" s="12">
        <v>1122622.9458077222</v>
      </c>
      <c r="AM59" s="12">
        <v>1187365.5709014423</v>
      </c>
      <c r="AN59" s="12">
        <v>1252326.5649539032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1.0488449438217826E-3</v>
      </c>
      <c r="P72" s="12">
        <v>3.1465348314653478E-3</v>
      </c>
      <c r="Q72" s="12">
        <v>5.768647191019805E-3</v>
      </c>
      <c r="R72" s="12">
        <v>6.9223766292237652E-3</v>
      </c>
      <c r="S72" s="12">
        <v>9.2298355056316863E-3</v>
      </c>
      <c r="T72" s="12">
        <v>1.153729438203961E-2</v>
      </c>
      <c r="U72" s="12">
        <v>1.384475325844753E-2</v>
      </c>
      <c r="V72" s="12">
        <v>1.499848269665149E-2</v>
      </c>
      <c r="W72" s="12">
        <v>1.7305941573059418E-2</v>
      </c>
      <c r="X72" s="12">
        <v>1.9613400449467334E-2</v>
      </c>
      <c r="Y72" s="12">
        <v>2.0767129887671303E-2</v>
      </c>
      <c r="Z72" s="12">
        <v>2.307458876407922E-2</v>
      </c>
      <c r="AA72" s="12">
        <v>2.5382047640487147E-2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-1.0488449438217826E-3</v>
      </c>
      <c r="P75" s="74">
        <v>-3.1465348314653478E-3</v>
      </c>
      <c r="Q75" s="74">
        <v>-5.768647191019805E-3</v>
      </c>
      <c r="R75" s="74">
        <v>-6.9223766292237652E-3</v>
      </c>
      <c r="S75" s="74">
        <v>-9.2298355056316863E-3</v>
      </c>
      <c r="T75" s="74">
        <v>-1.153729438203961E-2</v>
      </c>
      <c r="U75" s="74">
        <v>-1.384475325844753E-2</v>
      </c>
      <c r="V75" s="74">
        <v>-1.499848269665149E-2</v>
      </c>
      <c r="W75" s="74">
        <v>-1.7305941573059418E-2</v>
      </c>
      <c r="X75" s="74">
        <v>-1.9613400449467334E-2</v>
      </c>
      <c r="Y75" s="74">
        <v>-2.0767129887671303E-2</v>
      </c>
      <c r="Z75" s="74">
        <v>-2.307458876407922E-2</v>
      </c>
      <c r="AA75" s="74">
        <v>-2.5382047640487147E-2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B21A-55BA-4817-90A7-127B214E9B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70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3</v>
      </c>
      <c r="N1" s="69">
        <v>6</v>
      </c>
      <c r="O1" s="69">
        <v>9</v>
      </c>
      <c r="P1" s="69">
        <v>12</v>
      </c>
      <c r="Q1" s="69">
        <v>15</v>
      </c>
      <c r="R1" s="69">
        <v>18</v>
      </c>
      <c r="S1" s="69">
        <v>21</v>
      </c>
      <c r="T1" s="69">
        <v>24</v>
      </c>
      <c r="U1" s="69">
        <v>27</v>
      </c>
      <c r="V1" s="69">
        <v>30</v>
      </c>
      <c r="W1" s="69">
        <v>33</v>
      </c>
      <c r="X1" s="69">
        <v>36</v>
      </c>
      <c r="Y1" s="69">
        <v>39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3.1666666666666665</v>
      </c>
      <c r="O2" s="69">
        <v>3.3333333333333335</v>
      </c>
      <c r="P2" s="69">
        <v>3.5</v>
      </c>
      <c r="Q2" s="69">
        <v>3.6666666666666665</v>
      </c>
      <c r="R2" s="69">
        <v>3.8333333333333335</v>
      </c>
      <c r="S2" s="69">
        <v>4</v>
      </c>
      <c r="T2" s="69">
        <v>4.166666666666667</v>
      </c>
      <c r="U2" s="69">
        <v>4.333333333333333</v>
      </c>
      <c r="V2" s="69">
        <v>4.5</v>
      </c>
      <c r="W2" s="69">
        <v>4.666666666666667</v>
      </c>
      <c r="X2" s="69">
        <v>4.833333333333333</v>
      </c>
      <c r="Y2" s="69">
        <v>5</v>
      </c>
      <c r="Z2" s="69">
        <v>2.1666666666666665</v>
      </c>
      <c r="AA2" s="69">
        <v>2.3333333333333335</v>
      </c>
      <c r="AB2" s="69">
        <v>2.5</v>
      </c>
      <c r="AC2" s="69">
        <v>2.6666666666666665</v>
      </c>
      <c r="AD2" s="69">
        <v>2.8333333333333335</v>
      </c>
      <c r="AE2" s="69">
        <v>3</v>
      </c>
      <c r="AF2" s="69">
        <v>3.1666666666666665</v>
      </c>
      <c r="AG2" s="69">
        <v>3.3333333333333335</v>
      </c>
      <c r="AH2" s="69">
        <v>3.5</v>
      </c>
      <c r="AI2" s="69">
        <v>3.6666666666666665</v>
      </c>
      <c r="AJ2" s="69">
        <v>3.8333333333333335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0.16666666666666666</v>
      </c>
      <c r="O3" s="69">
        <v>0.33333333333333331</v>
      </c>
      <c r="P3" s="69">
        <v>0.5</v>
      </c>
      <c r="Q3" s="69">
        <v>0.66666666666666663</v>
      </c>
      <c r="R3" s="69">
        <v>0.83333333333333337</v>
      </c>
      <c r="S3" s="69">
        <v>1</v>
      </c>
      <c r="T3" s="69">
        <v>1.1666666666666667</v>
      </c>
      <c r="U3" s="69">
        <v>1.3333333333333333</v>
      </c>
      <c r="V3" s="69">
        <v>1.5</v>
      </c>
      <c r="W3" s="69">
        <v>1.6666666666666667</v>
      </c>
      <c r="X3" s="69">
        <v>1.8333333333333333</v>
      </c>
      <c r="Y3" s="69">
        <v>2</v>
      </c>
      <c r="Z3" s="69">
        <v>2.1666666666666665</v>
      </c>
      <c r="AA3" s="69">
        <v>2.3333333333333335</v>
      </c>
      <c r="AB3" s="69">
        <v>2.5</v>
      </c>
      <c r="AC3" s="69">
        <v>2.6666666666666665</v>
      </c>
      <c r="AD3" s="69">
        <v>2.8333333333333335</v>
      </c>
      <c r="AE3" s="69">
        <v>3</v>
      </c>
      <c r="AF3" s="69">
        <v>3.1666666666666665</v>
      </c>
      <c r="AG3" s="69">
        <v>3.3333333333333335</v>
      </c>
      <c r="AH3" s="69">
        <v>3.5</v>
      </c>
      <c r="AI3" s="69">
        <v>3.6666666666666665</v>
      </c>
      <c r="AJ3" s="69">
        <v>3.8333333333333335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3</v>
      </c>
      <c r="N4" s="69">
        <v>9.1666666666666661</v>
      </c>
      <c r="O4" s="69">
        <v>12.333333333333334</v>
      </c>
      <c r="P4" s="69">
        <v>15.5</v>
      </c>
      <c r="Q4" s="69">
        <v>18.666666666666668</v>
      </c>
      <c r="R4" s="69">
        <v>21.833333333333332</v>
      </c>
      <c r="S4" s="69">
        <v>25</v>
      </c>
      <c r="T4" s="69">
        <v>28.166666666666668</v>
      </c>
      <c r="U4" s="69">
        <v>31.333333333333332</v>
      </c>
      <c r="V4" s="69">
        <v>34.5</v>
      </c>
      <c r="W4" s="69">
        <v>37.666666666666664</v>
      </c>
      <c r="X4" s="69">
        <v>40.833333333333336</v>
      </c>
      <c r="Y4" s="69">
        <v>44</v>
      </c>
      <c r="Z4" s="69">
        <v>44.166666666666664</v>
      </c>
      <c r="AA4" s="69">
        <v>44.333333333333336</v>
      </c>
      <c r="AB4" s="69">
        <v>44.5</v>
      </c>
      <c r="AC4" s="69">
        <v>44.666666666666664</v>
      </c>
      <c r="AD4" s="69">
        <v>44.833333333333336</v>
      </c>
      <c r="AE4" s="69">
        <v>45</v>
      </c>
      <c r="AF4" s="69">
        <v>45.166666666666664</v>
      </c>
      <c r="AG4" s="69">
        <v>45.333333333333336</v>
      </c>
      <c r="AH4" s="69">
        <v>45.5</v>
      </c>
      <c r="AI4" s="69">
        <v>45.666666666666664</v>
      </c>
      <c r="AJ4" s="69">
        <v>45.833333333333336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6</v>
      </c>
      <c r="N6" s="66">
        <v>11</v>
      </c>
      <c r="O6" s="66">
        <v>15</v>
      </c>
      <c r="P6" s="66">
        <v>18</v>
      </c>
      <c r="Q6" s="66">
        <v>22</v>
      </c>
      <c r="R6" s="66">
        <v>26</v>
      </c>
      <c r="S6" s="66">
        <v>29</v>
      </c>
      <c r="T6" s="66">
        <v>33</v>
      </c>
      <c r="U6" s="66">
        <v>37</v>
      </c>
      <c r="V6" s="66">
        <v>40</v>
      </c>
      <c r="W6" s="66">
        <v>44</v>
      </c>
      <c r="X6" s="66">
        <v>47</v>
      </c>
      <c r="Y6" s="66">
        <v>51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2.8299999999999996</v>
      </c>
      <c r="N7" s="108">
        <v>5.6499999999999995</v>
      </c>
      <c r="O7" s="108">
        <v>8.48</v>
      </c>
      <c r="P7" s="108">
        <v>11.299999999999999</v>
      </c>
      <c r="Q7" s="108">
        <v>14.12</v>
      </c>
      <c r="R7" s="108">
        <v>16.950000000000003</v>
      </c>
      <c r="S7" s="108">
        <v>19.770000000000003</v>
      </c>
      <c r="T7" s="108">
        <v>22.59</v>
      </c>
      <c r="U7" s="108">
        <v>25.42</v>
      </c>
      <c r="V7" s="108">
        <v>28.240000000000002</v>
      </c>
      <c r="W7" s="108">
        <v>31.060000000000002</v>
      </c>
      <c r="X7" s="108">
        <v>33.89</v>
      </c>
      <c r="Y7" s="108">
        <v>36.71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0.43</v>
      </c>
      <c r="N8" s="108">
        <v>0.86</v>
      </c>
      <c r="O8" s="108">
        <v>1.29</v>
      </c>
      <c r="P8" s="108">
        <v>1.72</v>
      </c>
      <c r="Q8" s="108">
        <v>2.15</v>
      </c>
      <c r="R8" s="108">
        <v>2.5799999999999996</v>
      </c>
      <c r="S8" s="108">
        <v>3</v>
      </c>
      <c r="T8" s="108">
        <v>3.4299999999999997</v>
      </c>
      <c r="U8" s="108">
        <v>3.86</v>
      </c>
      <c r="V8" s="108">
        <v>4.29</v>
      </c>
      <c r="W8" s="108">
        <v>4.72</v>
      </c>
      <c r="X8" s="108">
        <v>5.1499999999999995</v>
      </c>
      <c r="Y8" s="108">
        <v>5.58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0.25</v>
      </c>
      <c r="O12" s="108">
        <v>0.26</v>
      </c>
      <c r="P12" s="108">
        <v>0.27</v>
      </c>
      <c r="Q12" s="108">
        <v>0.29000000000000004</v>
      </c>
      <c r="R12" s="108">
        <v>0.3</v>
      </c>
      <c r="S12" s="108">
        <v>0.31</v>
      </c>
      <c r="T12" s="108">
        <v>0.33</v>
      </c>
      <c r="U12" s="108">
        <v>0.34</v>
      </c>
      <c r="V12" s="108">
        <v>0.35000000000000003</v>
      </c>
      <c r="W12" s="108">
        <v>0.36</v>
      </c>
      <c r="X12" s="108">
        <v>0.38</v>
      </c>
      <c r="Y12" s="108">
        <v>0.39</v>
      </c>
      <c r="Z12" s="108">
        <v>0.17</v>
      </c>
      <c r="AA12" s="108">
        <v>0.18000000000000002</v>
      </c>
      <c r="AB12" s="108">
        <v>0.2</v>
      </c>
      <c r="AC12" s="108">
        <v>0.21000000000000002</v>
      </c>
      <c r="AD12" s="108">
        <v>0.22</v>
      </c>
      <c r="AE12" s="108">
        <v>0.24000000000000002</v>
      </c>
      <c r="AF12" s="108">
        <v>0.25</v>
      </c>
      <c r="AG12" s="108">
        <v>0.26</v>
      </c>
      <c r="AH12" s="108">
        <v>0.27</v>
      </c>
      <c r="AI12" s="108">
        <v>0.29000000000000004</v>
      </c>
      <c r="AJ12" s="108">
        <v>0.3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0.02</v>
      </c>
      <c r="N13" s="108">
        <v>0.35000000000000003</v>
      </c>
      <c r="O13" s="108">
        <v>0.39</v>
      </c>
      <c r="P13" s="108">
        <v>0.42</v>
      </c>
      <c r="Q13" s="108">
        <v>0.45</v>
      </c>
      <c r="R13" s="108">
        <v>0.49</v>
      </c>
      <c r="S13" s="108">
        <v>0.52</v>
      </c>
      <c r="T13" s="108">
        <v>0.55000000000000004</v>
      </c>
      <c r="U13" s="108">
        <v>0.59</v>
      </c>
      <c r="V13" s="108">
        <v>0.62</v>
      </c>
      <c r="W13" s="108">
        <v>0.65</v>
      </c>
      <c r="X13" s="108">
        <v>0.69000000000000006</v>
      </c>
      <c r="Y13" s="108">
        <v>0.72</v>
      </c>
      <c r="Z13" s="108">
        <v>0.45</v>
      </c>
      <c r="AA13" s="108">
        <v>0.47000000000000003</v>
      </c>
      <c r="AB13" s="108">
        <v>0.49</v>
      </c>
      <c r="AC13" s="108">
        <v>0.5</v>
      </c>
      <c r="AD13" s="108">
        <v>0.52</v>
      </c>
      <c r="AE13" s="108">
        <v>0.54</v>
      </c>
      <c r="AF13" s="108">
        <v>0.55000000000000004</v>
      </c>
      <c r="AG13" s="108">
        <v>0.57000000000000006</v>
      </c>
      <c r="AH13" s="108">
        <v>0.59</v>
      </c>
      <c r="AI13" s="108">
        <v>0.6</v>
      </c>
      <c r="AJ13" s="108">
        <v>0.62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0.02</v>
      </c>
      <c r="N14" s="108">
        <v>0.2</v>
      </c>
      <c r="O14" s="108">
        <v>0.22</v>
      </c>
      <c r="P14" s="108">
        <v>0.25</v>
      </c>
      <c r="Q14" s="108">
        <v>0.27</v>
      </c>
      <c r="R14" s="108">
        <v>0.3</v>
      </c>
      <c r="S14" s="108">
        <v>0.32</v>
      </c>
      <c r="T14" s="108">
        <v>0.35000000000000003</v>
      </c>
      <c r="U14" s="108">
        <v>0.37</v>
      </c>
      <c r="V14" s="108">
        <v>0.39</v>
      </c>
      <c r="W14" s="108">
        <v>0.42</v>
      </c>
      <c r="X14" s="108">
        <v>0.44</v>
      </c>
      <c r="Y14" s="108">
        <v>0.47000000000000003</v>
      </c>
      <c r="Z14" s="108">
        <v>0.34</v>
      </c>
      <c r="AA14" s="108">
        <v>0.35000000000000003</v>
      </c>
      <c r="AB14" s="108">
        <v>0.36</v>
      </c>
      <c r="AC14" s="108">
        <v>0.37</v>
      </c>
      <c r="AD14" s="108">
        <v>0.38</v>
      </c>
      <c r="AE14" s="108">
        <v>0.39</v>
      </c>
      <c r="AF14" s="108">
        <v>0.39</v>
      </c>
      <c r="AG14" s="108">
        <v>0.4</v>
      </c>
      <c r="AH14" s="108">
        <v>0.41000000000000003</v>
      </c>
      <c r="AI14" s="108">
        <v>0.42</v>
      </c>
      <c r="AJ14" s="108">
        <v>0.43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0.02</v>
      </c>
      <c r="N15" s="108">
        <v>0.03</v>
      </c>
      <c r="O15" s="108">
        <v>0.04</v>
      </c>
      <c r="P15" s="108">
        <v>0.05</v>
      </c>
      <c r="Q15" s="108">
        <v>0.06</v>
      </c>
      <c r="R15" s="108">
        <v>0.08</v>
      </c>
      <c r="S15" s="108">
        <v>0.09</v>
      </c>
      <c r="T15" s="108">
        <v>9.9999999999999992E-2</v>
      </c>
      <c r="U15" s="108">
        <v>0.11</v>
      </c>
      <c r="V15" s="108">
        <v>0.12</v>
      </c>
      <c r="W15" s="108">
        <v>0.14000000000000001</v>
      </c>
      <c r="X15" s="108">
        <v>0.15000000000000002</v>
      </c>
      <c r="Y15" s="108">
        <v>0.16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0.02</v>
      </c>
      <c r="N16" s="108">
        <v>0.03</v>
      </c>
      <c r="O16" s="108">
        <v>0.04</v>
      </c>
      <c r="P16" s="108">
        <v>0.05</v>
      </c>
      <c r="Q16" s="108">
        <v>0.06</v>
      </c>
      <c r="R16" s="108">
        <v>0.08</v>
      </c>
      <c r="S16" s="108">
        <v>0.09</v>
      </c>
      <c r="T16" s="108">
        <v>9.9999999999999992E-2</v>
      </c>
      <c r="U16" s="108">
        <v>0.11</v>
      </c>
      <c r="V16" s="108">
        <v>0.12</v>
      </c>
      <c r="W16" s="108">
        <v>0.14000000000000001</v>
      </c>
      <c r="X16" s="108">
        <v>0.15000000000000002</v>
      </c>
      <c r="Y16" s="108">
        <v>0.16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0.3</v>
      </c>
      <c r="N17" s="108">
        <v>0.6</v>
      </c>
      <c r="O17" s="108">
        <v>0.9</v>
      </c>
      <c r="P17" s="108">
        <v>1.2</v>
      </c>
      <c r="Q17" s="108">
        <v>1.5</v>
      </c>
      <c r="R17" s="108">
        <v>1.8</v>
      </c>
      <c r="S17" s="108">
        <v>2.1</v>
      </c>
      <c r="T17" s="108">
        <v>2.4</v>
      </c>
      <c r="U17" s="108">
        <v>2.7</v>
      </c>
      <c r="V17" s="108">
        <v>3</v>
      </c>
      <c r="W17" s="108">
        <v>3.3</v>
      </c>
      <c r="X17" s="108">
        <v>3.6</v>
      </c>
      <c r="Y17" s="108">
        <v>3.9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3</v>
      </c>
      <c r="N21" s="120">
        <v>7</v>
      </c>
      <c r="O21" s="120">
        <v>10</v>
      </c>
      <c r="P21" s="120">
        <v>13</v>
      </c>
      <c r="Q21" s="120">
        <v>16</v>
      </c>
      <c r="R21" s="120">
        <v>20</v>
      </c>
      <c r="S21" s="120">
        <v>23</v>
      </c>
      <c r="T21" s="120">
        <v>26</v>
      </c>
      <c r="U21" s="120">
        <v>29</v>
      </c>
      <c r="V21" s="120">
        <v>33</v>
      </c>
      <c r="W21" s="120">
        <v>36</v>
      </c>
      <c r="X21" s="120">
        <v>39</v>
      </c>
      <c r="Y21" s="120">
        <v>42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165.07653631284921</v>
      </c>
      <c r="N22" s="78">
        <v>165.07653631284921</v>
      </c>
      <c r="O22" s="78">
        <v>165.07653631284916</v>
      </c>
      <c r="P22" s="78">
        <v>165.07653631284921</v>
      </c>
      <c r="Q22" s="78">
        <v>170.02883240223466</v>
      </c>
      <c r="R22" s="78">
        <v>170.02883240223466</v>
      </c>
      <c r="S22" s="78">
        <v>170.02883240223463</v>
      </c>
      <c r="T22" s="78">
        <v>170.02883240223466</v>
      </c>
      <c r="U22" s="78">
        <v>170.02883240223468</v>
      </c>
      <c r="V22" s="78">
        <v>170.02883240223466</v>
      </c>
      <c r="W22" s="78">
        <v>170.02883240223468</v>
      </c>
      <c r="X22" s="78">
        <v>170.02883240223466</v>
      </c>
      <c r="Y22" s="78">
        <v>170.02883240223466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315.03999999999996</v>
      </c>
      <c r="N23" s="52">
        <v>630.07999999999993</v>
      </c>
      <c r="O23" s="52">
        <v>945.11999999999989</v>
      </c>
      <c r="P23" s="52">
        <v>1260.1599999999999</v>
      </c>
      <c r="Q23" s="52">
        <v>1575.1999999999996</v>
      </c>
      <c r="R23" s="52">
        <v>1890.2399999999998</v>
      </c>
      <c r="S23" s="52">
        <v>2205.2799999999997</v>
      </c>
      <c r="T23" s="52">
        <v>2520.3199999999997</v>
      </c>
      <c r="U23" s="52">
        <v>2835.3599999999992</v>
      </c>
      <c r="V23" s="52">
        <v>3150.3999999999992</v>
      </c>
      <c r="W23" s="52">
        <v>3465.4399999999996</v>
      </c>
      <c r="X23" s="52">
        <v>3780.4799999999996</v>
      </c>
      <c r="Y23" s="52">
        <v>4095.5199999999995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45433.96</v>
      </c>
      <c r="N26" s="12">
        <v>90867.92</v>
      </c>
      <c r="O26" s="12">
        <v>136301.87999999998</v>
      </c>
      <c r="P26" s="12">
        <v>181735.84</v>
      </c>
      <c r="Q26" s="12">
        <v>233984.89399999997</v>
      </c>
      <c r="R26" s="12">
        <v>280781.87280000001</v>
      </c>
      <c r="S26" s="12">
        <v>327578.85159999994</v>
      </c>
      <c r="T26" s="12">
        <v>374375.83040000004</v>
      </c>
      <c r="U26" s="12">
        <v>421172.80919999996</v>
      </c>
      <c r="V26" s="12">
        <v>467969.78799999994</v>
      </c>
      <c r="W26" s="12">
        <v>514766.76679999998</v>
      </c>
      <c r="X26" s="12">
        <v>561563.74560000002</v>
      </c>
      <c r="Y26" s="12">
        <v>608360.72439999995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2663.9599999999996</v>
      </c>
      <c r="N27" s="12">
        <v>5327.9199999999992</v>
      </c>
      <c r="O27" s="12">
        <v>7991.8799999999992</v>
      </c>
      <c r="P27" s="12">
        <v>10655.839999999998</v>
      </c>
      <c r="Q27" s="12">
        <v>13719.393999999998</v>
      </c>
      <c r="R27" s="12">
        <v>16463.272799999999</v>
      </c>
      <c r="S27" s="12">
        <v>19207.151600000001</v>
      </c>
      <c r="T27" s="12">
        <v>21951.0304</v>
      </c>
      <c r="U27" s="12">
        <v>24694.909199999995</v>
      </c>
      <c r="V27" s="12">
        <v>27438.787999999997</v>
      </c>
      <c r="W27" s="12">
        <v>30182.666799999999</v>
      </c>
      <c r="X27" s="12">
        <v>32926.545599999998</v>
      </c>
      <c r="Y27" s="12">
        <v>35670.424399999996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6331.181999999998</v>
      </c>
      <c r="N28" s="12">
        <v>12662.363999999996</v>
      </c>
      <c r="O28" s="12">
        <v>18993.545999999995</v>
      </c>
      <c r="P28" s="12">
        <v>25324.727999999992</v>
      </c>
      <c r="Q28" s="12">
        <v>32605.587299999992</v>
      </c>
      <c r="R28" s="12">
        <v>39126.704759999986</v>
      </c>
      <c r="S28" s="12">
        <v>45647.822219999987</v>
      </c>
      <c r="T28" s="12">
        <v>52168.939679999981</v>
      </c>
      <c r="U28" s="12">
        <v>58690.057139999983</v>
      </c>
      <c r="V28" s="12">
        <v>65211.174599999984</v>
      </c>
      <c r="W28" s="12">
        <v>71732.292059999978</v>
      </c>
      <c r="X28" s="12">
        <v>78253.409519999972</v>
      </c>
      <c r="Y28" s="12">
        <v>84774.526979999995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487.01399999999995</v>
      </c>
      <c r="N29" s="12">
        <v>974.02799999999991</v>
      </c>
      <c r="O29" s="12">
        <v>1461.0420000000001</v>
      </c>
      <c r="P29" s="12">
        <v>1948.0559999999998</v>
      </c>
      <c r="Q29" s="12">
        <v>2508.1221</v>
      </c>
      <c r="R29" s="12">
        <v>3009.7465200000001</v>
      </c>
      <c r="S29" s="12">
        <v>3511.3709400000002</v>
      </c>
      <c r="T29" s="12">
        <v>4012.9953599999999</v>
      </c>
      <c r="U29" s="12">
        <v>4514.61978</v>
      </c>
      <c r="V29" s="12">
        <v>5016.2442000000001</v>
      </c>
      <c r="W29" s="12">
        <v>5517.8686199999993</v>
      </c>
      <c r="X29" s="12">
        <v>6019.4930400000003</v>
      </c>
      <c r="Y29" s="12">
        <v>6521.1174600000013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635.43999999999994</v>
      </c>
      <c r="N30" s="12">
        <v>1270.8799999999999</v>
      </c>
      <c r="O30" s="12">
        <v>1906.3199999999997</v>
      </c>
      <c r="P30" s="12">
        <v>2541.7599999999998</v>
      </c>
      <c r="Q30" s="12">
        <v>3272.5159999999996</v>
      </c>
      <c r="R30" s="12">
        <v>3927.0191999999997</v>
      </c>
      <c r="S30" s="12">
        <v>4581.5223999999998</v>
      </c>
      <c r="T30" s="12">
        <v>5236.025599999999</v>
      </c>
      <c r="U30" s="12">
        <v>5890.5288</v>
      </c>
      <c r="V30" s="12">
        <v>6545.0319999999992</v>
      </c>
      <c r="W30" s="12">
        <v>7199.5351999999993</v>
      </c>
      <c r="X30" s="12">
        <v>7854.0383999999995</v>
      </c>
      <c r="Y30" s="12">
        <v>8508.5416000000005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-9775.5657199999987</v>
      </c>
      <c r="N35" s="12">
        <v>-16441.75244</v>
      </c>
      <c r="O35" s="12">
        <v>-23107.939159999998</v>
      </c>
      <c r="P35" s="12">
        <v>-29774.12588</v>
      </c>
      <c r="Q35" s="12">
        <v>-37533.521977999997</v>
      </c>
      <c r="R35" s="12">
        <v>-44399.694299599993</v>
      </c>
      <c r="S35" s="12">
        <v>-51265.866621199988</v>
      </c>
      <c r="T35" s="12">
        <v>-58132.038942799998</v>
      </c>
      <c r="U35" s="12">
        <v>-64998.211264399994</v>
      </c>
      <c r="V35" s="12">
        <v>-71864.383585999982</v>
      </c>
      <c r="W35" s="12">
        <v>-78730.555907599992</v>
      </c>
      <c r="X35" s="12">
        <v>-85596.728229199987</v>
      </c>
      <c r="Y35" s="12">
        <v>-92462.900550799983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69023.521946666675</v>
      </c>
      <c r="N37" s="13">
        <v>115244.93122666668</v>
      </c>
      <c r="O37" s="13">
        <v>161466.34050666663</v>
      </c>
      <c r="P37" s="13">
        <v>207687.74978666668</v>
      </c>
      <c r="Q37" s="13">
        <v>261526.43383866665</v>
      </c>
      <c r="R37" s="13">
        <v>309134.48539706669</v>
      </c>
      <c r="S37" s="13">
        <v>356742.53695546661</v>
      </c>
      <c r="T37" s="13">
        <v>404350.58851386671</v>
      </c>
      <c r="U37" s="13">
        <v>451958.64007226669</v>
      </c>
      <c r="V37" s="13">
        <v>499566.69163066661</v>
      </c>
      <c r="W37" s="13">
        <v>547174.74318906665</v>
      </c>
      <c r="X37" s="13">
        <v>594782.79474746657</v>
      </c>
      <c r="Y37" s="13">
        <v>642390.84630586649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44337.989634003286</v>
      </c>
      <c r="N40" s="12">
        <v>75871.883801339907</v>
      </c>
      <c r="O40" s="12">
        <v>96058.673435343182</v>
      </c>
      <c r="P40" s="12">
        <v>116205.23426934646</v>
      </c>
      <c r="Q40" s="12">
        <v>150023.12794701807</v>
      </c>
      <c r="R40" s="12">
        <v>172522.07654442172</v>
      </c>
      <c r="S40" s="12">
        <v>194508.37512849199</v>
      </c>
      <c r="T40" s="12">
        <v>216775.92537922892</v>
      </c>
      <c r="U40" s="12">
        <v>238981.39397663256</v>
      </c>
      <c r="V40" s="12">
        <v>261072.43089403611</v>
      </c>
      <c r="W40" s="12">
        <v>283456.94781143981</v>
      </c>
      <c r="X40" s="12">
        <v>305768.74974217667</v>
      </c>
      <c r="Y40" s="12">
        <v>327929.9666595803</v>
      </c>
      <c r="Z40" s="12">
        <v>344408.19857698394</v>
      </c>
      <c r="AA40" s="12">
        <v>344718.69191031728</v>
      </c>
      <c r="AB40" s="12">
        <v>345135.51857698389</v>
      </c>
      <c r="AC40" s="12">
        <v>379916.92410134897</v>
      </c>
      <c r="AD40" s="12">
        <v>380258.4667680157</v>
      </c>
      <c r="AE40" s="12">
        <v>380716.97610134899</v>
      </c>
      <c r="AF40" s="12">
        <v>380907.63176801568</v>
      </c>
      <c r="AG40" s="12">
        <v>381249.17443468235</v>
      </c>
      <c r="AH40" s="12">
        <v>381590.71710134903</v>
      </c>
      <c r="AI40" s="12">
        <v>381975.53743468237</v>
      </c>
      <c r="AJ40" s="12">
        <v>382317.08010134904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363.89520000000005</v>
      </c>
      <c r="N44" s="12">
        <v>963.64839999999992</v>
      </c>
      <c r="O44" s="12">
        <v>993.97300000000007</v>
      </c>
      <c r="P44" s="12">
        <v>1024.2975999999999</v>
      </c>
      <c r="Q44" s="12">
        <v>1096.807088</v>
      </c>
      <c r="R44" s="12">
        <v>1138.8571999999999</v>
      </c>
      <c r="S44" s="12">
        <v>1166.8906079999999</v>
      </c>
      <c r="T44" s="12">
        <v>1201.932368</v>
      </c>
      <c r="U44" s="12">
        <v>1233.4699519999999</v>
      </c>
      <c r="V44" s="12">
        <v>1261.5033600000002</v>
      </c>
      <c r="W44" s="12">
        <v>1300.0492959999999</v>
      </c>
      <c r="X44" s="12">
        <v>1335.0910559999998</v>
      </c>
      <c r="Y44" s="12">
        <v>1366.6286400000004</v>
      </c>
      <c r="Z44" s="12">
        <v>1156.37808</v>
      </c>
      <c r="AA44" s="12">
        <v>1170.3947840000001</v>
      </c>
      <c r="AB44" s="12">
        <v>1187.9156640000001</v>
      </c>
      <c r="AC44" s="12">
        <v>1246.3653196800001</v>
      </c>
      <c r="AD44" s="12">
        <v>1260.9426918400002</v>
      </c>
      <c r="AE44" s="12">
        <v>1279.1644070400002</v>
      </c>
      <c r="AF44" s="12">
        <v>1286.4530931200002</v>
      </c>
      <c r="AG44" s="12">
        <v>1301.03046528</v>
      </c>
      <c r="AH44" s="12">
        <v>1315.6078374400001</v>
      </c>
      <c r="AI44" s="12">
        <v>1330.1852096000002</v>
      </c>
      <c r="AJ44" s="12">
        <v>1344.7625817600001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3533.9999999999991</v>
      </c>
      <c r="N46" s="12">
        <v>5399.4999999999991</v>
      </c>
      <c r="O46" s="12">
        <v>6677</v>
      </c>
      <c r="P46" s="12">
        <v>7950.9999999999991</v>
      </c>
      <c r="Q46" s="12">
        <v>9409.4999999999982</v>
      </c>
      <c r="R46" s="12">
        <v>10723.26</v>
      </c>
      <c r="S46" s="12">
        <v>12015.600000000002</v>
      </c>
      <c r="T46" s="12">
        <v>13318.650000000001</v>
      </c>
      <c r="U46" s="12">
        <v>14621.7</v>
      </c>
      <c r="V46" s="12">
        <v>15917.609999999999</v>
      </c>
      <c r="W46" s="12">
        <v>17224.23</v>
      </c>
      <c r="X46" s="12">
        <v>18530.849999999999</v>
      </c>
      <c r="Y46" s="12">
        <v>19830.329999999998</v>
      </c>
      <c r="Z46" s="12">
        <v>20879.910000000007</v>
      </c>
      <c r="AA46" s="12">
        <v>20894.190000000002</v>
      </c>
      <c r="AB46" s="12">
        <v>20912.040000000005</v>
      </c>
      <c r="AC46" s="12">
        <v>21341.205000000002</v>
      </c>
      <c r="AD46" s="12">
        <v>21355.770600000003</v>
      </c>
      <c r="AE46" s="12">
        <v>21373.977600000006</v>
      </c>
      <c r="AF46" s="12">
        <v>21381.260400000003</v>
      </c>
      <c r="AG46" s="12">
        <v>21395.826000000001</v>
      </c>
      <c r="AH46" s="12">
        <v>21410.391600000003</v>
      </c>
      <c r="AI46" s="12">
        <v>21424.957200000004</v>
      </c>
      <c r="AJ46" s="12">
        <v>21439.522800000002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151234.47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9091.1287191090087</v>
      </c>
      <c r="N49" s="12">
        <f>'Corp.'!N$50*(N$37-(N31-N32-N34)*$C$35)/(SUM('MDA1:NCA9'!N$37)-SUM('MDA1:NCA9'!N$31)-SUM('MDA1:NCA9'!N$32)-SUM('MDA1:NCA9'!N$34))</f>
        <v>14336.475976930549</v>
      </c>
      <c r="O49" s="12">
        <f>'Corp.'!O$50*(O$37-(O31-O32-O34)*$C$35)/(SUM('MDA1:NCA9'!O$37)-SUM('MDA1:NCA9'!O$31)-SUM('MDA1:NCA9'!O$32)-SUM('MDA1:NCA9'!O$34))</f>
        <v>18848.020110965532</v>
      </c>
      <c r="P49" s="12">
        <f>'Corp.'!P$50*(P$37-(P31-P32-P34)*$C$35)/(SUM('MDA1:NCA9'!P$37)-SUM('MDA1:NCA9'!P$31)-SUM('MDA1:NCA9'!P$32)-SUM('MDA1:NCA9'!P$34))</f>
        <v>22938.610774617071</v>
      </c>
      <c r="Q49" s="12">
        <f>'Corp.'!Q$50*(Q$37-(Q31-Q32-Q34)*$C$35)/(SUM('MDA1:NCA9'!Q$37)-SUM('MDA1:NCA9'!Q$31)-SUM('MDA1:NCA9'!Q$32)-SUM('MDA1:NCA9'!Q$34))</f>
        <v>29312.961637431177</v>
      </c>
      <c r="R49" s="12">
        <f>'Corp.'!R$50*(R$37-(R31-R32-R34)*$C$35)/(SUM('MDA1:NCA9'!R$37)-SUM('MDA1:NCA9'!R$31)-SUM('MDA1:NCA9'!R$32)-SUM('MDA1:NCA9'!R$34))</f>
        <v>33402.959036174201</v>
      </c>
      <c r="S49" s="12">
        <f>'Corp.'!S$50*(S$37-(S31-S32-S34)*$C$35)/(SUM('MDA1:NCA9'!S$37)-SUM('MDA1:NCA9'!S$31)-SUM('MDA1:NCA9'!S$32)-SUM('MDA1:NCA9'!S$34))</f>
        <v>36955.327288398053</v>
      </c>
      <c r="T49" s="12">
        <f>'Corp.'!T$50*(T$37-(T31-T32-T34)*$C$35)/(SUM('MDA1:NCA9'!T$37)-SUM('MDA1:NCA9'!T$31)-SUM('MDA1:NCA9'!T$32)-SUM('MDA1:NCA9'!T$34))</f>
        <v>40365.71599439704</v>
      </c>
      <c r="U49" s="12">
        <f>'Corp.'!U$50*(U$37-(U31-U32-U34)*$C$35)/(SUM('MDA1:NCA9'!U$37)-SUM('MDA1:NCA9'!U$31)-SUM('MDA1:NCA9'!U$32)-SUM('MDA1:NCA9'!U$34))</f>
        <v>43957.971128603451</v>
      </c>
      <c r="V49" s="12">
        <f>'Corp.'!V$50*(V$37-(V31-V32-V34)*$C$35)/(SUM('MDA1:NCA9'!V$37)-SUM('MDA1:NCA9'!V$31)-SUM('MDA1:NCA9'!V$32)-SUM('MDA1:NCA9'!V$34))</f>
        <v>47547.496725038247</v>
      </c>
      <c r="W49" s="12">
        <f>'Corp.'!W$50*(W$37-(W31-W32-W34)*$C$35)/(SUM('MDA1:NCA9'!W$37)-SUM('MDA1:NCA9'!W$31)-SUM('MDA1:NCA9'!W$32)-SUM('MDA1:NCA9'!W$34))</f>
        <v>50579.798457821089</v>
      </c>
      <c r="X49" s="12">
        <f>'Corp.'!X$50*(X$37-(X31-X32-X34)*$C$35)/(SUM('MDA1:NCA9'!X$37)-SUM('MDA1:NCA9'!X$31)-SUM('MDA1:NCA9'!X$32)-SUM('MDA1:NCA9'!X$34))</f>
        <v>53346.504288336793</v>
      </c>
      <c r="Y49" s="12">
        <f>'Corp.'!Y$50*(Y$37-(Y31-Y32-Y34)*$C$35)/(SUM('MDA1:NCA9'!Y$37)-SUM('MDA1:NCA9'!Y$31)-SUM('MDA1:NCA9'!Y$32)-SUM('MDA1:NCA9'!Y$34))</f>
        <v>56472.964621205334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151234.47</v>
      </c>
      <c r="L50" s="13">
        <v>0</v>
      </c>
      <c r="M50" s="13">
        <v>94163.118353112295</v>
      </c>
      <c r="N50" s="13">
        <v>132807.85977827045</v>
      </c>
      <c r="O50" s="13">
        <v>158783.69354630873</v>
      </c>
      <c r="P50" s="13">
        <v>184294.84504396352</v>
      </c>
      <c r="Q50" s="13">
        <v>227193.58958444925</v>
      </c>
      <c r="R50" s="13">
        <v>255096.29558059594</v>
      </c>
      <c r="S50" s="13">
        <v>281927.30241689004</v>
      </c>
      <c r="T50" s="13">
        <v>308908.29137362598</v>
      </c>
      <c r="U50" s="13">
        <v>336009.06510523602</v>
      </c>
      <c r="V50" s="13">
        <v>362985.53761907434</v>
      </c>
      <c r="W50" s="13">
        <v>389708.97626926086</v>
      </c>
      <c r="X50" s="13">
        <v>416094.10403051344</v>
      </c>
      <c r="Y50" s="13">
        <v>442681.26128078566</v>
      </c>
      <c r="Z50" s="13">
        <v>463165.35634613526</v>
      </c>
      <c r="AA50" s="13">
        <v>462215.53479648719</v>
      </c>
      <c r="AB50" s="13">
        <v>461404.36722843593</v>
      </c>
      <c r="AC50" s="13">
        <v>502582.72410270502</v>
      </c>
      <c r="AD50" s="13">
        <v>501993.27912609332</v>
      </c>
      <c r="AE50" s="13">
        <v>501574.8270875602</v>
      </c>
      <c r="AF50" s="13">
        <v>500930.98513288982</v>
      </c>
      <c r="AG50" s="13">
        <v>500616.73562200926</v>
      </c>
      <c r="AH50" s="13">
        <v>500084.11786222266</v>
      </c>
      <c r="AI50" s="13">
        <v>499562.1042686631</v>
      </c>
      <c r="AJ50" s="13">
        <v>498967.0257021552</v>
      </c>
      <c r="AK50" s="13">
        <v>498444.52509116801</v>
      </c>
      <c r="AL50" s="13">
        <v>497636.9074247643</v>
      </c>
      <c r="AM50" s="13">
        <v>496766.12702084059</v>
      </c>
      <c r="AN50" s="13">
        <v>496025.00733629894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-151234.47</v>
      </c>
      <c r="L52" s="74">
        <f t="shared" si="0"/>
        <v>0</v>
      </c>
      <c r="M52" s="74">
        <f t="shared" si="0"/>
        <v>-25139.59640644562</v>
      </c>
      <c r="N52" s="74">
        <f t="shared" si="0"/>
        <v>-17562.928551603763</v>
      </c>
      <c r="O52" s="74">
        <f t="shared" si="0"/>
        <v>2682.6469603579026</v>
      </c>
      <c r="P52" s="74">
        <f t="shared" si="0"/>
        <v>23392.904742703162</v>
      </c>
      <c r="Q52" s="74">
        <f t="shared" si="0"/>
        <v>34332.844254217402</v>
      </c>
      <c r="R52" s="74">
        <f t="shared" si="0"/>
        <v>54038.189816470753</v>
      </c>
      <c r="S52" s="74">
        <f t="shared" si="0"/>
        <v>74815.234538576566</v>
      </c>
      <c r="T52" s="74">
        <f t="shared" si="0"/>
        <v>95442.297140240727</v>
      </c>
      <c r="U52" s="74">
        <f t="shared" si="0"/>
        <v>115949.57496703067</v>
      </c>
      <c r="V52" s="74">
        <f t="shared" si="0"/>
        <v>136581.15401159227</v>
      </c>
      <c r="W52" s="74">
        <f t="shared" si="0"/>
        <v>157465.76691980578</v>
      </c>
      <c r="X52" s="74">
        <f t="shared" si="0"/>
        <v>178688.69071695313</v>
      </c>
      <c r="Y52" s="74">
        <f t="shared" si="0"/>
        <v>199709.58502508083</v>
      </c>
      <c r="Z52" s="74">
        <f t="shared" si="0"/>
        <v>226833.54151813127</v>
      </c>
      <c r="AA52" s="74">
        <f t="shared" si="0"/>
        <v>227783.36306777934</v>
      </c>
      <c r="AB52" s="74">
        <f t="shared" si="0"/>
        <v>228594.5306358306</v>
      </c>
      <c r="AC52" s="74">
        <f t="shared" si="0"/>
        <v>187416.17376156151</v>
      </c>
      <c r="AD52" s="74">
        <f t="shared" si="0"/>
        <v>188005.61873817322</v>
      </c>
      <c r="AE52" s="74">
        <f t="shared" si="0"/>
        <v>188424.07077670633</v>
      </c>
      <c r="AF52" s="74">
        <f t="shared" si="0"/>
        <v>189067.91273137671</v>
      </c>
      <c r="AG52" s="74">
        <f t="shared" si="0"/>
        <v>189382.16224225727</v>
      </c>
      <c r="AH52" s="74">
        <f t="shared" si="0"/>
        <v>189914.78000204387</v>
      </c>
      <c r="AI52" s="74">
        <f t="shared" si="0"/>
        <v>190436.79359560343</v>
      </c>
      <c r="AJ52" s="74">
        <f t="shared" si="0"/>
        <v>191031.87216211134</v>
      </c>
      <c r="AK52" s="74">
        <f t="shared" si="0"/>
        <v>191554.37277309853</v>
      </c>
      <c r="AL52" s="74">
        <f t="shared" si="0"/>
        <v>192361.99043950223</v>
      </c>
      <c r="AM52" s="74">
        <f t="shared" si="0"/>
        <v>193232.77084342594</v>
      </c>
      <c r="AN52" s="74">
        <f t="shared" si="0"/>
        <v>193973.8905279676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>
        <f t="shared" si="1"/>
        <v>-0.36421781586095486</v>
      </c>
      <c r="N53" s="107">
        <f t="shared" si="1"/>
        <v>-0.15239653809207926</v>
      </c>
      <c r="O53" s="107">
        <f t="shared" si="1"/>
        <v>1.661427980556196E-2</v>
      </c>
      <c r="P53" s="107">
        <f t="shared" si="1"/>
        <v>0.11263497614438962</v>
      </c>
      <c r="Q53" s="107">
        <f t="shared" si="1"/>
        <v>0.13127867707398569</v>
      </c>
      <c r="R53" s="107">
        <f t="shared" si="1"/>
        <v>0.17480479328296741</v>
      </c>
      <c r="S53" s="107">
        <f t="shared" si="1"/>
        <v>0.20971772858114759</v>
      </c>
      <c r="T53" s="107">
        <f t="shared" si="1"/>
        <v>0.23603847713199916</v>
      </c>
      <c r="U53" s="107">
        <f t="shared" si="1"/>
        <v>0.25654908366944973</v>
      </c>
      <c r="V53" s="107">
        <f t="shared" si="1"/>
        <v>0.2733992403812377</v>
      </c>
      <c r="W53" s="107">
        <f t="shared" si="1"/>
        <v>0.28777966980357544</v>
      </c>
      <c r="X53" s="107">
        <f t="shared" si="1"/>
        <v>0.30042679831184582</v>
      </c>
      <c r="Y53" s="107">
        <f t="shared" si="1"/>
        <v>0.31088485487228062</v>
      </c>
      <c r="Z53" s="107">
        <f t="shared" si="1"/>
        <v>0.32874478817320218</v>
      </c>
      <c r="AA53" s="107">
        <f t="shared" si="1"/>
        <v>0.33012134334247567</v>
      </c>
      <c r="AB53" s="107">
        <f t="shared" si="1"/>
        <v>0.33129695039135942</v>
      </c>
      <c r="AC53" s="107">
        <f t="shared" si="1"/>
        <v>0.27161807698775364</v>
      </c>
      <c r="AD53" s="107">
        <f t="shared" si="1"/>
        <v>0.27247234643432261</v>
      </c>
      <c r="AE53" s="107">
        <f t="shared" si="1"/>
        <v>0.27307879963276732</v>
      </c>
      <c r="AF53" s="107">
        <f t="shared" si="1"/>
        <v>0.27401190540534648</v>
      </c>
      <c r="AG53" s="107">
        <f t="shared" si="1"/>
        <v>0.27446734020655156</v>
      </c>
      <c r="AH53" s="107">
        <f t="shared" si="1"/>
        <v>0.27523925123631582</v>
      </c>
      <c r="AI53" s="107">
        <f t="shared" si="1"/>
        <v>0.27599579388468137</v>
      </c>
      <c r="AJ53" s="107">
        <f t="shared" si="1"/>
        <v>0.27685822796732967</v>
      </c>
      <c r="AK53" s="107">
        <f t="shared" si="1"/>
        <v>0.27761547643918155</v>
      </c>
      <c r="AL53" s="107">
        <f t="shared" si="1"/>
        <v>0.27878593869485108</v>
      </c>
      <c r="AM53" s="107">
        <f t="shared" si="1"/>
        <v>0.28004794129604221</v>
      </c>
      <c r="AN53" s="107">
        <f t="shared" si="1"/>
        <v>0.28112202951101706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-54276.210786933363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-63540.705952359989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-62838.219096378685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-66267.847664954621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-69468.957990370705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-72704.641795154675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-386401.13666666666</v>
      </c>
      <c r="L58" s="13">
        <f t="shared" si="2"/>
        <v>-235166.66666666666</v>
      </c>
      <c r="M58" s="13">
        <f t="shared" si="2"/>
        <v>-260306.26307311229</v>
      </c>
      <c r="N58" s="13">
        <f t="shared" si="2"/>
        <v>-252729.59521827043</v>
      </c>
      <c r="O58" s="13">
        <f t="shared" si="2"/>
        <v>-232484.01970630875</v>
      </c>
      <c r="P58" s="13">
        <f t="shared" si="2"/>
        <v>-266049.97271089687</v>
      </c>
      <c r="Q58" s="13">
        <f t="shared" si="2"/>
        <v>-29207.861698142588</v>
      </c>
      <c r="R58" s="13">
        <f t="shared" si="2"/>
        <v>-8800.0292799079325</v>
      </c>
      <c r="S58" s="13">
        <f t="shared" si="2"/>
        <v>8547.3868736219447</v>
      </c>
      <c r="T58" s="13">
        <f t="shared" si="2"/>
        <v>25973.339149870022</v>
      </c>
      <c r="U58" s="13">
        <f t="shared" si="2"/>
        <v>43244.933171875993</v>
      </c>
      <c r="V58" s="13">
        <f t="shared" si="2"/>
        <v>97352.188935792277</v>
      </c>
      <c r="W58" s="13">
        <f t="shared" si="2"/>
        <v>111095.59411024579</v>
      </c>
      <c r="X58" s="13">
        <f t="shared" si="2"/>
        <v>125177.31017363314</v>
      </c>
      <c r="Y58" s="13">
        <f t="shared" si="2"/>
        <v>139056.99674800082</v>
      </c>
      <c r="Z58" s="13">
        <f t="shared" si="2"/>
        <v>159039.74550729129</v>
      </c>
      <c r="AA58" s="13">
        <f t="shared" si="2"/>
        <v>152848.35932317935</v>
      </c>
      <c r="AB58" s="13">
        <f t="shared" si="2"/>
        <v>146518.3191574706</v>
      </c>
      <c r="AC58" s="13">
        <f t="shared" si="2"/>
        <v>98198.754549441524</v>
      </c>
      <c r="AD58" s="13">
        <f t="shared" si="2"/>
        <v>91646.991792293251</v>
      </c>
      <c r="AE58" s="13">
        <f t="shared" si="2"/>
        <v>84924.236097066358</v>
      </c>
      <c r="AF58" s="13">
        <f t="shared" si="2"/>
        <v>85568.078051736738</v>
      </c>
      <c r="AG58" s="13">
        <f t="shared" si="2"/>
        <v>85882.327562617298</v>
      </c>
      <c r="AH58" s="13">
        <f t="shared" si="2"/>
        <v>86414.945322403903</v>
      </c>
      <c r="AI58" s="13">
        <f t="shared" si="2"/>
        <v>86936.958915963463</v>
      </c>
      <c r="AJ58" s="13">
        <f t="shared" si="2"/>
        <v>87532.037482471365</v>
      </c>
      <c r="AK58" s="13">
        <f t="shared" si="2"/>
        <v>88054.538093458556</v>
      </c>
      <c r="AL58" s="13">
        <f t="shared" si="2"/>
        <v>88862.15575986226</v>
      </c>
      <c r="AM58" s="13">
        <f t="shared" si="2"/>
        <v>89732.936163785969</v>
      </c>
      <c r="AN58" s="13">
        <f t="shared" si="2"/>
        <v>90474.055848327625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-386401.13666666666</v>
      </c>
      <c r="L59" s="12">
        <v>-621567.80333333334</v>
      </c>
      <c r="M59" s="12">
        <v>-881874.06640644558</v>
      </c>
      <c r="N59" s="12">
        <v>-1134603.6616247161</v>
      </c>
      <c r="O59" s="12">
        <v>-1367087.681331025</v>
      </c>
      <c r="P59" s="12">
        <v>-1633137.6540419217</v>
      </c>
      <c r="Q59" s="12">
        <v>-1662345.5157400642</v>
      </c>
      <c r="R59" s="12">
        <v>-1671145.5450199721</v>
      </c>
      <c r="S59" s="12">
        <v>-1662598.1581463502</v>
      </c>
      <c r="T59" s="12">
        <v>-1636624.8189964802</v>
      </c>
      <c r="U59" s="12">
        <v>-1593379.8858246042</v>
      </c>
      <c r="V59" s="12">
        <v>-1496027.6968888119</v>
      </c>
      <c r="W59" s="12">
        <v>-1384932.1027785661</v>
      </c>
      <c r="X59" s="12">
        <v>-1259754.792604933</v>
      </c>
      <c r="Y59" s="12">
        <v>-1120697.7958569322</v>
      </c>
      <c r="Z59" s="12">
        <v>-961658.05034964089</v>
      </c>
      <c r="AA59" s="12">
        <v>-808809.69102646154</v>
      </c>
      <c r="AB59" s="12">
        <v>-662291.37186899094</v>
      </c>
      <c r="AC59" s="12">
        <v>-564092.61731954943</v>
      </c>
      <c r="AD59" s="12">
        <v>-472445.62552725617</v>
      </c>
      <c r="AE59" s="12">
        <v>-387521.3894301898</v>
      </c>
      <c r="AF59" s="12">
        <v>-301953.31137845304</v>
      </c>
      <c r="AG59" s="12">
        <v>-216070.98381583573</v>
      </c>
      <c r="AH59" s="12">
        <v>-129656.03849343183</v>
      </c>
      <c r="AI59" s="12">
        <v>-42719.079577468365</v>
      </c>
      <c r="AJ59" s="12">
        <v>44812.957905003001</v>
      </c>
      <c r="AK59" s="12">
        <v>132867.49599846156</v>
      </c>
      <c r="AL59" s="12">
        <v>221729.65175832383</v>
      </c>
      <c r="AM59" s="12">
        <v>311462.58792210981</v>
      </c>
      <c r="AN59" s="12">
        <v>401936.64377043745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2115.6236907519992</v>
      </c>
      <c r="N63" s="12">
        <v>4231.2473815039984</v>
      </c>
      <c r="O63" s="12">
        <v>6346.871072255999</v>
      </c>
      <c r="P63" s="12">
        <v>8462.4947630079969</v>
      </c>
      <c r="Q63" s="12">
        <v>10895.4620073728</v>
      </c>
      <c r="R63" s="12">
        <v>13074.554408847356</v>
      </c>
      <c r="S63" s="12">
        <v>15253.646810321916</v>
      </c>
      <c r="T63" s="12">
        <v>17432.739211796474</v>
      </c>
      <c r="U63" s="12">
        <v>19611.831613271035</v>
      </c>
      <c r="V63" s="12">
        <v>21790.9240147456</v>
      </c>
      <c r="W63" s="12">
        <v>23970.016416220154</v>
      </c>
      <c r="X63" s="12">
        <v>26149.108817694712</v>
      </c>
      <c r="Y63" s="12">
        <v>28328.201219169274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282.68957798400004</v>
      </c>
      <c r="N64" s="12">
        <v>565.37915596800008</v>
      </c>
      <c r="O64" s="12">
        <v>848.06873395200023</v>
      </c>
      <c r="P64" s="12">
        <v>1130.7583119360002</v>
      </c>
      <c r="Q64" s="12">
        <v>1455.8513266176003</v>
      </c>
      <c r="R64" s="12">
        <v>1747.0215919411203</v>
      </c>
      <c r="S64" s="12">
        <v>2038.1918572646407</v>
      </c>
      <c r="T64" s="12">
        <v>2329.3621225881607</v>
      </c>
      <c r="U64" s="12">
        <v>2620.5323879116804</v>
      </c>
      <c r="V64" s="12">
        <v>2911.7026532352006</v>
      </c>
      <c r="W64" s="12">
        <v>3202.8729185587208</v>
      </c>
      <c r="X64" s="12">
        <v>3494.0431838822406</v>
      </c>
      <c r="Y64" s="12">
        <v>3785.2134492057612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1719.2305095679999</v>
      </c>
      <c r="N65" s="12">
        <v>3438.4610191359998</v>
      </c>
      <c r="O65" s="12">
        <v>5157.6915287040001</v>
      </c>
      <c r="P65" s="12">
        <v>6876.9220382719996</v>
      </c>
      <c r="Q65" s="12">
        <v>8854.0371242752008</v>
      </c>
      <c r="R65" s="12">
        <v>10624.844549130239</v>
      </c>
      <c r="S65" s="12">
        <v>12395.651973985277</v>
      </c>
      <c r="T65" s="12">
        <v>14166.459398840319</v>
      </c>
      <c r="U65" s="12">
        <v>15937.266823695358</v>
      </c>
      <c r="V65" s="12">
        <v>17708.074248550402</v>
      </c>
      <c r="W65" s="12">
        <v>19478.881673405438</v>
      </c>
      <c r="X65" s="12">
        <v>21249.689098260478</v>
      </c>
      <c r="Y65" s="12">
        <v>23020.496523115518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4117.5437783039997</v>
      </c>
      <c r="N67" s="13">
        <v>8235.0875566079994</v>
      </c>
      <c r="O67" s="13">
        <v>12352.631334911999</v>
      </c>
      <c r="P67" s="13">
        <v>16470.175113215999</v>
      </c>
      <c r="Q67" s="13">
        <v>21205.350458265602</v>
      </c>
      <c r="R67" s="13">
        <v>25446.420549918716</v>
      </c>
      <c r="S67" s="13">
        <v>29687.490641571832</v>
      </c>
      <c r="T67" s="13">
        <v>33928.560733224956</v>
      </c>
      <c r="U67" s="13">
        <v>38169.63082487807</v>
      </c>
      <c r="V67" s="13">
        <v>42410.700916531205</v>
      </c>
      <c r="W67" s="13">
        <v>46651.771008184311</v>
      </c>
      <c r="X67" s="13">
        <v>50892.841099837431</v>
      </c>
      <c r="Y67" s="13">
        <v>55133.911191490552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1354.3559006699554</v>
      </c>
      <c r="N72" s="12">
        <v>2708.7118013399108</v>
      </c>
      <c r="O72" s="12">
        <v>4063.0677020098656</v>
      </c>
      <c r="P72" s="12">
        <v>5417.4236026798217</v>
      </c>
      <c r="Q72" s="12">
        <v>7448.957453684754</v>
      </c>
      <c r="R72" s="12">
        <v>8938.7489444217044</v>
      </c>
      <c r="S72" s="12">
        <v>25612.940435158664</v>
      </c>
      <c r="T72" s="12">
        <v>42287.131925895606</v>
      </c>
      <c r="U72" s="12">
        <v>43776.923416632562</v>
      </c>
      <c r="V72" s="12">
        <v>45266.714907369511</v>
      </c>
      <c r="W72" s="12">
        <v>46756.50639810646</v>
      </c>
      <c r="X72" s="12">
        <v>48246.297888843415</v>
      </c>
      <c r="Y72" s="12">
        <v>49736.089379580364</v>
      </c>
      <c r="Z72" s="12">
        <v>51225.880870317327</v>
      </c>
      <c r="AA72" s="12">
        <v>51225.880870317327</v>
      </c>
      <c r="AB72" s="12">
        <v>51225.880870317327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2763.1878776340445</v>
      </c>
      <c r="N75" s="74">
        <v>5526.3757552680891</v>
      </c>
      <c r="O75" s="74">
        <v>8289.5636329021327</v>
      </c>
      <c r="P75" s="74">
        <v>11052.751510536178</v>
      </c>
      <c r="Q75" s="74">
        <v>13756.393004580848</v>
      </c>
      <c r="R75" s="74">
        <v>16507.671605497009</v>
      </c>
      <c r="S75" s="74">
        <v>4074.5502064131688</v>
      </c>
      <c r="T75" s="74">
        <v>-8358.5711926706499</v>
      </c>
      <c r="U75" s="74">
        <v>-5607.2925917544926</v>
      </c>
      <c r="V75" s="74">
        <v>-2856.0139908383062</v>
      </c>
      <c r="W75" s="74">
        <v>-104.7353899221489</v>
      </c>
      <c r="X75" s="74">
        <v>2646.5432109940157</v>
      </c>
      <c r="Y75" s="74">
        <v>5397.8218119101875</v>
      </c>
      <c r="Z75" s="74">
        <v>8149.1004128263376</v>
      </c>
      <c r="AA75" s="74">
        <v>8149.1004128263376</v>
      </c>
      <c r="AB75" s="74">
        <v>8149.1004128263376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2B7E-A966-4FA8-9CEA-4F43683B12C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70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1</v>
      </c>
      <c r="O1" s="69">
        <v>3</v>
      </c>
      <c r="P1" s="69">
        <v>5</v>
      </c>
      <c r="Q1" s="69">
        <v>6</v>
      </c>
      <c r="R1" s="69">
        <v>8</v>
      </c>
      <c r="S1" s="69">
        <v>10</v>
      </c>
      <c r="T1" s="69">
        <v>12</v>
      </c>
      <c r="U1" s="69">
        <v>13</v>
      </c>
      <c r="V1" s="69">
        <v>15</v>
      </c>
      <c r="W1" s="69">
        <v>17</v>
      </c>
      <c r="X1" s="69">
        <v>18</v>
      </c>
      <c r="Y1" s="69">
        <v>20</v>
      </c>
      <c r="Z1" s="69">
        <v>22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1.8809523809523809</v>
      </c>
      <c r="P2" s="69">
        <v>2.0476190476190474</v>
      </c>
      <c r="Q2" s="69">
        <v>2.2142857142857144</v>
      </c>
      <c r="R2" s="69">
        <v>2.3809523809523809</v>
      </c>
      <c r="S2" s="69">
        <v>2.5476190476190474</v>
      </c>
      <c r="T2" s="69">
        <v>2.7142857142857144</v>
      </c>
      <c r="U2" s="69">
        <v>2.8809523809523809</v>
      </c>
      <c r="V2" s="69">
        <v>3.0476190476190474</v>
      </c>
      <c r="W2" s="69">
        <v>3.2142857142857144</v>
      </c>
      <c r="X2" s="69">
        <v>3.3809523809523809</v>
      </c>
      <c r="Y2" s="69">
        <v>3.5476190476190474</v>
      </c>
      <c r="Z2" s="69">
        <v>3.7142857142857144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1</v>
      </c>
      <c r="O4" s="69">
        <v>4.8809523809523814</v>
      </c>
      <c r="P4" s="69">
        <v>7.0476190476190474</v>
      </c>
      <c r="Q4" s="69">
        <v>8.2142857142857153</v>
      </c>
      <c r="R4" s="69">
        <v>10.380952380952381</v>
      </c>
      <c r="S4" s="69">
        <v>12.547619047619047</v>
      </c>
      <c r="T4" s="69">
        <v>14.714285714285715</v>
      </c>
      <c r="U4" s="69">
        <v>15.880952380952381</v>
      </c>
      <c r="V4" s="69">
        <v>18.047619047619047</v>
      </c>
      <c r="W4" s="69">
        <v>20.214285714285715</v>
      </c>
      <c r="X4" s="69">
        <v>21.38095238095238</v>
      </c>
      <c r="Y4" s="69">
        <v>23.547619047619047</v>
      </c>
      <c r="Z4" s="69">
        <v>25.714285714285715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2</v>
      </c>
      <c r="O6" s="66">
        <v>4</v>
      </c>
      <c r="P6" s="66">
        <v>5</v>
      </c>
      <c r="Q6" s="66">
        <v>6</v>
      </c>
      <c r="R6" s="66">
        <v>7</v>
      </c>
      <c r="S6" s="66">
        <v>8</v>
      </c>
      <c r="T6" s="66">
        <v>9</v>
      </c>
      <c r="U6" s="66">
        <v>10</v>
      </c>
      <c r="V6" s="66">
        <v>11</v>
      </c>
      <c r="W6" s="66">
        <v>12</v>
      </c>
      <c r="X6" s="66">
        <v>13</v>
      </c>
      <c r="Y6" s="66">
        <v>14</v>
      </c>
      <c r="Z6" s="66">
        <v>15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0.46</v>
      </c>
      <c r="O7" s="108">
        <v>1.36</v>
      </c>
      <c r="P7" s="108">
        <v>2.2599999999999998</v>
      </c>
      <c r="Q7" s="108">
        <v>2.71</v>
      </c>
      <c r="R7" s="108">
        <v>3.61</v>
      </c>
      <c r="S7" s="108">
        <v>4.51</v>
      </c>
      <c r="T7" s="108">
        <v>5.42</v>
      </c>
      <c r="U7" s="108">
        <v>5.87</v>
      </c>
      <c r="V7" s="108">
        <v>6.77</v>
      </c>
      <c r="W7" s="108">
        <v>7.67</v>
      </c>
      <c r="X7" s="108">
        <v>8.1199999999999992</v>
      </c>
      <c r="Y7" s="108">
        <v>9.02</v>
      </c>
      <c r="Z7" s="108">
        <v>9.93</v>
      </c>
      <c r="AA7" s="108">
        <v>10.83</v>
      </c>
      <c r="AB7" s="108">
        <v>10.83</v>
      </c>
      <c r="AC7" s="108">
        <v>10.83</v>
      </c>
      <c r="AD7" s="108">
        <v>10.83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9.9999999999999992E-2</v>
      </c>
      <c r="O8" s="108">
        <v>0.28000000000000003</v>
      </c>
      <c r="P8" s="108">
        <v>0.46</v>
      </c>
      <c r="Q8" s="108">
        <v>0.55000000000000004</v>
      </c>
      <c r="R8" s="108">
        <v>0.73</v>
      </c>
      <c r="S8" s="108">
        <v>0.91</v>
      </c>
      <c r="T8" s="108">
        <v>1.1000000000000001</v>
      </c>
      <c r="U8" s="108">
        <v>1.19</v>
      </c>
      <c r="V8" s="108">
        <v>1.37</v>
      </c>
      <c r="W8" s="108">
        <v>1.55</v>
      </c>
      <c r="X8" s="108">
        <v>1.64</v>
      </c>
      <c r="Y8" s="108">
        <v>1.82</v>
      </c>
      <c r="Z8" s="108">
        <v>2</v>
      </c>
      <c r="AA8" s="108">
        <v>2.19</v>
      </c>
      <c r="AB8" s="108">
        <v>2.19</v>
      </c>
      <c r="AC8" s="108">
        <v>2.19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0.15000000000000002</v>
      </c>
      <c r="P12" s="108">
        <v>0.16</v>
      </c>
      <c r="Q12" s="108">
        <v>0.18000000000000002</v>
      </c>
      <c r="R12" s="108">
        <v>0.19</v>
      </c>
      <c r="S12" s="108">
        <v>0.2</v>
      </c>
      <c r="T12" s="108">
        <v>0.21000000000000002</v>
      </c>
      <c r="U12" s="108">
        <v>0.23</v>
      </c>
      <c r="V12" s="108">
        <v>0.24000000000000002</v>
      </c>
      <c r="W12" s="108">
        <v>0.25</v>
      </c>
      <c r="X12" s="108">
        <v>0.27</v>
      </c>
      <c r="Y12" s="108">
        <v>0.28000000000000003</v>
      </c>
      <c r="Z12" s="108">
        <v>0.29000000000000004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0.01</v>
      </c>
      <c r="O13" s="108">
        <v>0.21000000000000002</v>
      </c>
      <c r="P13" s="108">
        <v>0.24000000000000002</v>
      </c>
      <c r="Q13" s="108">
        <v>0.26</v>
      </c>
      <c r="R13" s="108">
        <v>0.29000000000000004</v>
      </c>
      <c r="S13" s="108">
        <v>0.31</v>
      </c>
      <c r="T13" s="108">
        <v>0.34</v>
      </c>
      <c r="U13" s="108">
        <v>0.36</v>
      </c>
      <c r="V13" s="108">
        <v>0.39</v>
      </c>
      <c r="W13" s="108">
        <v>0.42</v>
      </c>
      <c r="X13" s="108">
        <v>0.44</v>
      </c>
      <c r="Y13" s="108">
        <v>0.47000000000000003</v>
      </c>
      <c r="Z13" s="108">
        <v>0.5</v>
      </c>
      <c r="AA13" s="108">
        <v>0.34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0.01</v>
      </c>
      <c r="O14" s="108">
        <v>0.12</v>
      </c>
      <c r="P14" s="108">
        <v>0.13</v>
      </c>
      <c r="Q14" s="108">
        <v>0.15000000000000002</v>
      </c>
      <c r="R14" s="108">
        <v>0.17</v>
      </c>
      <c r="S14" s="108">
        <v>0.19</v>
      </c>
      <c r="T14" s="108">
        <v>0.21000000000000002</v>
      </c>
      <c r="U14" s="108">
        <v>0.22</v>
      </c>
      <c r="V14" s="108">
        <v>0.24000000000000002</v>
      </c>
      <c r="W14" s="108">
        <v>0.26</v>
      </c>
      <c r="X14" s="108">
        <v>0.27</v>
      </c>
      <c r="Y14" s="108">
        <v>0.29000000000000004</v>
      </c>
      <c r="Z14" s="108">
        <v>0.31</v>
      </c>
      <c r="AA14" s="108">
        <v>0.24000000000000002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0.01</v>
      </c>
      <c r="O15" s="108">
        <v>0.02</v>
      </c>
      <c r="P15" s="108">
        <v>0.02</v>
      </c>
      <c r="Q15" s="108">
        <v>0.03</v>
      </c>
      <c r="R15" s="108">
        <v>0.04</v>
      </c>
      <c r="S15" s="108">
        <v>0.04</v>
      </c>
      <c r="T15" s="108">
        <v>0.05</v>
      </c>
      <c r="U15" s="108">
        <v>6.0000000000000005E-2</v>
      </c>
      <c r="V15" s="108">
        <v>0.06</v>
      </c>
      <c r="W15" s="108">
        <v>6.9999999999999993E-2</v>
      </c>
      <c r="X15" s="108">
        <v>0.08</v>
      </c>
      <c r="Y15" s="108">
        <v>0.08</v>
      </c>
      <c r="Z15" s="108">
        <v>0.09</v>
      </c>
      <c r="AA15" s="108">
        <v>9.9999999999999992E-2</v>
      </c>
      <c r="AB15" s="108">
        <v>9.9999999999999992E-2</v>
      </c>
      <c r="AC15" s="108">
        <v>9.9999999999999992E-2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0.01</v>
      </c>
      <c r="O16" s="108">
        <v>0.02</v>
      </c>
      <c r="P16" s="108">
        <v>0.02</v>
      </c>
      <c r="Q16" s="108">
        <v>0.03</v>
      </c>
      <c r="R16" s="108">
        <v>0.04</v>
      </c>
      <c r="S16" s="108">
        <v>0.04</v>
      </c>
      <c r="T16" s="108">
        <v>0.05</v>
      </c>
      <c r="U16" s="108">
        <v>6.0000000000000005E-2</v>
      </c>
      <c r="V16" s="108">
        <v>0.06</v>
      </c>
      <c r="W16" s="108">
        <v>6.9999999999999993E-2</v>
      </c>
      <c r="X16" s="108">
        <v>0.08</v>
      </c>
      <c r="Y16" s="108">
        <v>0.08</v>
      </c>
      <c r="Z16" s="108">
        <v>0.09</v>
      </c>
      <c r="AA16" s="108">
        <v>9.9999999999999992E-2</v>
      </c>
      <c r="AB16" s="108">
        <v>9.9999999999999992E-2</v>
      </c>
      <c r="AC16" s="108">
        <v>9.9999999999999992E-2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1</v>
      </c>
      <c r="O21" s="120">
        <v>2</v>
      </c>
      <c r="P21" s="120">
        <v>3</v>
      </c>
      <c r="Q21" s="120">
        <v>3</v>
      </c>
      <c r="R21" s="120">
        <v>4</v>
      </c>
      <c r="S21" s="120">
        <v>5</v>
      </c>
      <c r="T21" s="120">
        <v>7</v>
      </c>
      <c r="U21" s="120">
        <v>7</v>
      </c>
      <c r="V21" s="120">
        <v>8</v>
      </c>
      <c r="W21" s="120">
        <v>9</v>
      </c>
      <c r="X21" s="120">
        <v>10</v>
      </c>
      <c r="Y21" s="120">
        <v>11</v>
      </c>
      <c r="Z21" s="120">
        <v>12</v>
      </c>
      <c r="AA21" s="120">
        <v>13</v>
      </c>
      <c r="AB21" s="120">
        <v>13</v>
      </c>
      <c r="AC21" s="120">
        <v>13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169.4730113636364</v>
      </c>
      <c r="O22" s="78">
        <v>169.47301136363637</v>
      </c>
      <c r="P22" s="78">
        <v>169.47301136363637</v>
      </c>
      <c r="Q22" s="78">
        <v>174.55720170454543</v>
      </c>
      <c r="R22" s="78">
        <v>174.55720170454555</v>
      </c>
      <c r="S22" s="78">
        <v>174.55720170454541</v>
      </c>
      <c r="T22" s="78">
        <v>174.55720170454543</v>
      </c>
      <c r="U22" s="78">
        <v>174.55720170454546</v>
      </c>
      <c r="V22" s="78">
        <v>174.55720170454546</v>
      </c>
      <c r="W22" s="78">
        <v>174.55720170454549</v>
      </c>
      <c r="X22" s="78">
        <v>174.55720170454549</v>
      </c>
      <c r="Y22" s="78">
        <v>174.55720170454541</v>
      </c>
      <c r="Z22" s="78">
        <v>174.55720170454541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51.626666666666658</v>
      </c>
      <c r="O23" s="52">
        <v>154.88</v>
      </c>
      <c r="P23" s="52">
        <v>258.13333333333333</v>
      </c>
      <c r="Q23" s="52">
        <v>309.76</v>
      </c>
      <c r="R23" s="52">
        <v>413.01333333333326</v>
      </c>
      <c r="S23" s="52">
        <v>516.26666666666665</v>
      </c>
      <c r="T23" s="52">
        <v>619.52</v>
      </c>
      <c r="U23" s="52">
        <v>671.14666666666665</v>
      </c>
      <c r="V23" s="52">
        <v>774.39999999999986</v>
      </c>
      <c r="W23" s="52">
        <v>877.65333333333331</v>
      </c>
      <c r="X23" s="52">
        <v>929.27999999999986</v>
      </c>
      <c r="Y23" s="52">
        <v>1032.5333333333333</v>
      </c>
      <c r="Z23" s="52">
        <v>1135.7866666666666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7916.5233333333326</v>
      </c>
      <c r="O26" s="12">
        <v>23749.57</v>
      </c>
      <c r="P26" s="12">
        <v>39582.616666666661</v>
      </c>
      <c r="Q26" s="12">
        <v>48924.114199999996</v>
      </c>
      <c r="R26" s="12">
        <v>65232.152266666664</v>
      </c>
      <c r="S26" s="12">
        <v>81540.190333333318</v>
      </c>
      <c r="T26" s="12">
        <v>97848.228399999993</v>
      </c>
      <c r="U26" s="12">
        <v>106002.24743333334</v>
      </c>
      <c r="V26" s="12">
        <v>122310.28549999998</v>
      </c>
      <c r="W26" s="12">
        <v>138618.32356666666</v>
      </c>
      <c r="X26" s="12">
        <v>146772.3426</v>
      </c>
      <c r="Y26" s="12">
        <v>163080.38066666664</v>
      </c>
      <c r="Z26" s="12">
        <v>179388.4187333333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1055.1969999999997</v>
      </c>
      <c r="O28" s="12">
        <v>3165.590999999999</v>
      </c>
      <c r="P28" s="12">
        <v>5275.9849999999979</v>
      </c>
      <c r="Q28" s="12">
        <v>6521.1174599999977</v>
      </c>
      <c r="R28" s="12">
        <v>8694.8232799999987</v>
      </c>
      <c r="S28" s="12">
        <v>10868.529099999996</v>
      </c>
      <c r="T28" s="12">
        <v>13042.234919999995</v>
      </c>
      <c r="U28" s="12">
        <v>14129.087829999997</v>
      </c>
      <c r="V28" s="12">
        <v>16302.793649999996</v>
      </c>
      <c r="W28" s="12">
        <v>18476.499469999999</v>
      </c>
      <c r="X28" s="12">
        <v>19563.352379999993</v>
      </c>
      <c r="Y28" s="12">
        <v>21737.058199999992</v>
      </c>
      <c r="Z28" s="12">
        <v>23910.764019999991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162.33799999999999</v>
      </c>
      <c r="O29" s="12">
        <v>487.01399999999995</v>
      </c>
      <c r="P29" s="12">
        <v>811.68999999999994</v>
      </c>
      <c r="Q29" s="12">
        <v>1003.24884</v>
      </c>
      <c r="R29" s="12">
        <v>1337.6651199999999</v>
      </c>
      <c r="S29" s="12">
        <v>1672.0814</v>
      </c>
      <c r="T29" s="12">
        <v>2006.4976799999999</v>
      </c>
      <c r="U29" s="12">
        <v>2173.7058200000001</v>
      </c>
      <c r="V29" s="12">
        <v>2508.1221</v>
      </c>
      <c r="W29" s="12">
        <v>2842.5383799999995</v>
      </c>
      <c r="X29" s="12">
        <v>3009.7465200000001</v>
      </c>
      <c r="Y29" s="12">
        <v>3344.1628000000001</v>
      </c>
      <c r="Z29" s="12">
        <v>3678.5790799999995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211.8133333333333</v>
      </c>
      <c r="O30" s="12">
        <v>635.43999999999994</v>
      </c>
      <c r="P30" s="12">
        <v>1059.0666666666666</v>
      </c>
      <c r="Q30" s="12">
        <v>1309.0063999999998</v>
      </c>
      <c r="R30" s="12">
        <v>1745.3418666666664</v>
      </c>
      <c r="S30" s="12">
        <v>2181.6773333333331</v>
      </c>
      <c r="T30" s="12">
        <v>2618.0127999999995</v>
      </c>
      <c r="U30" s="12">
        <v>2836.1805333333332</v>
      </c>
      <c r="V30" s="12">
        <v>3272.5159999999996</v>
      </c>
      <c r="W30" s="12">
        <v>3708.8514666666661</v>
      </c>
      <c r="X30" s="12">
        <v>3927.0191999999997</v>
      </c>
      <c r="Y30" s="12">
        <v>4363.3546666666662</v>
      </c>
      <c r="Z30" s="12">
        <v>4799.6901333333326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-1121.5046</v>
      </c>
      <c r="O35" s="12">
        <v>-3364.5137999999997</v>
      </c>
      <c r="P35" s="12">
        <v>-5607.5229999999992</v>
      </c>
      <c r="Q35" s="12">
        <v>-6930.8984279999986</v>
      </c>
      <c r="R35" s="12">
        <v>-9241.1979040000006</v>
      </c>
      <c r="S35" s="12">
        <v>-11551.497379999997</v>
      </c>
      <c r="T35" s="12">
        <v>-13861.796855999997</v>
      </c>
      <c r="U35" s="12">
        <v>-15016.946594000001</v>
      </c>
      <c r="V35" s="12">
        <v>-17327.246069999997</v>
      </c>
      <c r="W35" s="12">
        <v>-19637.545546000001</v>
      </c>
      <c r="X35" s="12">
        <v>-20792.695283999998</v>
      </c>
      <c r="Y35" s="12">
        <v>-23102.994759999994</v>
      </c>
      <c r="Z35" s="12">
        <v>-25413.294235999994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8224.3670666666658</v>
      </c>
      <c r="O37" s="13">
        <v>24673.101199999997</v>
      </c>
      <c r="P37" s="13">
        <v>41121.835333333329</v>
      </c>
      <c r="Q37" s="13">
        <v>50826.588471999989</v>
      </c>
      <c r="R37" s="13">
        <v>67768.784629333342</v>
      </c>
      <c r="S37" s="13">
        <v>84710.980786666638</v>
      </c>
      <c r="T37" s="13">
        <v>101653.17694399998</v>
      </c>
      <c r="U37" s="13">
        <v>110124.27502266667</v>
      </c>
      <c r="V37" s="13">
        <v>127066.47117999999</v>
      </c>
      <c r="W37" s="13">
        <v>144008.66733733335</v>
      </c>
      <c r="X37" s="13">
        <v>152479.76541600001</v>
      </c>
      <c r="Y37" s="13">
        <v>169421.96157333328</v>
      </c>
      <c r="Z37" s="13">
        <v>186364.15773066663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12012.392971067167</v>
      </c>
      <c r="O40" s="12">
        <v>25667.803902090389</v>
      </c>
      <c r="P40" s="12">
        <v>29810.248166446938</v>
      </c>
      <c r="Q40" s="12">
        <v>35591.182328487739</v>
      </c>
      <c r="R40" s="12">
        <v>40441.351019279944</v>
      </c>
      <c r="S40" s="12">
        <v>45001.229710072163</v>
      </c>
      <c r="T40" s="12">
        <v>49981.624656975473</v>
      </c>
      <c r="U40" s="12">
        <v>52711.354002371576</v>
      </c>
      <c r="V40" s="12">
        <v>57338.222693163792</v>
      </c>
      <c r="W40" s="12">
        <v>62188.391383956012</v>
      </c>
      <c r="X40" s="12">
        <v>64918.120729352093</v>
      </c>
      <c r="Y40" s="12">
        <v>69544.989420144324</v>
      </c>
      <c r="Z40" s="12">
        <v>74420.646033714307</v>
      </c>
      <c r="AA40" s="12">
        <v>75982.456391173182</v>
      </c>
      <c r="AB40" s="12">
        <v>75982.456391173182</v>
      </c>
      <c r="AC40" s="12">
        <v>83580.702030290515</v>
      </c>
      <c r="AD40" s="12">
        <v>83580.702030290515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350.41759999999999</v>
      </c>
      <c r="O44" s="12">
        <v>849.08879999999999</v>
      </c>
      <c r="P44" s="12">
        <v>865.93580000000009</v>
      </c>
      <c r="Q44" s="12">
        <v>928.60663999999997</v>
      </c>
      <c r="R44" s="12">
        <v>956.64004799999998</v>
      </c>
      <c r="S44" s="12">
        <v>974.16092800000001</v>
      </c>
      <c r="T44" s="12">
        <v>1002.1943359999998</v>
      </c>
      <c r="U44" s="12">
        <v>1026.7235680000001</v>
      </c>
      <c r="V44" s="12">
        <v>1047.7486240000003</v>
      </c>
      <c r="W44" s="12">
        <v>1075.7820319999998</v>
      </c>
      <c r="X44" s="12">
        <v>1100.3112639999999</v>
      </c>
      <c r="Y44" s="12">
        <v>1121.3363200000001</v>
      </c>
      <c r="Z44" s="12">
        <v>1149.3697279999999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2160</v>
      </c>
      <c r="O46" s="12">
        <v>3439.9999999999995</v>
      </c>
      <c r="P46" s="12">
        <v>4004.9999999999995</v>
      </c>
      <c r="Q46" s="12">
        <v>4401.3</v>
      </c>
      <c r="R46" s="12">
        <v>4992.9000000000005</v>
      </c>
      <c r="S46" s="12">
        <v>5569.1999999999989</v>
      </c>
      <c r="T46" s="12">
        <v>6171.0000000000009</v>
      </c>
      <c r="U46" s="12">
        <v>6482.1000000000013</v>
      </c>
      <c r="V46" s="12">
        <v>7063.5000000000009</v>
      </c>
      <c r="W46" s="12">
        <v>7655.1</v>
      </c>
      <c r="X46" s="12">
        <v>7966.1999999999989</v>
      </c>
      <c r="Y46" s="12">
        <v>8547.6</v>
      </c>
      <c r="Z46" s="12">
        <v>9144.2999999999993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1023.1117292683361</v>
      </c>
      <c r="O49" s="12">
        <f>'Corp.'!O$50*(O$37-(O31-O32-O34)*$C$35)/(SUM('MDA1:NCA9'!O$37)-SUM('MDA1:NCA9'!O$31)-SUM('MDA1:NCA9'!O$32)-SUM('MDA1:NCA9'!O$34))</f>
        <v>2880.0993826839544</v>
      </c>
      <c r="P49" s="12">
        <f>'Corp.'!P$50*(P$37-(P31-P32-P34)*$C$35)/(SUM('MDA1:NCA9'!P$37)-SUM('MDA1:NCA9'!P$31)-SUM('MDA1:NCA9'!P$32)-SUM('MDA1:NCA9'!P$34))</f>
        <v>4541.8074778996242</v>
      </c>
      <c r="Q49" s="12">
        <f>'Corp.'!Q$50*(Q$37-(Q31-Q32-Q34)*$C$35)/(SUM('MDA1:NCA9'!Q$37)-SUM('MDA1:NCA9'!Q$31)-SUM('MDA1:NCA9'!Q$32)-SUM('MDA1:NCA9'!Q$34))</f>
        <v>5696.8537220995786</v>
      </c>
      <c r="R49" s="12">
        <f>'Corp.'!R$50*(R$37-(R31-R32-R34)*$C$35)/(SUM('MDA1:NCA9'!R$37)-SUM('MDA1:NCA9'!R$31)-SUM('MDA1:NCA9'!R$32)-SUM('MDA1:NCA9'!R$34))</f>
        <v>7322.6315530516131</v>
      </c>
      <c r="S49" s="12">
        <f>'Corp.'!S$50*(S$37-(S31-S32-S34)*$C$35)/(SUM('MDA1:NCA9'!S$37)-SUM('MDA1:NCA9'!S$31)-SUM('MDA1:NCA9'!S$32)-SUM('MDA1:NCA9'!S$34))</f>
        <v>8775.2978565694793</v>
      </c>
      <c r="T49" s="12">
        <f>'Corp.'!T$50*(T$37-(T31-T32-T34)*$C$35)/(SUM('MDA1:NCA9'!T$37)-SUM('MDA1:NCA9'!T$31)-SUM('MDA1:NCA9'!T$32)-SUM('MDA1:NCA9'!T$34))</f>
        <v>10147.884996361208</v>
      </c>
      <c r="U49" s="12">
        <f>'Corp.'!U$50*(U$37-(U31-U32-U34)*$C$35)/(SUM('MDA1:NCA9'!U$37)-SUM('MDA1:NCA9'!U$31)-SUM('MDA1:NCA9'!U$32)-SUM('MDA1:NCA9'!U$34))</f>
        <v>10710.802433671217</v>
      </c>
      <c r="V49" s="12">
        <f>'Corp.'!V$50*(V$37-(V31-V32-V34)*$C$35)/(SUM('MDA1:NCA9'!V$37)-SUM('MDA1:NCA9'!V$31)-SUM('MDA1:NCA9'!V$32)-SUM('MDA1:NCA9'!V$34))</f>
        <v>12093.865991289678</v>
      </c>
      <c r="W49" s="12">
        <f>'Corp.'!W$50*(W$37-(W31-W32-W34)*$C$35)/(SUM('MDA1:NCA9'!W$37)-SUM('MDA1:NCA9'!W$31)-SUM('MDA1:NCA9'!W$32)-SUM('MDA1:NCA9'!W$34))</f>
        <v>13311.888863234481</v>
      </c>
      <c r="X49" s="12">
        <f>'Corp.'!X$50*(X$37-(X31-X32-X34)*$C$35)/(SUM('MDA1:NCA9'!X$37)-SUM('MDA1:NCA9'!X$31)-SUM('MDA1:NCA9'!X$32)-SUM('MDA1:NCA9'!X$34))</f>
        <v>13676.021787252415</v>
      </c>
      <c r="Y49" s="12">
        <f>'Corp.'!Y$50*(Y$37-(Y31-Y32-Y34)*$C$35)/(SUM('MDA1:NCA9'!Y$37)-SUM('MDA1:NCA9'!Y$31)-SUM('MDA1:NCA9'!Y$32)-SUM('MDA1:NCA9'!Y$34))</f>
        <v>14893.98626553668</v>
      </c>
      <c r="Z49" s="12">
        <f>'Corp.'!Z$50*(Z$37-(Z31-Z32-Z34)*$C$35)/(SUM('MDA1:NCA9'!Z$37)-SUM('MDA1:NCA9'!Z$31)-SUM('MDA1:NCA9'!Z$32)-SUM('MDA1:NCA9'!Z$34))</f>
        <v>16051.448399912795</v>
      </c>
      <c r="AA49" s="12">
        <f>'Corp.'!AA$50*(AA$37-(AA31-AA32-AA34)*$C$35)/(SUM('MDA1:NCA9'!AA$37)-SUM('MDA1:NCA9'!AA$31)-SUM('MDA1:NCA9'!AA$32)-SUM('MDA1:NCA9'!AA$34))</f>
        <v>17135.11496395936</v>
      </c>
      <c r="AB49" s="12">
        <f>'Corp.'!AB$50*(AB$37-(AB31-AB32-AB34)*$C$35)/(SUM('MDA1:NCA9'!AB$37)-SUM('MDA1:NCA9'!AB$31)-SUM('MDA1:NCA9'!AB$32)-SUM('MDA1:NCA9'!AB$34))</f>
        <v>16768.03024881435</v>
      </c>
      <c r="AC49" s="12">
        <f>'Corp.'!AC$50*(AC$37-(AC31-AC32-AC34)*$C$35)/(SUM('MDA1:NCA9'!AC$37)-SUM('MDA1:NCA9'!AC$31)-SUM('MDA1:NCA9'!AC$32)-SUM('MDA1:NCA9'!AC$34))</f>
        <v>18145.319955040359</v>
      </c>
      <c r="AD49" s="12">
        <f>'Corp.'!AD$50*(AD$37-(AD31-AD32-AD34)*$C$35)/(SUM('MDA1:NCA9'!AD$37)-SUM('MDA1:NCA9'!AD$31)-SUM('MDA1:NCA9'!AD$32)-SUM('MDA1:NCA9'!AD$34))</f>
        <v>17866.715187854588</v>
      </c>
      <c r="AE49" s="12">
        <f>'Corp.'!AE$50*(AE$37-(AE31-AE32-AE34)*$C$35)/(SUM('MDA1:NCA9'!AE$37)-SUM('MDA1:NCA9'!AE$31)-SUM('MDA1:NCA9'!AE$32)-SUM('MDA1:NCA9'!AE$34))</f>
        <v>17602.956190031058</v>
      </c>
      <c r="AF49" s="12">
        <f>'Corp.'!AF$50*(AF$37-(AF31-AF32-AF34)*$C$35)/(SUM('MDA1:NCA9'!AF$37)-SUM('MDA1:NCA9'!AF$31)-SUM('MDA1:NCA9'!AF$32)-SUM('MDA1:NCA9'!AF$34))</f>
        <v>17354.927810904559</v>
      </c>
      <c r="AG49" s="12">
        <f>'Corp.'!AG$50*(AG$37-(AG31-AG32-AG34)*$C$35)/(SUM('MDA1:NCA9'!AG$37)-SUM('MDA1:NCA9'!AG$31)-SUM('MDA1:NCA9'!AG$32)-SUM('MDA1:NCA9'!AG$34))</f>
        <v>17157.408661271958</v>
      </c>
      <c r="AH49" s="12">
        <f>'Corp.'!AH$50*(AH$37-(AH31-AH32-AH34)*$C$35)/(SUM('MDA1:NCA9'!AH$37)-SUM('MDA1:NCA9'!AH$31)-SUM('MDA1:NCA9'!AH$32)-SUM('MDA1:NCA9'!AH$34))</f>
        <v>16895.54788351875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15195.504700335503</v>
      </c>
      <c r="O50" s="13">
        <v>31987.903284774344</v>
      </c>
      <c r="P50" s="13">
        <v>38357.055644346561</v>
      </c>
      <c r="Q50" s="13">
        <v>45689.336050587321</v>
      </c>
      <c r="R50" s="13">
        <v>52756.88257233156</v>
      </c>
      <c r="S50" s="13">
        <v>59345.727566641639</v>
      </c>
      <c r="T50" s="13">
        <v>66300.509653336689</v>
      </c>
      <c r="U50" s="13">
        <v>69904.256436042793</v>
      </c>
      <c r="V50" s="13">
        <v>76495.588684453469</v>
      </c>
      <c r="W50" s="13">
        <v>83155.380247190493</v>
      </c>
      <c r="X50" s="13">
        <v>86560.34251660452</v>
      </c>
      <c r="Y50" s="13">
        <v>92986.575685681004</v>
      </c>
      <c r="Z50" s="13">
        <v>99616.394433627109</v>
      </c>
      <c r="AA50" s="13">
        <v>102644.37135513255</v>
      </c>
      <c r="AB50" s="13">
        <v>102277.28663998753</v>
      </c>
      <c r="AC50" s="13">
        <v>111443.35798533086</v>
      </c>
      <c r="AD50" s="13">
        <v>111164.7532181451</v>
      </c>
      <c r="AE50" s="13">
        <v>110900.99422032156</v>
      </c>
      <c r="AF50" s="13">
        <v>110652.96584119507</v>
      </c>
      <c r="AG50" s="13">
        <v>110455.44669156247</v>
      </c>
      <c r="AH50" s="13">
        <v>110193.58591380926</v>
      </c>
      <c r="AI50" s="13">
        <v>109922.09797539872</v>
      </c>
      <c r="AJ50" s="13">
        <v>109641.83328582086</v>
      </c>
      <c r="AK50" s="13">
        <v>109382.95349925548</v>
      </c>
      <c r="AL50" s="13">
        <v>109144.99108569178</v>
      </c>
      <c r="AM50" s="13">
        <v>108888.41793824645</v>
      </c>
      <c r="AN50" s="13">
        <v>108670.04897950584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-6971.1376336688372</v>
      </c>
      <c r="O52" s="74">
        <f t="shared" si="0"/>
        <v>-7314.8020847743464</v>
      </c>
      <c r="P52" s="74">
        <f t="shared" si="0"/>
        <v>2764.7796889867677</v>
      </c>
      <c r="Q52" s="74">
        <f t="shared" si="0"/>
        <v>5137.2524214126679</v>
      </c>
      <c r="R52" s="74">
        <f t="shared" si="0"/>
        <v>15011.902057001782</v>
      </c>
      <c r="S52" s="74">
        <f t="shared" si="0"/>
        <v>25365.253220024999</v>
      </c>
      <c r="T52" s="74">
        <f t="shared" si="0"/>
        <v>35352.667290663288</v>
      </c>
      <c r="U52" s="74">
        <f t="shared" si="0"/>
        <v>40220.018586623875</v>
      </c>
      <c r="V52" s="74">
        <f t="shared" si="0"/>
        <v>50570.882495546524</v>
      </c>
      <c r="W52" s="74">
        <f t="shared" si="0"/>
        <v>60853.287090142854</v>
      </c>
      <c r="X52" s="74">
        <f t="shared" si="0"/>
        <v>65919.422899395489</v>
      </c>
      <c r="Y52" s="74">
        <f t="shared" si="0"/>
        <v>76435.385887652272</v>
      </c>
      <c r="Z52" s="74">
        <f t="shared" si="0"/>
        <v>86747.763297039521</v>
      </c>
      <c r="AA52" s="74">
        <f t="shared" si="0"/>
        <v>100661.98253286741</v>
      </c>
      <c r="AB52" s="74">
        <f t="shared" si="0"/>
        <v>101029.06724801242</v>
      </c>
      <c r="AC52" s="74">
        <f t="shared" si="0"/>
        <v>91862.995902669092</v>
      </c>
      <c r="AD52" s="74">
        <f t="shared" si="0"/>
        <v>92141.600669854859</v>
      </c>
      <c r="AE52" s="74">
        <f t="shared" si="0"/>
        <v>92405.359667678393</v>
      </c>
      <c r="AF52" s="74">
        <f t="shared" si="0"/>
        <v>92653.388046804888</v>
      </c>
      <c r="AG52" s="74">
        <f t="shared" si="0"/>
        <v>92850.907196437489</v>
      </c>
      <c r="AH52" s="74">
        <f t="shared" si="0"/>
        <v>93112.76797419069</v>
      </c>
      <c r="AI52" s="74">
        <f t="shared" si="0"/>
        <v>93384.255912601235</v>
      </c>
      <c r="AJ52" s="74">
        <f t="shared" si="0"/>
        <v>93664.520602179095</v>
      </c>
      <c r="AK52" s="74">
        <f t="shared" si="0"/>
        <v>93923.400388744471</v>
      </c>
      <c r="AL52" s="74">
        <f t="shared" si="0"/>
        <v>94161.362802308169</v>
      </c>
      <c r="AM52" s="74">
        <f t="shared" si="0"/>
        <v>94417.935949753504</v>
      </c>
      <c r="AN52" s="74">
        <f t="shared" si="0"/>
        <v>94636.304908494116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>
        <f t="shared" si="1"/>
        <v>-0.84761995387132416</v>
      </c>
      <c r="O53" s="107">
        <f t="shared" si="1"/>
        <v>-0.29646869380061341</v>
      </c>
      <c r="P53" s="107">
        <f t="shared" si="1"/>
        <v>6.7233859252036815E-2</v>
      </c>
      <c r="Q53" s="107">
        <f t="shared" si="1"/>
        <v>0.10107411447145906</v>
      </c>
      <c r="R53" s="107">
        <f t="shared" si="1"/>
        <v>0.22151647161905813</v>
      </c>
      <c r="S53" s="107">
        <f t="shared" si="1"/>
        <v>0.2994328832516297</v>
      </c>
      <c r="T53" s="107">
        <f t="shared" si="1"/>
        <v>0.34777729878662644</v>
      </c>
      <c r="U53" s="107">
        <f t="shared" si="1"/>
        <v>0.36522391251470637</v>
      </c>
      <c r="V53" s="107">
        <f t="shared" si="1"/>
        <v>0.39798762038420626</v>
      </c>
      <c r="W53" s="107">
        <f t="shared" si="1"/>
        <v>0.42256683722790772</v>
      </c>
      <c r="X53" s="107">
        <f t="shared" si="1"/>
        <v>0.43231587299175128</v>
      </c>
      <c r="Y53" s="107">
        <f t="shared" si="1"/>
        <v>0.45115394236872697</v>
      </c>
      <c r="Z53" s="107">
        <f t="shared" si="1"/>
        <v>0.46547450085550968</v>
      </c>
      <c r="AA53" s="107">
        <f t="shared" si="1"/>
        <v>0.49512462649505479</v>
      </c>
      <c r="AB53" s="107">
        <f t="shared" si="1"/>
        <v>0.49693020073375876</v>
      </c>
      <c r="AC53" s="107">
        <f t="shared" si="1"/>
        <v>0.45184517918842698</v>
      </c>
      <c r="AD53" s="107">
        <f t="shared" si="1"/>
        <v>0.45321554839655931</v>
      </c>
      <c r="AE53" s="107">
        <f t="shared" si="1"/>
        <v>0.45451289593528327</v>
      </c>
      <c r="AF53" s="107">
        <f t="shared" si="1"/>
        <v>0.45573286950907099</v>
      </c>
      <c r="AG53" s="107">
        <f t="shared" si="1"/>
        <v>0.45670440407183932</v>
      </c>
      <c r="AH53" s="107">
        <f t="shared" si="1"/>
        <v>0.45799241486316683</v>
      </c>
      <c r="AI53" s="107">
        <f t="shared" si="1"/>
        <v>0.45932777862931901</v>
      </c>
      <c r="AJ53" s="107">
        <f t="shared" si="1"/>
        <v>0.46070631247353055</v>
      </c>
      <c r="AK53" s="107">
        <f t="shared" si="1"/>
        <v>0.46197966070694579</v>
      </c>
      <c r="AL53" s="107">
        <f t="shared" si="1"/>
        <v>0.46315012296261532</v>
      </c>
      <c r="AM53" s="107">
        <f t="shared" si="1"/>
        <v>0.46441212556380645</v>
      </c>
      <c r="AN53" s="107">
        <f t="shared" si="1"/>
        <v>0.4654862137787813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-6971.1376336688372</v>
      </c>
      <c r="O58" s="13">
        <f t="shared" si="2"/>
        <v>-7314.8020847743464</v>
      </c>
      <c r="P58" s="13">
        <f t="shared" si="2"/>
        <v>2764.7796889867677</v>
      </c>
      <c r="Q58" s="13">
        <f t="shared" si="2"/>
        <v>5137.2524214126679</v>
      </c>
      <c r="R58" s="13">
        <f t="shared" si="2"/>
        <v>15011.902057001782</v>
      </c>
      <c r="S58" s="13">
        <f t="shared" si="2"/>
        <v>24131.598160024998</v>
      </c>
      <c r="T58" s="13">
        <f t="shared" si="2"/>
        <v>31651.702110663289</v>
      </c>
      <c r="U58" s="13">
        <f t="shared" si="2"/>
        <v>34051.743286623874</v>
      </c>
      <c r="V58" s="13">
        <f t="shared" si="2"/>
        <v>42946.894224746524</v>
      </c>
      <c r="W58" s="13">
        <f t="shared" si="2"/>
        <v>50687.969395742854</v>
      </c>
      <c r="X58" s="13">
        <f t="shared" si="2"/>
        <v>53212.775781395496</v>
      </c>
      <c r="Y58" s="13">
        <f t="shared" si="2"/>
        <v>61187.409346052278</v>
      </c>
      <c r="Z58" s="13">
        <f t="shared" si="2"/>
        <v>70229.122043639523</v>
      </c>
      <c r="AA58" s="13">
        <f t="shared" si="2"/>
        <v>81602.0118558674</v>
      </c>
      <c r="AB58" s="13">
        <f t="shared" si="2"/>
        <v>79427.767147412422</v>
      </c>
      <c r="AC58" s="13">
        <f t="shared" si="2"/>
        <v>68991.031090269098</v>
      </c>
      <c r="AD58" s="13">
        <f t="shared" si="2"/>
        <v>66728.306433854872</v>
      </c>
      <c r="AE58" s="13">
        <f t="shared" si="2"/>
        <v>64450.736008078398</v>
      </c>
      <c r="AF58" s="13">
        <f t="shared" si="2"/>
        <v>62157.434963604901</v>
      </c>
      <c r="AG58" s="13">
        <f t="shared" si="2"/>
        <v>62354.954113237502</v>
      </c>
      <c r="AH58" s="13">
        <f t="shared" si="2"/>
        <v>62616.814890990703</v>
      </c>
      <c r="AI58" s="13">
        <f t="shared" si="2"/>
        <v>62888.302829401247</v>
      </c>
      <c r="AJ58" s="13">
        <f t="shared" si="2"/>
        <v>63168.567518979107</v>
      </c>
      <c r="AK58" s="13">
        <f t="shared" si="2"/>
        <v>63427.447305544483</v>
      </c>
      <c r="AL58" s="13">
        <f t="shared" si="2"/>
        <v>63665.409719108182</v>
      </c>
      <c r="AM58" s="13">
        <f t="shared" si="2"/>
        <v>63921.982866553517</v>
      </c>
      <c r="AN58" s="13">
        <f t="shared" si="2"/>
        <v>64140.351825294129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-6971.1376336688372</v>
      </c>
      <c r="O59" s="12">
        <v>-14285.939718443184</v>
      </c>
      <c r="P59" s="12">
        <v>-11521.160029456416</v>
      </c>
      <c r="Q59" s="12">
        <v>-6383.907608043748</v>
      </c>
      <c r="R59" s="12">
        <v>8627.9944489580339</v>
      </c>
      <c r="S59" s="12">
        <v>32759.592608983032</v>
      </c>
      <c r="T59" s="12">
        <v>64411.294719646321</v>
      </c>
      <c r="U59" s="12">
        <v>98463.038006270188</v>
      </c>
      <c r="V59" s="12">
        <v>141409.93223101672</v>
      </c>
      <c r="W59" s="12">
        <v>192097.90162675956</v>
      </c>
      <c r="X59" s="12">
        <v>245310.67740815505</v>
      </c>
      <c r="Y59" s="12">
        <v>306498.08675420732</v>
      </c>
      <c r="Z59" s="12">
        <v>376727.20879784686</v>
      </c>
      <c r="AA59" s="12">
        <v>458329.22065371426</v>
      </c>
      <c r="AB59" s="12">
        <v>537756.98780112667</v>
      </c>
      <c r="AC59" s="12">
        <v>606748.01889139577</v>
      </c>
      <c r="AD59" s="12">
        <v>673476.32532525063</v>
      </c>
      <c r="AE59" s="12">
        <v>737927.06133332907</v>
      </c>
      <c r="AF59" s="12">
        <v>800084.49629693397</v>
      </c>
      <c r="AG59" s="12">
        <v>862439.45041017141</v>
      </c>
      <c r="AH59" s="12">
        <v>925056.26530116214</v>
      </c>
      <c r="AI59" s="12">
        <v>987944.56813056336</v>
      </c>
      <c r="AJ59" s="12">
        <v>1051113.1356495426</v>
      </c>
      <c r="AK59" s="12">
        <v>1114540.5829550871</v>
      </c>
      <c r="AL59" s="12">
        <v>1178205.9926741952</v>
      </c>
      <c r="AM59" s="12">
        <v>1242127.9755407488</v>
      </c>
      <c r="AN59" s="12">
        <v>1306268.3273660429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1.0488449438217826E-3</v>
      </c>
      <c r="O72" s="12">
        <v>3.1465348314653478E-3</v>
      </c>
      <c r="P72" s="12">
        <v>5.2442247191089144E-3</v>
      </c>
      <c r="Q72" s="12">
        <v>6.9223766292237652E-3</v>
      </c>
      <c r="R72" s="12">
        <v>9.2298355056316863E-3</v>
      </c>
      <c r="S72" s="12">
        <v>1.153729438203961E-2</v>
      </c>
      <c r="T72" s="12">
        <v>1.384475325844753E-2</v>
      </c>
      <c r="U72" s="12">
        <v>1.499848269665149E-2</v>
      </c>
      <c r="V72" s="12">
        <v>1.7305941573059418E-2</v>
      </c>
      <c r="W72" s="12">
        <v>1.9613400449467334E-2</v>
      </c>
      <c r="X72" s="12">
        <v>2.0767129887671303E-2</v>
      </c>
      <c r="Y72" s="12">
        <v>2.307458876407922E-2</v>
      </c>
      <c r="Z72" s="12">
        <v>2.5382047640487147E-2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-1.0488449438217826E-3</v>
      </c>
      <c r="O75" s="74">
        <v>-3.1465348314653478E-3</v>
      </c>
      <c r="P75" s="74">
        <v>-5.2442247191089144E-3</v>
      </c>
      <c r="Q75" s="74">
        <v>-6.9223766292237652E-3</v>
      </c>
      <c r="R75" s="74">
        <v>-9.2298355056316863E-3</v>
      </c>
      <c r="S75" s="74">
        <v>-1.153729438203961E-2</v>
      </c>
      <c r="T75" s="74">
        <v>-1.384475325844753E-2</v>
      </c>
      <c r="U75" s="74">
        <v>-1.499848269665149E-2</v>
      </c>
      <c r="V75" s="74">
        <v>-1.7305941573059418E-2</v>
      </c>
      <c r="W75" s="74">
        <v>-1.9613400449467334E-2</v>
      </c>
      <c r="X75" s="74">
        <v>-2.0767129887671303E-2</v>
      </c>
      <c r="Y75" s="74">
        <v>-2.307458876407922E-2</v>
      </c>
      <c r="Z75" s="74">
        <v>-2.5382047640487147E-2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6593-7410-45C5-B4E3-F56621FB39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6" width="11.5703125" bestFit="1" customWidth="1"/>
    <col min="17" max="17" width="12.28515625" bestFit="1" customWidth="1"/>
    <col min="18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71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3</v>
      </c>
      <c r="L1" s="69">
        <v>6</v>
      </c>
      <c r="M1" s="69">
        <v>9</v>
      </c>
      <c r="N1" s="69">
        <v>12</v>
      </c>
      <c r="O1" s="69">
        <v>15</v>
      </c>
      <c r="P1" s="69">
        <v>18</v>
      </c>
      <c r="Q1" s="69">
        <v>21</v>
      </c>
      <c r="R1" s="69">
        <v>24</v>
      </c>
      <c r="S1" s="69">
        <v>27</v>
      </c>
      <c r="T1" s="69">
        <v>30</v>
      </c>
      <c r="U1" s="69">
        <v>33</v>
      </c>
      <c r="V1" s="69">
        <v>36</v>
      </c>
      <c r="W1" s="69">
        <v>39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3.1666666666666665</v>
      </c>
      <c r="M2" s="69">
        <v>3.3333333333333335</v>
      </c>
      <c r="N2" s="69">
        <v>3.5</v>
      </c>
      <c r="O2" s="69">
        <v>3.6666666666666665</v>
      </c>
      <c r="P2" s="69">
        <v>3.8333333333333335</v>
      </c>
      <c r="Q2" s="69">
        <v>4</v>
      </c>
      <c r="R2" s="69">
        <v>4.166666666666667</v>
      </c>
      <c r="S2" s="69">
        <v>4.333333333333333</v>
      </c>
      <c r="T2" s="69">
        <v>4.5</v>
      </c>
      <c r="U2" s="69">
        <v>4.666666666666667</v>
      </c>
      <c r="V2" s="69">
        <v>4.833333333333333</v>
      </c>
      <c r="W2" s="69">
        <v>5</v>
      </c>
      <c r="X2" s="69">
        <v>2.1666666666666665</v>
      </c>
      <c r="Y2" s="69">
        <v>2.3333333333333335</v>
      </c>
      <c r="Z2" s="69">
        <v>2.5</v>
      </c>
      <c r="AA2" s="69">
        <v>2.6666666666666665</v>
      </c>
      <c r="AB2" s="69">
        <v>2.8333333333333335</v>
      </c>
      <c r="AC2" s="69">
        <v>3</v>
      </c>
      <c r="AD2" s="69">
        <v>3.1666666666666665</v>
      </c>
      <c r="AE2" s="69">
        <v>3.3333333333333335</v>
      </c>
      <c r="AF2" s="69">
        <v>3.5</v>
      </c>
      <c r="AG2" s="69">
        <v>3.6666666666666665</v>
      </c>
      <c r="AH2" s="69">
        <v>3.8333333333333335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0.16666666666666666</v>
      </c>
      <c r="M3" s="69">
        <v>0.33333333333333331</v>
      </c>
      <c r="N3" s="69">
        <v>0.5</v>
      </c>
      <c r="O3" s="69">
        <v>0.66666666666666663</v>
      </c>
      <c r="P3" s="69">
        <v>0.83333333333333337</v>
      </c>
      <c r="Q3" s="69">
        <v>1</v>
      </c>
      <c r="R3" s="69">
        <v>1.1666666666666667</v>
      </c>
      <c r="S3" s="69">
        <v>1.3333333333333333</v>
      </c>
      <c r="T3" s="69">
        <v>1.5</v>
      </c>
      <c r="U3" s="69">
        <v>1.6666666666666667</v>
      </c>
      <c r="V3" s="69">
        <v>1.8333333333333333</v>
      </c>
      <c r="W3" s="69">
        <v>2</v>
      </c>
      <c r="X3" s="69">
        <v>2.1666666666666665</v>
      </c>
      <c r="Y3" s="69">
        <v>2.3333333333333335</v>
      </c>
      <c r="Z3" s="69">
        <v>2.5</v>
      </c>
      <c r="AA3" s="69">
        <v>2.6666666666666665</v>
      </c>
      <c r="AB3" s="69">
        <v>2.8333333333333335</v>
      </c>
      <c r="AC3" s="69">
        <v>3</v>
      </c>
      <c r="AD3" s="69">
        <v>3.1666666666666665</v>
      </c>
      <c r="AE3" s="69">
        <v>3.3333333333333335</v>
      </c>
      <c r="AF3" s="69">
        <v>3.5</v>
      </c>
      <c r="AG3" s="69">
        <v>3.6666666666666665</v>
      </c>
      <c r="AH3" s="69">
        <v>3.8333333333333335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3</v>
      </c>
      <c r="L4" s="69">
        <v>9.1666666666666661</v>
      </c>
      <c r="M4" s="69">
        <v>12.333333333333334</v>
      </c>
      <c r="N4" s="69">
        <v>15.5</v>
      </c>
      <c r="O4" s="69">
        <v>18.666666666666668</v>
      </c>
      <c r="P4" s="69">
        <v>21.833333333333332</v>
      </c>
      <c r="Q4" s="69">
        <v>25</v>
      </c>
      <c r="R4" s="69">
        <v>28.166666666666668</v>
      </c>
      <c r="S4" s="69">
        <v>31.333333333333332</v>
      </c>
      <c r="T4" s="69">
        <v>34.5</v>
      </c>
      <c r="U4" s="69">
        <v>37.666666666666664</v>
      </c>
      <c r="V4" s="69">
        <v>40.833333333333336</v>
      </c>
      <c r="W4" s="69">
        <v>44</v>
      </c>
      <c r="X4" s="69">
        <v>44.166666666666664</v>
      </c>
      <c r="Y4" s="69">
        <v>44.333333333333336</v>
      </c>
      <c r="Z4" s="69">
        <v>44.5</v>
      </c>
      <c r="AA4" s="69">
        <v>44.666666666666664</v>
      </c>
      <c r="AB4" s="69">
        <v>44.833333333333336</v>
      </c>
      <c r="AC4" s="69">
        <v>45</v>
      </c>
      <c r="AD4" s="69">
        <v>45.166666666666664</v>
      </c>
      <c r="AE4" s="69">
        <v>45.333333333333336</v>
      </c>
      <c r="AF4" s="69">
        <v>45.5</v>
      </c>
      <c r="AG4" s="69">
        <v>45.666666666666664</v>
      </c>
      <c r="AH4" s="69">
        <v>45.833333333333336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6</v>
      </c>
      <c r="L6" s="66">
        <v>11</v>
      </c>
      <c r="M6" s="66">
        <v>15</v>
      </c>
      <c r="N6" s="66">
        <v>18</v>
      </c>
      <c r="O6" s="66">
        <v>22</v>
      </c>
      <c r="P6" s="66">
        <v>26</v>
      </c>
      <c r="Q6" s="66">
        <v>29</v>
      </c>
      <c r="R6" s="66">
        <v>33</v>
      </c>
      <c r="S6" s="66">
        <v>37</v>
      </c>
      <c r="T6" s="66">
        <v>40</v>
      </c>
      <c r="U6" s="66">
        <v>44</v>
      </c>
      <c r="V6" s="66">
        <v>47</v>
      </c>
      <c r="W6" s="66">
        <v>51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2.8299999999999996</v>
      </c>
      <c r="L7" s="108">
        <v>5.6499999999999995</v>
      </c>
      <c r="M7" s="108">
        <v>8.48</v>
      </c>
      <c r="N7" s="108">
        <v>11.299999999999999</v>
      </c>
      <c r="O7" s="108">
        <v>14.12</v>
      </c>
      <c r="P7" s="108">
        <v>16.950000000000003</v>
      </c>
      <c r="Q7" s="108">
        <v>19.770000000000003</v>
      </c>
      <c r="R7" s="108">
        <v>22.59</v>
      </c>
      <c r="S7" s="108">
        <v>25.42</v>
      </c>
      <c r="T7" s="108">
        <v>28.240000000000002</v>
      </c>
      <c r="U7" s="108">
        <v>31.060000000000002</v>
      </c>
      <c r="V7" s="108">
        <v>33.89</v>
      </c>
      <c r="W7" s="108">
        <v>36.71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0.43</v>
      </c>
      <c r="L8" s="108">
        <v>0.86</v>
      </c>
      <c r="M8" s="108">
        <v>1.29</v>
      </c>
      <c r="N8" s="108">
        <v>1.72</v>
      </c>
      <c r="O8" s="108">
        <v>2.15</v>
      </c>
      <c r="P8" s="108">
        <v>2.5799999999999996</v>
      </c>
      <c r="Q8" s="108">
        <v>3</v>
      </c>
      <c r="R8" s="108">
        <v>3.4299999999999997</v>
      </c>
      <c r="S8" s="108">
        <v>3.86</v>
      </c>
      <c r="T8" s="108">
        <v>4.29</v>
      </c>
      <c r="U8" s="108">
        <v>4.72</v>
      </c>
      <c r="V8" s="108">
        <v>5.1499999999999995</v>
      </c>
      <c r="W8" s="108">
        <v>5.58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0.25</v>
      </c>
      <c r="M12" s="108">
        <v>0.26</v>
      </c>
      <c r="N12" s="108">
        <v>0.27</v>
      </c>
      <c r="O12" s="108">
        <v>0.29000000000000004</v>
      </c>
      <c r="P12" s="108">
        <v>0.3</v>
      </c>
      <c r="Q12" s="108">
        <v>0.31</v>
      </c>
      <c r="R12" s="108">
        <v>0.33</v>
      </c>
      <c r="S12" s="108">
        <v>0.34</v>
      </c>
      <c r="T12" s="108">
        <v>0.35000000000000003</v>
      </c>
      <c r="U12" s="108">
        <v>0.36</v>
      </c>
      <c r="V12" s="108">
        <v>0.38</v>
      </c>
      <c r="W12" s="108">
        <v>0.39</v>
      </c>
      <c r="X12" s="108">
        <v>0.17</v>
      </c>
      <c r="Y12" s="108">
        <v>0.18000000000000002</v>
      </c>
      <c r="Z12" s="108">
        <v>0.2</v>
      </c>
      <c r="AA12" s="108">
        <v>0.21000000000000002</v>
      </c>
      <c r="AB12" s="108">
        <v>0.22</v>
      </c>
      <c r="AC12" s="108">
        <v>0.24000000000000002</v>
      </c>
      <c r="AD12" s="108">
        <v>0.25</v>
      </c>
      <c r="AE12" s="108">
        <v>0.26</v>
      </c>
      <c r="AF12" s="108">
        <v>0.27</v>
      </c>
      <c r="AG12" s="108">
        <v>0.29000000000000004</v>
      </c>
      <c r="AH12" s="108">
        <v>0.3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0.02</v>
      </c>
      <c r="L13" s="108">
        <v>0.35000000000000003</v>
      </c>
      <c r="M13" s="108">
        <v>0.39</v>
      </c>
      <c r="N13" s="108">
        <v>0.42</v>
      </c>
      <c r="O13" s="108">
        <v>0.45</v>
      </c>
      <c r="P13" s="108">
        <v>0.49</v>
      </c>
      <c r="Q13" s="108">
        <v>0.52</v>
      </c>
      <c r="R13" s="108">
        <v>0.55000000000000004</v>
      </c>
      <c r="S13" s="108">
        <v>0.59</v>
      </c>
      <c r="T13" s="108">
        <v>0.62</v>
      </c>
      <c r="U13" s="108">
        <v>0.65</v>
      </c>
      <c r="V13" s="108">
        <v>0.69000000000000006</v>
      </c>
      <c r="W13" s="108">
        <v>0.72</v>
      </c>
      <c r="X13" s="108">
        <v>0.45</v>
      </c>
      <c r="Y13" s="108">
        <v>0.47000000000000003</v>
      </c>
      <c r="Z13" s="108">
        <v>0.49</v>
      </c>
      <c r="AA13" s="108">
        <v>0.5</v>
      </c>
      <c r="AB13" s="108">
        <v>0.52</v>
      </c>
      <c r="AC13" s="108">
        <v>0.54</v>
      </c>
      <c r="AD13" s="108">
        <v>0.55000000000000004</v>
      </c>
      <c r="AE13" s="108">
        <v>0.57000000000000006</v>
      </c>
      <c r="AF13" s="108">
        <v>0.59</v>
      </c>
      <c r="AG13" s="108">
        <v>0.6</v>
      </c>
      <c r="AH13" s="108">
        <v>0.62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0.02</v>
      </c>
      <c r="L14" s="108">
        <v>0.2</v>
      </c>
      <c r="M14" s="108">
        <v>0.22</v>
      </c>
      <c r="N14" s="108">
        <v>0.25</v>
      </c>
      <c r="O14" s="108">
        <v>0.27</v>
      </c>
      <c r="P14" s="108">
        <v>0.3</v>
      </c>
      <c r="Q14" s="108">
        <v>0.32</v>
      </c>
      <c r="R14" s="108">
        <v>0.35000000000000003</v>
      </c>
      <c r="S14" s="108">
        <v>0.37</v>
      </c>
      <c r="T14" s="108">
        <v>0.39</v>
      </c>
      <c r="U14" s="108">
        <v>0.42</v>
      </c>
      <c r="V14" s="108">
        <v>0.44</v>
      </c>
      <c r="W14" s="108">
        <v>0.47000000000000003</v>
      </c>
      <c r="X14" s="108">
        <v>0.34</v>
      </c>
      <c r="Y14" s="108">
        <v>0.35000000000000003</v>
      </c>
      <c r="Z14" s="108">
        <v>0.36</v>
      </c>
      <c r="AA14" s="108">
        <v>0.37</v>
      </c>
      <c r="AB14" s="108">
        <v>0.38</v>
      </c>
      <c r="AC14" s="108">
        <v>0.39</v>
      </c>
      <c r="AD14" s="108">
        <v>0.39</v>
      </c>
      <c r="AE14" s="108">
        <v>0.4</v>
      </c>
      <c r="AF14" s="108">
        <v>0.41000000000000003</v>
      </c>
      <c r="AG14" s="108">
        <v>0.42</v>
      </c>
      <c r="AH14" s="108">
        <v>0.43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0.02</v>
      </c>
      <c r="L15" s="108">
        <v>0.03</v>
      </c>
      <c r="M15" s="108">
        <v>0.04</v>
      </c>
      <c r="N15" s="108">
        <v>0.05</v>
      </c>
      <c r="O15" s="108">
        <v>0.06</v>
      </c>
      <c r="P15" s="108">
        <v>0.08</v>
      </c>
      <c r="Q15" s="108">
        <v>0.09</v>
      </c>
      <c r="R15" s="108">
        <v>9.9999999999999992E-2</v>
      </c>
      <c r="S15" s="108">
        <v>0.11</v>
      </c>
      <c r="T15" s="108">
        <v>0.12</v>
      </c>
      <c r="U15" s="108">
        <v>0.14000000000000001</v>
      </c>
      <c r="V15" s="108">
        <v>0.15000000000000002</v>
      </c>
      <c r="W15" s="108">
        <v>0.16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0.02</v>
      </c>
      <c r="L16" s="108">
        <v>0.03</v>
      </c>
      <c r="M16" s="108">
        <v>0.04</v>
      </c>
      <c r="N16" s="108">
        <v>0.05</v>
      </c>
      <c r="O16" s="108">
        <v>0.06</v>
      </c>
      <c r="P16" s="108">
        <v>0.08</v>
      </c>
      <c r="Q16" s="108">
        <v>0.09</v>
      </c>
      <c r="R16" s="108">
        <v>9.9999999999999992E-2</v>
      </c>
      <c r="S16" s="108">
        <v>0.11</v>
      </c>
      <c r="T16" s="108">
        <v>0.12</v>
      </c>
      <c r="U16" s="108">
        <v>0.14000000000000001</v>
      </c>
      <c r="V16" s="108">
        <v>0.15000000000000002</v>
      </c>
      <c r="W16" s="108">
        <v>0.16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0.3</v>
      </c>
      <c r="L17" s="108">
        <v>0.6</v>
      </c>
      <c r="M17" s="108">
        <v>0.9</v>
      </c>
      <c r="N17" s="108">
        <v>1.2</v>
      </c>
      <c r="O17" s="108">
        <v>1.5</v>
      </c>
      <c r="P17" s="108">
        <v>1.8</v>
      </c>
      <c r="Q17" s="108">
        <v>2.1</v>
      </c>
      <c r="R17" s="108">
        <v>2.4</v>
      </c>
      <c r="S17" s="108">
        <v>2.7</v>
      </c>
      <c r="T17" s="108">
        <v>3</v>
      </c>
      <c r="U17" s="108">
        <v>3.3</v>
      </c>
      <c r="V17" s="108">
        <v>3.6</v>
      </c>
      <c r="W17" s="108">
        <v>3.9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3</v>
      </c>
      <c r="L21" s="120">
        <v>7</v>
      </c>
      <c r="M21" s="120">
        <v>10</v>
      </c>
      <c r="N21" s="120">
        <v>13</v>
      </c>
      <c r="O21" s="120">
        <v>16</v>
      </c>
      <c r="P21" s="120">
        <v>20</v>
      </c>
      <c r="Q21" s="120">
        <v>23</v>
      </c>
      <c r="R21" s="120">
        <v>26</v>
      </c>
      <c r="S21" s="120">
        <v>29</v>
      </c>
      <c r="T21" s="120">
        <v>33</v>
      </c>
      <c r="U21" s="120">
        <v>36</v>
      </c>
      <c r="V21" s="120">
        <v>39</v>
      </c>
      <c r="W21" s="120">
        <v>42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165.07653631284921</v>
      </c>
      <c r="L22" s="78">
        <v>165.07653631284921</v>
      </c>
      <c r="M22" s="78">
        <v>165.07653631284916</v>
      </c>
      <c r="N22" s="78">
        <v>165.07653631284921</v>
      </c>
      <c r="O22" s="78">
        <v>165.07653631284919</v>
      </c>
      <c r="P22" s="78">
        <v>165.07653631284916</v>
      </c>
      <c r="Q22" s="78">
        <v>170.02883240223463</v>
      </c>
      <c r="R22" s="78">
        <v>170.02883240223466</v>
      </c>
      <c r="S22" s="78">
        <v>170.02883240223468</v>
      </c>
      <c r="T22" s="78">
        <v>170.02883240223466</v>
      </c>
      <c r="U22" s="78">
        <v>170.02883240223468</v>
      </c>
      <c r="V22" s="78">
        <v>170.02883240223466</v>
      </c>
      <c r="W22" s="78">
        <v>170.02883240223466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315.03999999999996</v>
      </c>
      <c r="L23" s="52">
        <v>630.07999999999993</v>
      </c>
      <c r="M23" s="52">
        <v>945.11999999999989</v>
      </c>
      <c r="N23" s="52">
        <v>1260.1599999999999</v>
      </c>
      <c r="O23" s="52">
        <v>1575.1999999999996</v>
      </c>
      <c r="P23" s="52">
        <v>1890.2399999999998</v>
      </c>
      <c r="Q23" s="52">
        <v>2205.2799999999997</v>
      </c>
      <c r="R23" s="52">
        <v>2520.3199999999997</v>
      </c>
      <c r="S23" s="52">
        <v>2835.3599999999992</v>
      </c>
      <c r="T23" s="52">
        <v>3150.3999999999992</v>
      </c>
      <c r="U23" s="52">
        <v>3465.4399999999996</v>
      </c>
      <c r="V23" s="52">
        <v>3780.4799999999996</v>
      </c>
      <c r="W23" s="52">
        <v>4095.5199999999995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45433.96</v>
      </c>
      <c r="L26" s="12">
        <v>90867.92</v>
      </c>
      <c r="M26" s="12">
        <v>136301.87999999998</v>
      </c>
      <c r="N26" s="12">
        <v>181735.84</v>
      </c>
      <c r="O26" s="12">
        <v>227169.79999999996</v>
      </c>
      <c r="P26" s="12">
        <v>272603.75999999995</v>
      </c>
      <c r="Q26" s="12">
        <v>327578.85159999994</v>
      </c>
      <c r="R26" s="12">
        <v>374375.83040000004</v>
      </c>
      <c r="S26" s="12">
        <v>421172.80919999996</v>
      </c>
      <c r="T26" s="12">
        <v>467969.78799999994</v>
      </c>
      <c r="U26" s="12">
        <v>514766.76679999998</v>
      </c>
      <c r="V26" s="12">
        <v>561563.74560000002</v>
      </c>
      <c r="W26" s="12">
        <v>608360.72439999995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2663.9599999999996</v>
      </c>
      <c r="L27" s="12">
        <v>5327.9199999999992</v>
      </c>
      <c r="M27" s="12">
        <v>7991.8799999999992</v>
      </c>
      <c r="N27" s="12">
        <v>10655.839999999998</v>
      </c>
      <c r="O27" s="12">
        <v>13319.799999999997</v>
      </c>
      <c r="P27" s="12">
        <v>15983.759999999998</v>
      </c>
      <c r="Q27" s="12">
        <v>19207.151600000001</v>
      </c>
      <c r="R27" s="12">
        <v>21951.0304</v>
      </c>
      <c r="S27" s="12">
        <v>24694.909199999995</v>
      </c>
      <c r="T27" s="12">
        <v>27438.787999999997</v>
      </c>
      <c r="U27" s="12">
        <v>30182.666799999999</v>
      </c>
      <c r="V27" s="12">
        <v>32926.545599999998</v>
      </c>
      <c r="W27" s="12">
        <v>35670.424399999996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6331.181999999998</v>
      </c>
      <c r="L28" s="12">
        <v>12662.363999999996</v>
      </c>
      <c r="M28" s="12">
        <v>18993.545999999995</v>
      </c>
      <c r="N28" s="12">
        <v>25324.727999999992</v>
      </c>
      <c r="O28" s="12">
        <v>31655.909999999989</v>
      </c>
      <c r="P28" s="12">
        <v>37987.09199999999</v>
      </c>
      <c r="Q28" s="12">
        <v>45647.822219999987</v>
      </c>
      <c r="R28" s="12">
        <v>52168.939679999981</v>
      </c>
      <c r="S28" s="12">
        <v>58690.057139999983</v>
      </c>
      <c r="T28" s="12">
        <v>65211.174599999984</v>
      </c>
      <c r="U28" s="12">
        <v>71732.292059999978</v>
      </c>
      <c r="V28" s="12">
        <v>78253.409519999972</v>
      </c>
      <c r="W28" s="12">
        <v>84774.526979999995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487.01399999999995</v>
      </c>
      <c r="L29" s="12">
        <v>974.02799999999991</v>
      </c>
      <c r="M29" s="12">
        <v>1461.0420000000001</v>
      </c>
      <c r="N29" s="12">
        <v>1948.0559999999998</v>
      </c>
      <c r="O29" s="12">
        <v>2435.0699999999997</v>
      </c>
      <c r="P29" s="12">
        <v>2922.0840000000003</v>
      </c>
      <c r="Q29" s="12">
        <v>3511.3709400000002</v>
      </c>
      <c r="R29" s="12">
        <v>4012.9953599999999</v>
      </c>
      <c r="S29" s="12">
        <v>4514.61978</v>
      </c>
      <c r="T29" s="12">
        <v>5016.2442000000001</v>
      </c>
      <c r="U29" s="12">
        <v>5517.8686199999993</v>
      </c>
      <c r="V29" s="12">
        <v>6019.4930400000003</v>
      </c>
      <c r="W29" s="12">
        <v>6521.1174600000013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635.43999999999994</v>
      </c>
      <c r="L30" s="12">
        <v>1270.8799999999999</v>
      </c>
      <c r="M30" s="12">
        <v>1906.3199999999997</v>
      </c>
      <c r="N30" s="12">
        <v>2541.7599999999998</v>
      </c>
      <c r="O30" s="12">
        <v>3177.1999999999994</v>
      </c>
      <c r="P30" s="12">
        <v>3812.6399999999994</v>
      </c>
      <c r="Q30" s="12">
        <v>4581.5223999999998</v>
      </c>
      <c r="R30" s="12">
        <v>5236.025599999999</v>
      </c>
      <c r="S30" s="12">
        <v>5890.5288</v>
      </c>
      <c r="T30" s="12">
        <v>6545.0319999999992</v>
      </c>
      <c r="U30" s="12">
        <v>7199.5351999999993</v>
      </c>
      <c r="V30" s="12">
        <v>7854.0383999999995</v>
      </c>
      <c r="W30" s="12">
        <v>8508.5416000000005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-9775.5657199999987</v>
      </c>
      <c r="L35" s="12">
        <v>-16441.75244</v>
      </c>
      <c r="M35" s="12">
        <v>-23107.939159999998</v>
      </c>
      <c r="N35" s="12">
        <v>-29774.12588</v>
      </c>
      <c r="O35" s="12">
        <v>-36440.31259999999</v>
      </c>
      <c r="P35" s="12">
        <v>-43106.499319999988</v>
      </c>
      <c r="Q35" s="12">
        <v>-51265.866621199988</v>
      </c>
      <c r="R35" s="12">
        <v>-58132.038942799998</v>
      </c>
      <c r="S35" s="12">
        <v>-64998.211264399994</v>
      </c>
      <c r="T35" s="12">
        <v>-71864.383585999982</v>
      </c>
      <c r="U35" s="12">
        <v>-78730.555907599992</v>
      </c>
      <c r="V35" s="12">
        <v>-85596.728229199987</v>
      </c>
      <c r="W35" s="12">
        <v>-92462.900550799983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69023.521946666675</v>
      </c>
      <c r="L37" s="13">
        <v>115244.93122666668</v>
      </c>
      <c r="M37" s="13">
        <v>161466.34050666663</v>
      </c>
      <c r="N37" s="13">
        <v>207687.74978666668</v>
      </c>
      <c r="O37" s="13">
        <v>253909.15906666662</v>
      </c>
      <c r="P37" s="13">
        <v>300130.56834666658</v>
      </c>
      <c r="Q37" s="13">
        <v>356742.53695546661</v>
      </c>
      <c r="R37" s="13">
        <v>404350.58851386671</v>
      </c>
      <c r="S37" s="13">
        <v>451958.64007226669</v>
      </c>
      <c r="T37" s="13">
        <v>499566.69163066661</v>
      </c>
      <c r="U37" s="13">
        <v>547174.74318906665</v>
      </c>
      <c r="V37" s="13">
        <v>594782.79474746657</v>
      </c>
      <c r="W37" s="13">
        <v>642390.84630586649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44337.989634003286</v>
      </c>
      <c r="L40" s="12">
        <v>75871.883801339907</v>
      </c>
      <c r="M40" s="12">
        <v>96058.673435343182</v>
      </c>
      <c r="N40" s="12">
        <v>116205.23426934646</v>
      </c>
      <c r="O40" s="12">
        <v>136384.66177001642</v>
      </c>
      <c r="P40" s="12">
        <v>156838.25140401974</v>
      </c>
      <c r="Q40" s="12">
        <v>194508.37512849199</v>
      </c>
      <c r="R40" s="12">
        <v>216775.92537922892</v>
      </c>
      <c r="S40" s="12">
        <v>238981.39397663256</v>
      </c>
      <c r="T40" s="12">
        <v>261072.43089403611</v>
      </c>
      <c r="U40" s="12">
        <v>283456.94781143981</v>
      </c>
      <c r="V40" s="12">
        <v>305768.74974217667</v>
      </c>
      <c r="W40" s="12">
        <v>327929.9666595803</v>
      </c>
      <c r="X40" s="12">
        <v>344408.19857698394</v>
      </c>
      <c r="Y40" s="12">
        <v>344718.69191031728</v>
      </c>
      <c r="Z40" s="12">
        <v>345135.51857698389</v>
      </c>
      <c r="AA40" s="12">
        <v>345379.02191031724</v>
      </c>
      <c r="AB40" s="12">
        <v>345689.51524365065</v>
      </c>
      <c r="AC40" s="12">
        <v>380716.97610134899</v>
      </c>
      <c r="AD40" s="12">
        <v>380907.63176801568</v>
      </c>
      <c r="AE40" s="12">
        <v>381249.17443468235</v>
      </c>
      <c r="AF40" s="12">
        <v>381590.71710134903</v>
      </c>
      <c r="AG40" s="12">
        <v>381975.53743468237</v>
      </c>
      <c r="AH40" s="12">
        <v>382317.08010134904</v>
      </c>
      <c r="AI40" s="12">
        <v>382658.62276801572</v>
      </c>
      <c r="AJ40" s="12">
        <v>382658.62276801572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363.89520000000005</v>
      </c>
      <c r="L44" s="12">
        <v>963.64839999999992</v>
      </c>
      <c r="M44" s="12">
        <v>993.97300000000007</v>
      </c>
      <c r="N44" s="12">
        <v>1024.2975999999999</v>
      </c>
      <c r="O44" s="12">
        <v>1054.6222</v>
      </c>
      <c r="P44" s="12">
        <v>1095.0550000000001</v>
      </c>
      <c r="Q44" s="12">
        <v>1166.8906079999999</v>
      </c>
      <c r="R44" s="12">
        <v>1201.932368</v>
      </c>
      <c r="S44" s="12">
        <v>1233.4699519999999</v>
      </c>
      <c r="T44" s="12">
        <v>1261.5033600000002</v>
      </c>
      <c r="U44" s="12">
        <v>1300.0492959999999</v>
      </c>
      <c r="V44" s="12">
        <v>1335.0910559999998</v>
      </c>
      <c r="W44" s="12">
        <v>1366.6286400000004</v>
      </c>
      <c r="X44" s="12">
        <v>1156.37808</v>
      </c>
      <c r="Y44" s="12">
        <v>1170.3947840000001</v>
      </c>
      <c r="Z44" s="12">
        <v>1187.9156640000001</v>
      </c>
      <c r="AA44" s="12">
        <v>1198.4281919999999</v>
      </c>
      <c r="AB44" s="12">
        <v>1212.444896</v>
      </c>
      <c r="AC44" s="12">
        <v>1279.1644070400002</v>
      </c>
      <c r="AD44" s="12">
        <v>1286.4530931200002</v>
      </c>
      <c r="AE44" s="12">
        <v>1301.03046528</v>
      </c>
      <c r="AF44" s="12">
        <v>1315.6078374400001</v>
      </c>
      <c r="AG44" s="12">
        <v>1330.1852096000002</v>
      </c>
      <c r="AH44" s="12">
        <v>1344.7625817600001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3533.9999999999991</v>
      </c>
      <c r="L46" s="12">
        <v>5399.4999999999991</v>
      </c>
      <c r="M46" s="12">
        <v>6677</v>
      </c>
      <c r="N46" s="12">
        <v>7950.9999999999991</v>
      </c>
      <c r="O46" s="12">
        <v>9224.9999999999982</v>
      </c>
      <c r="P46" s="12">
        <v>10513</v>
      </c>
      <c r="Q46" s="12">
        <v>12015.600000000002</v>
      </c>
      <c r="R46" s="12">
        <v>13318.650000000001</v>
      </c>
      <c r="S46" s="12">
        <v>14621.7</v>
      </c>
      <c r="T46" s="12">
        <v>15917.609999999999</v>
      </c>
      <c r="U46" s="12">
        <v>17224.23</v>
      </c>
      <c r="V46" s="12">
        <v>18530.849999999999</v>
      </c>
      <c r="W46" s="12">
        <v>19830.329999999998</v>
      </c>
      <c r="X46" s="12">
        <v>20879.910000000007</v>
      </c>
      <c r="Y46" s="12">
        <v>20894.190000000002</v>
      </c>
      <c r="Z46" s="12">
        <v>20912.040000000005</v>
      </c>
      <c r="AA46" s="12">
        <v>20922.750000000004</v>
      </c>
      <c r="AB46" s="12">
        <v>20937.030000000006</v>
      </c>
      <c r="AC46" s="12">
        <v>21373.977600000006</v>
      </c>
      <c r="AD46" s="12">
        <v>21381.260400000003</v>
      </c>
      <c r="AE46" s="12">
        <v>21395.826000000001</v>
      </c>
      <c r="AF46" s="12">
        <v>21410.391600000003</v>
      </c>
      <c r="AG46" s="12">
        <v>21424.957200000004</v>
      </c>
      <c r="AH46" s="12">
        <v>21439.522800000002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151234.47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10225.602303001555</v>
      </c>
      <c r="L49" s="12">
        <f>'Corp.'!L$50*(L$37-(L31-L32-L34)*$C$35)/(SUM('MDA1:NCA9'!L$37)-SUM('MDA1:NCA9'!L$31)-SUM('MDA1:NCA9'!L$32)-SUM('MDA1:NCA9'!L$34))</f>
        <v>16160.681608139395</v>
      </c>
      <c r="M49" s="12">
        <f>'Corp.'!M$50*(M$37-(M31-M32-M34)*$C$35)/(SUM('MDA1:NCA9'!M$37)-SUM('MDA1:NCA9'!M$31)-SUM('MDA1:NCA9'!M$32)-SUM('MDA1:NCA9'!M$34))</f>
        <v>21266.826785277946</v>
      </c>
      <c r="N49" s="12">
        <f>'Corp.'!N$50*(N$37-(N31-N32-N34)*$C$35)/(SUM('MDA1:NCA9'!N$37)-SUM('MDA1:NCA9'!N$31)-SUM('MDA1:NCA9'!N$32)-SUM('MDA1:NCA9'!N$34))</f>
        <v>25836.367845654451</v>
      </c>
      <c r="O49" s="12">
        <f>'Corp.'!O$50*(O$37-(O31-O32-O34)*$C$35)/(SUM('MDA1:NCA9'!O$37)-SUM('MDA1:NCA9'!O$31)-SUM('MDA1:NCA9'!O$32)-SUM('MDA1:NCA9'!O$34))</f>
        <v>29638.901342718465</v>
      </c>
      <c r="P49" s="12">
        <f>'Corp.'!P$50*(P$37-(P31-P32-P34)*$C$35)/(SUM('MDA1:NCA9'!P$37)-SUM('MDA1:NCA9'!P$31)-SUM('MDA1:NCA9'!P$32)-SUM('MDA1:NCA9'!P$34))</f>
        <v>33148.697002786692</v>
      </c>
      <c r="Q49" s="12">
        <f>'Corp.'!Q$50*(Q$37-(Q31-Q32-Q34)*$C$35)/(SUM('MDA1:NCA9'!Q$37)-SUM('MDA1:NCA9'!Q$31)-SUM('MDA1:NCA9'!Q$32)-SUM('MDA1:NCA9'!Q$34))</f>
        <v>39985.175290794541</v>
      </c>
      <c r="R49" s="12">
        <f>'Corp.'!R$50*(R$37-(R31-R32-R34)*$C$35)/(SUM('MDA1:NCA9'!R$37)-SUM('MDA1:NCA9'!R$31)-SUM('MDA1:NCA9'!R$32)-SUM('MDA1:NCA9'!R$34))</f>
        <v>43691.36017624574</v>
      </c>
      <c r="S49" s="12">
        <f>'Corp.'!S$50*(S$37-(S31-S32-S34)*$C$35)/(SUM('MDA1:NCA9'!S$37)-SUM('MDA1:NCA9'!S$31)-SUM('MDA1:NCA9'!S$32)-SUM('MDA1:NCA9'!S$34))</f>
        <v>46818.861600389733</v>
      </c>
      <c r="T49" s="12">
        <f>'Corp.'!T$50*(T$37-(T31-T32-T34)*$C$35)/(SUM('MDA1:NCA9'!T$37)-SUM('MDA1:NCA9'!T$31)-SUM('MDA1:NCA9'!T$32)-SUM('MDA1:NCA9'!T$34))</f>
        <v>49870.997514159593</v>
      </c>
      <c r="U49" s="12">
        <f>'Corp.'!U$50*(U$37-(U31-U32-U34)*$C$35)/(SUM('MDA1:NCA9'!U$37)-SUM('MDA1:NCA9'!U$31)-SUM('MDA1:NCA9'!U$32)-SUM('MDA1:NCA9'!U$34))</f>
        <v>53218.789134244791</v>
      </c>
      <c r="V49" s="12">
        <f>'Corp.'!V$50*(V$37-(V31-V32-V34)*$C$35)/(SUM('MDA1:NCA9'!V$37)-SUM('MDA1:NCA9'!V$31)-SUM('MDA1:NCA9'!V$32)-SUM('MDA1:NCA9'!V$34))</f>
        <v>56609.925079376982</v>
      </c>
      <c r="W49" s="12">
        <f>'Corp.'!W$50*(W$37-(W31-W32-W34)*$C$35)/(SUM('MDA1:NCA9'!W$37)-SUM('MDA1:NCA9'!W$31)-SUM('MDA1:NCA9'!W$32)-SUM('MDA1:NCA9'!W$34))</f>
        <v>59381.394959731922</v>
      </c>
      <c r="X49" s="12">
        <f>'Corp.'!X$50*(X$37-(X31-X32-X34)*$C$35)/(SUM('MDA1:NCA9'!X$37)-SUM('MDA1:NCA9'!X$31)-SUM('MDA1:NCA9'!X$32)-SUM('MDA1:NCA9'!X$34))</f>
        <v>61886.506282502967</v>
      </c>
      <c r="Y49" s="12">
        <f>'Corp.'!Y$50*(Y$37-(Y31-Y32-Y34)*$C$35)/(SUM('MDA1:NCA9'!Y$37)-SUM('MDA1:NCA9'!Y$31)-SUM('MDA1:NCA9'!Y$32)-SUM('MDA1:NCA9'!Y$34))</f>
        <v>60658.216990231012</v>
      </c>
      <c r="Z49" s="12">
        <f>'Corp.'!Z$50*(Z$37-(Z31-Z32-Z34)*$C$35)/(SUM('MDA1:NCA9'!Z$37)-SUM('MDA1:NCA9'!Z$31)-SUM('MDA1:NCA9'!Z$32)-SUM('MDA1:NCA9'!Z$34))</f>
        <v>59429.247769151261</v>
      </c>
      <c r="AA49" s="12">
        <f>'Corp.'!AA$50*(AA$37-(AA31-AA32-AA34)*$C$35)/(SUM('MDA1:NCA9'!AA$37)-SUM('MDA1:NCA9'!AA$31)-SUM('MDA1:NCA9'!AA$32)-SUM('MDA1:NCA9'!AA$34))</f>
        <v>58154.652886169919</v>
      </c>
      <c r="AB49" s="12">
        <f>'Corp.'!AB$50*(AB$37-(AB31-AB32-AB34)*$C$35)/(SUM('MDA1:NCA9'!AB$37)-SUM('MDA1:NCA9'!AB$31)-SUM('MDA1:NCA9'!AB$32)-SUM('MDA1:NCA9'!AB$34))</f>
        <v>56908.808651452055</v>
      </c>
      <c r="AC49" s="12">
        <f>'Corp.'!AC$50*(AC$37-(AC31-AC32-AC34)*$C$35)/(SUM('MDA1:NCA9'!AC$37)-SUM('MDA1:NCA9'!AC$31)-SUM('MDA1:NCA9'!AC$32)-SUM('MDA1:NCA9'!AC$34))</f>
        <v>61583.175001356074</v>
      </c>
      <c r="AD49" s="12">
        <f>'Corp.'!AD$50*(AD$37-(AD31-AD32-AD34)*$C$35)/(SUM('MDA1:NCA9'!AD$37)-SUM('MDA1:NCA9'!AD$31)-SUM('MDA1:NCA9'!AD$32)-SUM('MDA1:NCA9'!AD$34))</f>
        <v>60637.621758077643</v>
      </c>
      <c r="AE49" s="12">
        <f>'Corp.'!AE$50*(AE$37-(AE31-AE32-AE34)*$C$35)/(SUM('MDA1:NCA9'!AE$37)-SUM('MDA1:NCA9'!AE$31)-SUM('MDA1:NCA9'!AE$32)-SUM('MDA1:NCA9'!AE$34))</f>
        <v>59742.453386211215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151234.47</v>
      </c>
      <c r="J50" s="13">
        <v>0</v>
      </c>
      <c r="K50" s="13">
        <v>95297.591937004836</v>
      </c>
      <c r="L50" s="13">
        <v>134632.06540947931</v>
      </c>
      <c r="M50" s="13">
        <v>161202.50022062115</v>
      </c>
      <c r="N50" s="13">
        <v>187192.60211500092</v>
      </c>
      <c r="O50" s="13">
        <v>212448.56311273488</v>
      </c>
      <c r="P50" s="13">
        <v>237699.94840680645</v>
      </c>
      <c r="Q50" s="13">
        <v>284957.15041928651</v>
      </c>
      <c r="R50" s="13">
        <v>312233.93555547466</v>
      </c>
      <c r="S50" s="13">
        <v>338869.95557702228</v>
      </c>
      <c r="T50" s="13">
        <v>365309.03840819566</v>
      </c>
      <c r="U50" s="13">
        <v>392347.96694568457</v>
      </c>
      <c r="V50" s="13">
        <v>419357.52482155361</v>
      </c>
      <c r="W50" s="13">
        <v>445589.69161931222</v>
      </c>
      <c r="X50" s="13">
        <v>465622.61485948693</v>
      </c>
      <c r="Y50" s="13">
        <v>464719.0989005483</v>
      </c>
      <c r="Z50" s="13">
        <v>463924.8063461351</v>
      </c>
      <c r="AA50" s="13">
        <v>462904.42479648715</v>
      </c>
      <c r="AB50" s="13">
        <v>461983.35389510274</v>
      </c>
      <c r="AC50" s="13">
        <v>503415.54870270501</v>
      </c>
      <c r="AD50" s="13">
        <v>502667.93392609333</v>
      </c>
      <c r="AE50" s="13">
        <v>502128.87382089358</v>
      </c>
      <c r="AF50" s="13">
        <v>501643.20166622318</v>
      </c>
      <c r="AG50" s="13">
        <v>501372.22982200928</v>
      </c>
      <c r="AH50" s="13">
        <v>500839.61206222262</v>
      </c>
      <c r="AI50" s="13">
        <v>500274.32080199645</v>
      </c>
      <c r="AJ50" s="13">
        <v>499323.1339688219</v>
      </c>
      <c r="AK50" s="13">
        <v>498444.52509116801</v>
      </c>
      <c r="AL50" s="13">
        <v>497636.9074247643</v>
      </c>
      <c r="AM50" s="13">
        <v>496766.12702084059</v>
      </c>
      <c r="AN50" s="13">
        <v>496025.00733629894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-151234.47</v>
      </c>
      <c r="J52" s="74">
        <f t="shared" si="0"/>
        <v>0</v>
      </c>
      <c r="K52" s="74">
        <f t="shared" si="0"/>
        <v>-26274.069990338161</v>
      </c>
      <c r="L52" s="74">
        <f t="shared" si="0"/>
        <v>-19387.134182812631</v>
      </c>
      <c r="M52" s="74">
        <f t="shared" si="0"/>
        <v>263.84028604548075</v>
      </c>
      <c r="N52" s="74">
        <f t="shared" si="0"/>
        <v>20495.147671665763</v>
      </c>
      <c r="O52" s="74">
        <f t="shared" si="0"/>
        <v>41460.595953931741</v>
      </c>
      <c r="P52" s="74">
        <f t="shared" si="0"/>
        <v>62430.619939860131</v>
      </c>
      <c r="Q52" s="74">
        <f t="shared" si="0"/>
        <v>71785.3865361801</v>
      </c>
      <c r="R52" s="74">
        <f t="shared" si="0"/>
        <v>92116.652958392049</v>
      </c>
      <c r="S52" s="74">
        <f t="shared" si="0"/>
        <v>113088.68449524441</v>
      </c>
      <c r="T52" s="74">
        <f t="shared" si="0"/>
        <v>134257.65322247095</v>
      </c>
      <c r="U52" s="74">
        <f t="shared" si="0"/>
        <v>154826.77624338208</v>
      </c>
      <c r="V52" s="74">
        <f t="shared" si="0"/>
        <v>175425.26992591296</v>
      </c>
      <c r="W52" s="74">
        <f t="shared" si="0"/>
        <v>196801.15468655428</v>
      </c>
      <c r="X52" s="74">
        <f t="shared" si="0"/>
        <v>224376.2830047796</v>
      </c>
      <c r="Y52" s="74">
        <f t="shared" si="0"/>
        <v>225279.79896371823</v>
      </c>
      <c r="Z52" s="74">
        <f t="shared" si="0"/>
        <v>226074.09151813143</v>
      </c>
      <c r="AA52" s="74">
        <f t="shared" si="0"/>
        <v>227094.47306777939</v>
      </c>
      <c r="AB52" s="74">
        <f t="shared" si="0"/>
        <v>228015.54396916379</v>
      </c>
      <c r="AC52" s="74">
        <f t="shared" si="0"/>
        <v>186583.34916156152</v>
      </c>
      <c r="AD52" s="74">
        <f t="shared" si="0"/>
        <v>187330.9639381732</v>
      </c>
      <c r="AE52" s="74">
        <f t="shared" si="0"/>
        <v>187870.02404337295</v>
      </c>
      <c r="AF52" s="74">
        <f t="shared" si="0"/>
        <v>188355.69619804336</v>
      </c>
      <c r="AG52" s="74">
        <f t="shared" si="0"/>
        <v>188626.66804225725</v>
      </c>
      <c r="AH52" s="74">
        <f t="shared" si="0"/>
        <v>189159.28580204392</v>
      </c>
      <c r="AI52" s="74">
        <f t="shared" si="0"/>
        <v>189724.57706227008</v>
      </c>
      <c r="AJ52" s="74">
        <f t="shared" si="0"/>
        <v>190675.76389544463</v>
      </c>
      <c r="AK52" s="74">
        <f t="shared" si="0"/>
        <v>191554.37277309853</v>
      </c>
      <c r="AL52" s="74">
        <f t="shared" si="0"/>
        <v>192361.99043950223</v>
      </c>
      <c r="AM52" s="74">
        <f t="shared" si="0"/>
        <v>193232.77084342594</v>
      </c>
      <c r="AN52" s="74">
        <f t="shared" si="0"/>
        <v>193973.8905279676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>
        <f t="shared" si="1"/>
        <v>-0.3806538589937456</v>
      </c>
      <c r="L53" s="107">
        <f t="shared" si="1"/>
        <v>-0.16822548268679618</v>
      </c>
      <c r="M53" s="107">
        <f t="shared" si="1"/>
        <v>1.6340265421113406E-3</v>
      </c>
      <c r="N53" s="107">
        <f t="shared" si="1"/>
        <v>9.8682506275493048E-2</v>
      </c>
      <c r="O53" s="107">
        <f t="shared" si="1"/>
        <v>0.16328909168276914</v>
      </c>
      <c r="P53" s="107">
        <f t="shared" si="1"/>
        <v>0.20801153405923478</v>
      </c>
      <c r="Q53" s="107">
        <f t="shared" si="1"/>
        <v>0.20122463429456777</v>
      </c>
      <c r="R53" s="107">
        <f t="shared" si="1"/>
        <v>0.22781382190379332</v>
      </c>
      <c r="S53" s="107">
        <f t="shared" si="1"/>
        <v>0.25021910075037374</v>
      </c>
      <c r="T53" s="107">
        <f t="shared" si="1"/>
        <v>0.26874820814060324</v>
      </c>
      <c r="U53" s="107">
        <f t="shared" si="1"/>
        <v>0.28295673031436758</v>
      </c>
      <c r="V53" s="107">
        <f t="shared" si="1"/>
        <v>0.29494005454612249</v>
      </c>
      <c r="W53" s="107">
        <f t="shared" si="1"/>
        <v>0.30635734587172159</v>
      </c>
      <c r="X53" s="107">
        <f t="shared" si="1"/>
        <v>0.32518353826257546</v>
      </c>
      <c r="Y53" s="107">
        <f t="shared" si="1"/>
        <v>0.32649298377290198</v>
      </c>
      <c r="Z53" s="107">
        <f t="shared" si="1"/>
        <v>0.32764413424121686</v>
      </c>
      <c r="AA53" s="107">
        <f t="shared" si="1"/>
        <v>0.32912295044339679</v>
      </c>
      <c r="AB53" s="107">
        <f t="shared" si="1"/>
        <v>0.33045783793993533</v>
      </c>
      <c r="AC53" s="107">
        <f t="shared" si="1"/>
        <v>0.27041108288591115</v>
      </c>
      <c r="AD53" s="107">
        <f t="shared" si="1"/>
        <v>0.2714945842928348</v>
      </c>
      <c r="AE53" s="107">
        <f t="shared" si="1"/>
        <v>0.27227583206999539</v>
      </c>
      <c r="AF53" s="107">
        <f t="shared" si="1"/>
        <v>0.27297970588221987</v>
      </c>
      <c r="AG53" s="107">
        <f t="shared" si="1"/>
        <v>0.27337241932720163</v>
      </c>
      <c r="AH53" s="107">
        <f t="shared" si="1"/>
        <v>0.274144330356966</v>
      </c>
      <c r="AI53" s="107">
        <f t="shared" si="1"/>
        <v>0.27496359436155482</v>
      </c>
      <c r="AJ53" s="107">
        <f t="shared" si="1"/>
        <v>0.27634212820576637</v>
      </c>
      <c r="AK53" s="107">
        <f t="shared" si="1"/>
        <v>0.27761547643918155</v>
      </c>
      <c r="AL53" s="107">
        <f t="shared" si="1"/>
        <v>0.27878593869485108</v>
      </c>
      <c r="AM53" s="107">
        <f t="shared" si="1"/>
        <v>0.28004794129604221</v>
      </c>
      <c r="AN53" s="107">
        <f t="shared" si="1"/>
        <v>0.28112202951101706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235166.66666666666</v>
      </c>
      <c r="J55" s="12">
        <v>235166.66666666666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-54276.210786933363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-57980.095368799972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-60759.55176506663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-71580.158724690686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-69697.476233530702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-73127.104802106696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-386401.13666666666</v>
      </c>
      <c r="J58" s="13">
        <f t="shared" si="2"/>
        <v>-235166.66666666666</v>
      </c>
      <c r="K58" s="13">
        <f t="shared" si="2"/>
        <v>-261440.7366570048</v>
      </c>
      <c r="L58" s="13">
        <f t="shared" si="2"/>
        <v>-254553.80084947927</v>
      </c>
      <c r="M58" s="13">
        <f t="shared" si="2"/>
        <v>-234902.82638062118</v>
      </c>
      <c r="N58" s="13">
        <f t="shared" si="2"/>
        <v>-268947.72978193423</v>
      </c>
      <c r="O58" s="13">
        <f t="shared" si="2"/>
        <v>-16519.499414868231</v>
      </c>
      <c r="P58" s="13">
        <f t="shared" si="2"/>
        <v>1671.0681747935014</v>
      </c>
      <c r="Q58" s="13">
        <f t="shared" si="2"/>
        <v>205.22781148941431</v>
      </c>
      <c r="R58" s="13">
        <f t="shared" si="2"/>
        <v>22419.176724861347</v>
      </c>
      <c r="S58" s="13">
        <f t="shared" si="2"/>
        <v>39961.579693137712</v>
      </c>
      <c r="T58" s="13">
        <f t="shared" si="2"/>
        <v>96171.279362470959</v>
      </c>
      <c r="U58" s="13">
        <f t="shared" si="2"/>
        <v>109807.19099138209</v>
      </c>
      <c r="V58" s="13">
        <f t="shared" si="2"/>
        <v>121913.88938259297</v>
      </c>
      <c r="W58" s="13">
        <f t="shared" si="2"/>
        <v>136148.56640947427</v>
      </c>
      <c r="X58" s="13">
        <f t="shared" si="2"/>
        <v>156582.48699393962</v>
      </c>
      <c r="Y58" s="13">
        <f t="shared" si="2"/>
        <v>150344.79521911824</v>
      </c>
      <c r="Z58" s="13">
        <f t="shared" si="2"/>
        <v>143997.88003977144</v>
      </c>
      <c r="AA58" s="13">
        <f t="shared" si="2"/>
        <v>137877.05385565938</v>
      </c>
      <c r="AB58" s="13">
        <f t="shared" si="2"/>
        <v>131656.91702328384</v>
      </c>
      <c r="AC58" s="13">
        <f t="shared" si="2"/>
        <v>83083.514481921549</v>
      </c>
      <c r="AD58" s="13">
        <f t="shared" si="2"/>
        <v>83831.129258533227</v>
      </c>
      <c r="AE58" s="13">
        <f t="shared" si="2"/>
        <v>84370.189363732978</v>
      </c>
      <c r="AF58" s="13">
        <f t="shared" si="2"/>
        <v>84855.861518403384</v>
      </c>
      <c r="AG58" s="13">
        <f t="shared" si="2"/>
        <v>85126.833362617283</v>
      </c>
      <c r="AH58" s="13">
        <f t="shared" si="2"/>
        <v>85659.451122403945</v>
      </c>
      <c r="AI58" s="13">
        <f t="shared" si="2"/>
        <v>86224.742382630109</v>
      </c>
      <c r="AJ58" s="13">
        <f t="shared" si="2"/>
        <v>87175.929215804659</v>
      </c>
      <c r="AK58" s="13">
        <f t="shared" si="2"/>
        <v>88054.538093458556</v>
      </c>
      <c r="AL58" s="13">
        <f t="shared" si="2"/>
        <v>88862.15575986226</v>
      </c>
      <c r="AM58" s="13">
        <f t="shared" si="2"/>
        <v>89732.936163785969</v>
      </c>
      <c r="AN58" s="13">
        <f t="shared" si="2"/>
        <v>90474.055848327625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-386401.13666666666</v>
      </c>
      <c r="J59" s="12">
        <v>-621567.80333333334</v>
      </c>
      <c r="K59" s="12">
        <v>-883008.53999033815</v>
      </c>
      <c r="L59" s="12">
        <v>-1137562.3408398174</v>
      </c>
      <c r="M59" s="12">
        <v>-1372465.1672204386</v>
      </c>
      <c r="N59" s="12">
        <v>-1641412.8970023729</v>
      </c>
      <c r="O59" s="12">
        <v>-1657932.3964172411</v>
      </c>
      <c r="P59" s="12">
        <v>-1656261.3282424477</v>
      </c>
      <c r="Q59" s="12">
        <v>-1656056.1004309582</v>
      </c>
      <c r="R59" s="12">
        <v>-1633636.9237060968</v>
      </c>
      <c r="S59" s="12">
        <v>-1593675.3440129592</v>
      </c>
      <c r="T59" s="12">
        <v>-1497504.0646504881</v>
      </c>
      <c r="U59" s="12">
        <v>-1387696.873659106</v>
      </c>
      <c r="V59" s="12">
        <v>-1265782.9842765131</v>
      </c>
      <c r="W59" s="12">
        <v>-1129634.4178670389</v>
      </c>
      <c r="X59" s="12">
        <v>-973051.93087309925</v>
      </c>
      <c r="Y59" s="12">
        <v>-822707.13565398101</v>
      </c>
      <c r="Z59" s="12">
        <v>-678709.25561420957</v>
      </c>
      <c r="AA59" s="12">
        <v>-540832.20175855025</v>
      </c>
      <c r="AB59" s="12">
        <v>-409175.28473526641</v>
      </c>
      <c r="AC59" s="12">
        <v>-326091.77025334485</v>
      </c>
      <c r="AD59" s="12">
        <v>-242260.64099481161</v>
      </c>
      <c r="AE59" s="12">
        <v>-157890.45163107861</v>
      </c>
      <c r="AF59" s="12">
        <v>-73034.590112675229</v>
      </c>
      <c r="AG59" s="12">
        <v>12092.243249942054</v>
      </c>
      <c r="AH59" s="12">
        <v>97751.694372345999</v>
      </c>
      <c r="AI59" s="12">
        <v>183976.43675497611</v>
      </c>
      <c r="AJ59" s="12">
        <v>271152.36597078078</v>
      </c>
      <c r="AK59" s="12">
        <v>359206.90406423935</v>
      </c>
      <c r="AL59" s="12">
        <v>448069.05982410163</v>
      </c>
      <c r="AM59" s="12">
        <v>537801.99598788761</v>
      </c>
      <c r="AN59" s="12">
        <v>628276.05183621519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2115.6236907519992</v>
      </c>
      <c r="L63" s="12">
        <v>4231.2473815039984</v>
      </c>
      <c r="M63" s="12">
        <v>6346.871072255999</v>
      </c>
      <c r="N63" s="12">
        <v>8462.4947630079969</v>
      </c>
      <c r="O63" s="12">
        <v>10578.118453759998</v>
      </c>
      <c r="P63" s="12">
        <v>12693.742144511998</v>
      </c>
      <c r="Q63" s="12">
        <v>15253.646810321916</v>
      </c>
      <c r="R63" s="12">
        <v>17432.739211796474</v>
      </c>
      <c r="S63" s="12">
        <v>19611.831613271035</v>
      </c>
      <c r="T63" s="12">
        <v>21790.9240147456</v>
      </c>
      <c r="U63" s="12">
        <v>23970.016416220154</v>
      </c>
      <c r="V63" s="12">
        <v>26149.108817694712</v>
      </c>
      <c r="W63" s="12">
        <v>28328.201219169274</v>
      </c>
      <c r="X63" s="12">
        <v>30507.293620643832</v>
      </c>
      <c r="Y63" s="12">
        <v>30507.293620643832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282.68957798400004</v>
      </c>
      <c r="L64" s="12">
        <v>565.37915596800008</v>
      </c>
      <c r="M64" s="12">
        <v>848.06873395200023</v>
      </c>
      <c r="N64" s="12">
        <v>1130.7583119360002</v>
      </c>
      <c r="O64" s="12">
        <v>1413.4478899200003</v>
      </c>
      <c r="P64" s="12">
        <v>1696.1374679040005</v>
      </c>
      <c r="Q64" s="12">
        <v>2038.1918572646407</v>
      </c>
      <c r="R64" s="12">
        <v>2329.3621225881607</v>
      </c>
      <c r="S64" s="12">
        <v>2620.5323879116804</v>
      </c>
      <c r="T64" s="12">
        <v>2911.7026532352006</v>
      </c>
      <c r="U64" s="12">
        <v>3202.8729185587208</v>
      </c>
      <c r="V64" s="12">
        <v>3494.0431838822406</v>
      </c>
      <c r="W64" s="12">
        <v>3785.2134492057612</v>
      </c>
      <c r="X64" s="12">
        <v>4076.3837145292814</v>
      </c>
      <c r="Y64" s="12">
        <v>4076.3837145292814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1719.2305095679999</v>
      </c>
      <c r="L65" s="12">
        <v>3438.4610191359998</v>
      </c>
      <c r="M65" s="12">
        <v>5157.6915287040001</v>
      </c>
      <c r="N65" s="12">
        <v>6876.9220382719996</v>
      </c>
      <c r="O65" s="12">
        <v>8596.1525478399981</v>
      </c>
      <c r="P65" s="12">
        <v>10315.383057408</v>
      </c>
      <c r="Q65" s="12">
        <v>12395.651973985277</v>
      </c>
      <c r="R65" s="12">
        <v>14166.459398840319</v>
      </c>
      <c r="S65" s="12">
        <v>15937.266823695358</v>
      </c>
      <c r="T65" s="12">
        <v>17708.074248550402</v>
      </c>
      <c r="U65" s="12">
        <v>19478.881673405438</v>
      </c>
      <c r="V65" s="12">
        <v>21249.689098260478</v>
      </c>
      <c r="W65" s="12">
        <v>23020.496523115518</v>
      </c>
      <c r="X65" s="12">
        <v>24791.303947970555</v>
      </c>
      <c r="Y65" s="12">
        <v>24791.303947970555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4117.5437783039997</v>
      </c>
      <c r="L67" s="13">
        <v>8235.0875566079994</v>
      </c>
      <c r="M67" s="13">
        <v>12352.631334911999</v>
      </c>
      <c r="N67" s="13">
        <v>16470.175113215999</v>
      </c>
      <c r="O67" s="13">
        <v>20587.718891519995</v>
      </c>
      <c r="P67" s="13">
        <v>24705.262669823998</v>
      </c>
      <c r="Q67" s="13">
        <v>29687.490641571832</v>
      </c>
      <c r="R67" s="13">
        <v>33928.560733224956</v>
      </c>
      <c r="S67" s="13">
        <v>38169.63082487807</v>
      </c>
      <c r="T67" s="13">
        <v>42410.700916531205</v>
      </c>
      <c r="U67" s="13">
        <v>46651.771008184311</v>
      </c>
      <c r="V67" s="13">
        <v>50892.841099837431</v>
      </c>
      <c r="W67" s="13">
        <v>55133.911191490552</v>
      </c>
      <c r="X67" s="13">
        <v>59374.981283143665</v>
      </c>
      <c r="Y67" s="13">
        <v>59374.981283143665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1354.3559006699554</v>
      </c>
      <c r="L72" s="12">
        <v>2708.7118013399108</v>
      </c>
      <c r="M72" s="12">
        <v>4063.0677020098656</v>
      </c>
      <c r="N72" s="12">
        <v>5417.4236026798217</v>
      </c>
      <c r="O72" s="12">
        <v>6771.7795033497741</v>
      </c>
      <c r="P72" s="12">
        <v>8126.1354040197311</v>
      </c>
      <c r="Q72" s="12">
        <v>25612.94043515866</v>
      </c>
      <c r="R72" s="12">
        <v>42287.131925895614</v>
      </c>
      <c r="S72" s="12">
        <v>43776.923416632562</v>
      </c>
      <c r="T72" s="12">
        <v>45266.714907369511</v>
      </c>
      <c r="U72" s="12">
        <v>46756.50639810646</v>
      </c>
      <c r="V72" s="12">
        <v>48246.297888843415</v>
      </c>
      <c r="W72" s="12">
        <v>49736.089379580364</v>
      </c>
      <c r="X72" s="12">
        <v>51225.88087031732</v>
      </c>
      <c r="Y72" s="12">
        <v>51225.88087031732</v>
      </c>
      <c r="Z72" s="12">
        <v>51225.88087031732</v>
      </c>
      <c r="AA72" s="12">
        <v>51225.88087031732</v>
      </c>
      <c r="AB72" s="12">
        <v>51225.88087031732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2763.1878776340445</v>
      </c>
      <c r="L75" s="74">
        <v>5526.3757552680891</v>
      </c>
      <c r="M75" s="74">
        <v>8289.5636329021327</v>
      </c>
      <c r="N75" s="74">
        <v>11052.751510536178</v>
      </c>
      <c r="O75" s="74">
        <v>13815.93938817022</v>
      </c>
      <c r="P75" s="74">
        <v>16579.127265804265</v>
      </c>
      <c r="Q75" s="74">
        <v>4074.5502064131724</v>
      </c>
      <c r="R75" s="74">
        <v>-8358.5711926706572</v>
      </c>
      <c r="S75" s="74">
        <v>-5607.2925917544926</v>
      </c>
      <c r="T75" s="74">
        <v>-2856.0139908383062</v>
      </c>
      <c r="U75" s="74">
        <v>-104.7353899221489</v>
      </c>
      <c r="V75" s="74">
        <v>2646.5432109940157</v>
      </c>
      <c r="W75" s="74">
        <v>5397.8218119101875</v>
      </c>
      <c r="X75" s="74">
        <v>8149.1004128263448</v>
      </c>
      <c r="Y75" s="74">
        <v>8149.1004128263448</v>
      </c>
      <c r="Z75" s="74">
        <v>8149.1004128263448</v>
      </c>
      <c r="AA75" s="74">
        <v>8149.1004128263448</v>
      </c>
      <c r="AB75" s="74">
        <v>8149.1004128263448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6FE9-DE17-4100-8B41-4B339C1CAE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71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1</v>
      </c>
      <c r="S1" s="69">
        <v>3</v>
      </c>
      <c r="T1" s="69">
        <v>5</v>
      </c>
      <c r="U1" s="69">
        <v>6</v>
      </c>
      <c r="V1" s="69">
        <v>8</v>
      </c>
      <c r="W1" s="69">
        <v>10</v>
      </c>
      <c r="X1" s="69">
        <v>12</v>
      </c>
      <c r="Y1" s="69">
        <v>13</v>
      </c>
      <c r="Z1" s="69">
        <v>15</v>
      </c>
      <c r="AA1" s="69">
        <v>17</v>
      </c>
      <c r="AB1" s="69">
        <v>18</v>
      </c>
      <c r="AC1" s="69">
        <v>20</v>
      </c>
      <c r="AD1" s="69">
        <v>22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1.8809523809523809</v>
      </c>
      <c r="T2" s="69">
        <v>2.0476190476190474</v>
      </c>
      <c r="U2" s="69">
        <v>2.2142857142857144</v>
      </c>
      <c r="V2" s="69">
        <v>2.3809523809523809</v>
      </c>
      <c r="W2" s="69">
        <v>2.5476190476190474</v>
      </c>
      <c r="X2" s="69">
        <v>2.7142857142857144</v>
      </c>
      <c r="Y2" s="69">
        <v>2.8809523809523809</v>
      </c>
      <c r="Z2" s="69">
        <v>3.0476190476190474</v>
      </c>
      <c r="AA2" s="69">
        <v>3.2142857142857144</v>
      </c>
      <c r="AB2" s="69">
        <v>3.3809523809523809</v>
      </c>
      <c r="AC2" s="69">
        <v>3.5476190476190474</v>
      </c>
      <c r="AD2" s="69">
        <v>3.7142857142857144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0.16666666666666666</v>
      </c>
      <c r="T3" s="69">
        <v>0.33333333333333331</v>
      </c>
      <c r="U3" s="69">
        <v>0.5</v>
      </c>
      <c r="V3" s="69">
        <v>0.66666666666666663</v>
      </c>
      <c r="W3" s="69">
        <v>0.83333333333333337</v>
      </c>
      <c r="X3" s="69">
        <v>1</v>
      </c>
      <c r="Y3" s="69">
        <v>1.1666666666666667</v>
      </c>
      <c r="Z3" s="69">
        <v>1.3333333333333333</v>
      </c>
      <c r="AA3" s="69">
        <v>1.5</v>
      </c>
      <c r="AB3" s="69">
        <v>1.6666666666666667</v>
      </c>
      <c r="AC3" s="69">
        <v>1.8333333333333333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1</v>
      </c>
      <c r="S4" s="69">
        <v>4.8809523809523814</v>
      </c>
      <c r="T4" s="69">
        <v>7.0476190476190474</v>
      </c>
      <c r="U4" s="69">
        <v>8.2142857142857153</v>
      </c>
      <c r="V4" s="69">
        <v>10.380952380952381</v>
      </c>
      <c r="W4" s="69">
        <v>12.547619047619047</v>
      </c>
      <c r="X4" s="69">
        <v>14.714285714285715</v>
      </c>
      <c r="Y4" s="69">
        <v>15.880952380952381</v>
      </c>
      <c r="Z4" s="69">
        <v>18.047619047619047</v>
      </c>
      <c r="AA4" s="69">
        <v>20.214285714285715</v>
      </c>
      <c r="AB4" s="69">
        <v>21.38095238095238</v>
      </c>
      <c r="AC4" s="69">
        <v>23.547619047619047</v>
      </c>
      <c r="AD4" s="69">
        <v>25.714285714285715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2</v>
      </c>
      <c r="S6" s="66">
        <v>4</v>
      </c>
      <c r="T6" s="66">
        <v>5</v>
      </c>
      <c r="U6" s="66">
        <v>6</v>
      </c>
      <c r="V6" s="66">
        <v>7</v>
      </c>
      <c r="W6" s="66">
        <v>8</v>
      </c>
      <c r="X6" s="66">
        <v>9</v>
      </c>
      <c r="Y6" s="66">
        <v>10</v>
      </c>
      <c r="Z6" s="66">
        <v>11</v>
      </c>
      <c r="AA6" s="66">
        <v>12</v>
      </c>
      <c r="AB6" s="66">
        <v>13</v>
      </c>
      <c r="AC6" s="66">
        <v>14</v>
      </c>
      <c r="AD6" s="66">
        <v>15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0.46</v>
      </c>
      <c r="S7" s="108">
        <v>1.36</v>
      </c>
      <c r="T7" s="108">
        <v>2.2599999999999998</v>
      </c>
      <c r="U7" s="108">
        <v>2.71</v>
      </c>
      <c r="V7" s="108">
        <v>3.61</v>
      </c>
      <c r="W7" s="108">
        <v>4.51</v>
      </c>
      <c r="X7" s="108">
        <v>5.42</v>
      </c>
      <c r="Y7" s="108">
        <v>5.87</v>
      </c>
      <c r="Z7" s="108">
        <v>6.77</v>
      </c>
      <c r="AA7" s="108">
        <v>7.67</v>
      </c>
      <c r="AB7" s="108">
        <v>8.1199999999999992</v>
      </c>
      <c r="AC7" s="108">
        <v>9.02</v>
      </c>
      <c r="AD7" s="108">
        <v>9.93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9.9999999999999992E-2</v>
      </c>
      <c r="S8" s="108">
        <v>0.28000000000000003</v>
      </c>
      <c r="T8" s="108">
        <v>0.46</v>
      </c>
      <c r="U8" s="108">
        <v>0.55000000000000004</v>
      </c>
      <c r="V8" s="108">
        <v>0.73</v>
      </c>
      <c r="W8" s="108">
        <v>0.91</v>
      </c>
      <c r="X8" s="108">
        <v>1.1000000000000001</v>
      </c>
      <c r="Y8" s="108">
        <v>1.19</v>
      </c>
      <c r="Z8" s="108">
        <v>1.37</v>
      </c>
      <c r="AA8" s="108">
        <v>1.55</v>
      </c>
      <c r="AB8" s="108">
        <v>1.64</v>
      </c>
      <c r="AC8" s="108">
        <v>1.82</v>
      </c>
      <c r="AD8" s="108">
        <v>2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0.15000000000000002</v>
      </c>
      <c r="T12" s="108">
        <v>0.16</v>
      </c>
      <c r="U12" s="108">
        <v>0.18000000000000002</v>
      </c>
      <c r="V12" s="108">
        <v>0.19</v>
      </c>
      <c r="W12" s="108">
        <v>0.2</v>
      </c>
      <c r="X12" s="108">
        <v>0.21000000000000002</v>
      </c>
      <c r="Y12" s="108">
        <v>0.23</v>
      </c>
      <c r="Z12" s="108">
        <v>0.24000000000000002</v>
      </c>
      <c r="AA12" s="108">
        <v>0.25</v>
      </c>
      <c r="AB12" s="108">
        <v>0.27</v>
      </c>
      <c r="AC12" s="108">
        <v>0.28000000000000003</v>
      </c>
      <c r="AD12" s="108">
        <v>0.29000000000000004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0.01</v>
      </c>
      <c r="S13" s="108">
        <v>0.21000000000000002</v>
      </c>
      <c r="T13" s="108">
        <v>0.24000000000000002</v>
      </c>
      <c r="U13" s="108">
        <v>0.26</v>
      </c>
      <c r="V13" s="108">
        <v>0.29000000000000004</v>
      </c>
      <c r="W13" s="108">
        <v>0.31</v>
      </c>
      <c r="X13" s="108">
        <v>0.34</v>
      </c>
      <c r="Y13" s="108">
        <v>0.36</v>
      </c>
      <c r="Z13" s="108">
        <v>0.39</v>
      </c>
      <c r="AA13" s="108">
        <v>0.42</v>
      </c>
      <c r="AB13" s="108">
        <v>0.44</v>
      </c>
      <c r="AC13" s="108">
        <v>0.47000000000000003</v>
      </c>
      <c r="AD13" s="108">
        <v>0.5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0.01</v>
      </c>
      <c r="S14" s="108">
        <v>0.12</v>
      </c>
      <c r="T14" s="108">
        <v>0.13</v>
      </c>
      <c r="U14" s="108">
        <v>0.15000000000000002</v>
      </c>
      <c r="V14" s="108">
        <v>0.17</v>
      </c>
      <c r="W14" s="108">
        <v>0.19</v>
      </c>
      <c r="X14" s="108">
        <v>0.21000000000000002</v>
      </c>
      <c r="Y14" s="108">
        <v>0.22</v>
      </c>
      <c r="Z14" s="108">
        <v>0.24000000000000002</v>
      </c>
      <c r="AA14" s="108">
        <v>0.26</v>
      </c>
      <c r="AB14" s="108">
        <v>0.27</v>
      </c>
      <c r="AC14" s="108">
        <v>0.29000000000000004</v>
      </c>
      <c r="AD14" s="108">
        <v>0.31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0.01</v>
      </c>
      <c r="S15" s="108">
        <v>0.02</v>
      </c>
      <c r="T15" s="108">
        <v>0.02</v>
      </c>
      <c r="U15" s="108">
        <v>0.03</v>
      </c>
      <c r="V15" s="108">
        <v>0.04</v>
      </c>
      <c r="W15" s="108">
        <v>0.04</v>
      </c>
      <c r="X15" s="108">
        <v>0.05</v>
      </c>
      <c r="Y15" s="108">
        <v>6.0000000000000005E-2</v>
      </c>
      <c r="Z15" s="108">
        <v>0.06</v>
      </c>
      <c r="AA15" s="108">
        <v>6.9999999999999993E-2</v>
      </c>
      <c r="AB15" s="108">
        <v>0.08</v>
      </c>
      <c r="AC15" s="108">
        <v>0.08</v>
      </c>
      <c r="AD15" s="108">
        <v>0.09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0.01</v>
      </c>
      <c r="S16" s="108">
        <v>0.02</v>
      </c>
      <c r="T16" s="108">
        <v>0.02</v>
      </c>
      <c r="U16" s="108">
        <v>0.03</v>
      </c>
      <c r="V16" s="108">
        <v>0.04</v>
      </c>
      <c r="W16" s="108">
        <v>0.04</v>
      </c>
      <c r="X16" s="108">
        <v>0.05</v>
      </c>
      <c r="Y16" s="108">
        <v>6.0000000000000005E-2</v>
      </c>
      <c r="Z16" s="108">
        <v>0.06</v>
      </c>
      <c r="AA16" s="108">
        <v>6.9999999999999993E-2</v>
      </c>
      <c r="AB16" s="108">
        <v>0.08</v>
      </c>
      <c r="AC16" s="108">
        <v>0.08</v>
      </c>
      <c r="AD16" s="108">
        <v>0.09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1</v>
      </c>
      <c r="S21" s="120">
        <v>2</v>
      </c>
      <c r="T21" s="120">
        <v>3</v>
      </c>
      <c r="U21" s="120">
        <v>3</v>
      </c>
      <c r="V21" s="120">
        <v>4</v>
      </c>
      <c r="W21" s="120">
        <v>5</v>
      </c>
      <c r="X21" s="120">
        <v>7</v>
      </c>
      <c r="Y21" s="120">
        <v>7</v>
      </c>
      <c r="Z21" s="120">
        <v>8</v>
      </c>
      <c r="AA21" s="120">
        <v>9</v>
      </c>
      <c r="AB21" s="120">
        <v>10</v>
      </c>
      <c r="AC21" s="120">
        <v>11</v>
      </c>
      <c r="AD21" s="120">
        <v>12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174.55720170454555</v>
      </c>
      <c r="S22" s="78">
        <v>174.55720170454543</v>
      </c>
      <c r="T22" s="78">
        <v>174.55720170454541</v>
      </c>
      <c r="U22" s="78">
        <v>174.55720170454543</v>
      </c>
      <c r="V22" s="78">
        <v>174.55720170454555</v>
      </c>
      <c r="W22" s="78">
        <v>174.55720170454541</v>
      </c>
      <c r="X22" s="78">
        <v>174.55720170454543</v>
      </c>
      <c r="Y22" s="78">
        <v>174.55720170454546</v>
      </c>
      <c r="Z22" s="78">
        <v>174.55720170454546</v>
      </c>
      <c r="AA22" s="78">
        <v>174.55720170454549</v>
      </c>
      <c r="AB22" s="78">
        <v>174.55720170454549</v>
      </c>
      <c r="AC22" s="78">
        <v>174.55720170454541</v>
      </c>
      <c r="AD22" s="78">
        <v>174.55720170454541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51.626666666666658</v>
      </c>
      <c r="S23" s="52">
        <v>154.88</v>
      </c>
      <c r="T23" s="52">
        <v>258.13333333333333</v>
      </c>
      <c r="U23" s="52">
        <v>309.76</v>
      </c>
      <c r="V23" s="52">
        <v>413.01333333333326</v>
      </c>
      <c r="W23" s="52">
        <v>516.26666666666665</v>
      </c>
      <c r="X23" s="52">
        <v>619.52</v>
      </c>
      <c r="Y23" s="52">
        <v>671.14666666666665</v>
      </c>
      <c r="Z23" s="52">
        <v>774.39999999999986</v>
      </c>
      <c r="AA23" s="52">
        <v>877.65333333333331</v>
      </c>
      <c r="AB23" s="52">
        <v>929.27999999999986</v>
      </c>
      <c r="AC23" s="52">
        <v>1032.5333333333333</v>
      </c>
      <c r="AD23" s="52">
        <v>1135.7866666666666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8154.019033333333</v>
      </c>
      <c r="S26" s="12">
        <v>24462.057099999998</v>
      </c>
      <c r="T26" s="12">
        <v>40770.095166666659</v>
      </c>
      <c r="U26" s="12">
        <v>48924.114199999996</v>
      </c>
      <c r="V26" s="12">
        <v>65232.152266666664</v>
      </c>
      <c r="W26" s="12">
        <v>81540.190333333318</v>
      </c>
      <c r="X26" s="12">
        <v>97848.228399999993</v>
      </c>
      <c r="Y26" s="12">
        <v>106002.24743333334</v>
      </c>
      <c r="Z26" s="12">
        <v>122310.28549999998</v>
      </c>
      <c r="AA26" s="12">
        <v>138618.32356666666</v>
      </c>
      <c r="AB26" s="12">
        <v>146772.3426</v>
      </c>
      <c r="AC26" s="12">
        <v>163080.38066666664</v>
      </c>
      <c r="AD26" s="12">
        <v>179388.4187333333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1086.8529099999998</v>
      </c>
      <c r="S28" s="12">
        <v>3260.5587299999988</v>
      </c>
      <c r="T28" s="12">
        <v>5434.2645499999981</v>
      </c>
      <c r="U28" s="12">
        <v>6521.1174599999977</v>
      </c>
      <c r="V28" s="12">
        <v>8694.8232799999987</v>
      </c>
      <c r="W28" s="12">
        <v>10868.529099999996</v>
      </c>
      <c r="X28" s="12">
        <v>13042.234919999995</v>
      </c>
      <c r="Y28" s="12">
        <v>14129.087829999997</v>
      </c>
      <c r="Z28" s="12">
        <v>16302.793649999996</v>
      </c>
      <c r="AA28" s="12">
        <v>18476.499469999999</v>
      </c>
      <c r="AB28" s="12">
        <v>19563.352379999993</v>
      </c>
      <c r="AC28" s="12">
        <v>21737.058199999992</v>
      </c>
      <c r="AD28" s="12">
        <v>23910.764019999991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167.20813999999999</v>
      </c>
      <c r="S29" s="12">
        <v>501.62441999999999</v>
      </c>
      <c r="T29" s="12">
        <v>836.04070000000002</v>
      </c>
      <c r="U29" s="12">
        <v>1003.24884</v>
      </c>
      <c r="V29" s="12">
        <v>1337.6651199999999</v>
      </c>
      <c r="W29" s="12">
        <v>1672.0814</v>
      </c>
      <c r="X29" s="12">
        <v>2006.4976799999999</v>
      </c>
      <c r="Y29" s="12">
        <v>2173.7058200000001</v>
      </c>
      <c r="Z29" s="12">
        <v>2508.1221</v>
      </c>
      <c r="AA29" s="12">
        <v>2842.5383799999995</v>
      </c>
      <c r="AB29" s="12">
        <v>3009.7465200000001</v>
      </c>
      <c r="AC29" s="12">
        <v>3344.1628000000001</v>
      </c>
      <c r="AD29" s="12">
        <v>3678.5790799999995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218.1677333333333</v>
      </c>
      <c r="S30" s="12">
        <v>654.50319999999988</v>
      </c>
      <c r="T30" s="12">
        <v>1090.8386666666665</v>
      </c>
      <c r="U30" s="12">
        <v>1309.0063999999998</v>
      </c>
      <c r="V30" s="12">
        <v>1745.3418666666664</v>
      </c>
      <c r="W30" s="12">
        <v>2181.6773333333331</v>
      </c>
      <c r="X30" s="12">
        <v>2618.0127999999995</v>
      </c>
      <c r="Y30" s="12">
        <v>2836.1805333333332</v>
      </c>
      <c r="Z30" s="12">
        <v>3272.5159999999996</v>
      </c>
      <c r="AA30" s="12">
        <v>3708.8514666666661</v>
      </c>
      <c r="AB30" s="12">
        <v>3927.0191999999997</v>
      </c>
      <c r="AC30" s="12">
        <v>4363.3546666666662</v>
      </c>
      <c r="AD30" s="12">
        <v>4799.6901333333326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-1155.1497380000001</v>
      </c>
      <c r="S35" s="12">
        <v>-3465.4492139999993</v>
      </c>
      <c r="T35" s="12">
        <v>-5775.7486899999985</v>
      </c>
      <c r="U35" s="12">
        <v>-6930.8984279999986</v>
      </c>
      <c r="V35" s="12">
        <v>-9241.1979040000006</v>
      </c>
      <c r="W35" s="12">
        <v>-11551.497379999997</v>
      </c>
      <c r="X35" s="12">
        <v>-13861.796855999997</v>
      </c>
      <c r="Y35" s="12">
        <v>-15016.946594000001</v>
      </c>
      <c r="Z35" s="12">
        <v>-17327.246069999997</v>
      </c>
      <c r="AA35" s="12">
        <v>-19637.545546000001</v>
      </c>
      <c r="AB35" s="12">
        <v>-20792.695283999998</v>
      </c>
      <c r="AC35" s="12">
        <v>-23102.994759999994</v>
      </c>
      <c r="AD35" s="12">
        <v>-25413.294235999994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8471.0980786666678</v>
      </c>
      <c r="S37" s="13">
        <v>25413.294235999994</v>
      </c>
      <c r="T37" s="13">
        <v>42355.490393333319</v>
      </c>
      <c r="U37" s="13">
        <v>50826.588471999989</v>
      </c>
      <c r="V37" s="13">
        <v>67768.784629333342</v>
      </c>
      <c r="W37" s="13">
        <v>84710.980786666638</v>
      </c>
      <c r="X37" s="13">
        <v>101653.17694399998</v>
      </c>
      <c r="Y37" s="13">
        <v>110124.27502266667</v>
      </c>
      <c r="Z37" s="13">
        <v>127066.47117999999</v>
      </c>
      <c r="AA37" s="13">
        <v>144008.66733733335</v>
      </c>
      <c r="AB37" s="13">
        <v>152479.76541600001</v>
      </c>
      <c r="AC37" s="13">
        <v>169421.96157333328</v>
      </c>
      <c r="AD37" s="13">
        <v>186364.15773066663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13213.632268173884</v>
      </c>
      <c r="S40" s="12">
        <v>28234.584292299427</v>
      </c>
      <c r="T40" s="12">
        <v>32791.272983091636</v>
      </c>
      <c r="U40" s="12">
        <v>35591.182328487739</v>
      </c>
      <c r="V40" s="12">
        <v>40441.351019279944</v>
      </c>
      <c r="W40" s="12">
        <v>45001.229710072163</v>
      </c>
      <c r="X40" s="12">
        <v>49981.624656975473</v>
      </c>
      <c r="Y40" s="12">
        <v>52711.354002371576</v>
      </c>
      <c r="Z40" s="12">
        <v>57338.222693163792</v>
      </c>
      <c r="AA40" s="12">
        <v>62188.391383956012</v>
      </c>
      <c r="AB40" s="12">
        <v>64918.120729352093</v>
      </c>
      <c r="AC40" s="12">
        <v>76499.488362158751</v>
      </c>
      <c r="AD40" s="12">
        <v>81862.710637085751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364.434304</v>
      </c>
      <c r="S44" s="12">
        <v>883.05235200000004</v>
      </c>
      <c r="T44" s="12">
        <v>900.57323200000008</v>
      </c>
      <c r="U44" s="12">
        <v>928.60663999999997</v>
      </c>
      <c r="V44" s="12">
        <v>956.64004799999998</v>
      </c>
      <c r="W44" s="12">
        <v>974.16092800000001</v>
      </c>
      <c r="X44" s="12">
        <v>1002.1943359999998</v>
      </c>
      <c r="Y44" s="12">
        <v>1026.7235680000001</v>
      </c>
      <c r="Z44" s="12">
        <v>1047.7486240000003</v>
      </c>
      <c r="AA44" s="12">
        <v>1075.7820319999998</v>
      </c>
      <c r="AB44" s="12">
        <v>1100.3112639999999</v>
      </c>
      <c r="AC44" s="12">
        <v>1166.1897728000004</v>
      </c>
      <c r="AD44" s="12">
        <v>1195.3445171200001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2203.1999999999998</v>
      </c>
      <c r="S46" s="12">
        <v>3508.7999999999993</v>
      </c>
      <c r="T46" s="12">
        <v>4085.0999999999995</v>
      </c>
      <c r="U46" s="12">
        <v>4401.3</v>
      </c>
      <c r="V46" s="12">
        <v>4992.9000000000005</v>
      </c>
      <c r="W46" s="12">
        <v>5569.1999999999989</v>
      </c>
      <c r="X46" s="12">
        <v>6171.0000000000009</v>
      </c>
      <c r="Y46" s="12">
        <v>6482.1000000000013</v>
      </c>
      <c r="Z46" s="12">
        <v>7063.5000000000009</v>
      </c>
      <c r="AA46" s="12">
        <v>7655.1</v>
      </c>
      <c r="AB46" s="12">
        <v>7966.1999999999989</v>
      </c>
      <c r="AC46" s="12">
        <v>8718.5519999999997</v>
      </c>
      <c r="AD46" s="12">
        <v>9327.1859999999997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915.32894413145164</v>
      </c>
      <c r="S49" s="12">
        <f>'Corp.'!S$50*(S$37-(S31-S32-S34)*$C$35)/(SUM('MDA1:NCA9'!S$37)-SUM('MDA1:NCA9'!S$31)-SUM('MDA1:NCA9'!S$32)-SUM('MDA1:NCA9'!S$34))</f>
        <v>2632.5893569708446</v>
      </c>
      <c r="T49" s="12">
        <f>'Corp.'!T$50*(T$37-(T31-T32-T34)*$C$35)/(SUM('MDA1:NCA9'!T$37)-SUM('MDA1:NCA9'!T$31)-SUM('MDA1:NCA9'!T$32)-SUM('MDA1:NCA9'!T$34))</f>
        <v>4228.2854151505026</v>
      </c>
      <c r="U49" s="12">
        <f>'Corp.'!U$50*(U$37-(U31-U32-U34)*$C$35)/(SUM('MDA1:NCA9'!U$37)-SUM('MDA1:NCA9'!U$31)-SUM('MDA1:NCA9'!U$32)-SUM('MDA1:NCA9'!U$34))</f>
        <v>4943.4472770790217</v>
      </c>
      <c r="V49" s="12">
        <f>'Corp.'!V$50*(V$37-(V31-V32-V34)*$C$35)/(SUM('MDA1:NCA9'!V$37)-SUM('MDA1:NCA9'!V$31)-SUM('MDA1:NCA9'!V$32)-SUM('MDA1:NCA9'!V$34))</f>
        <v>6450.0618620211626</v>
      </c>
      <c r="W49" s="12">
        <f>'Corp.'!W$50*(W$37-(W31-W32-W34)*$C$35)/(SUM('MDA1:NCA9'!W$37)-SUM('MDA1:NCA9'!W$31)-SUM('MDA1:NCA9'!W$32)-SUM('MDA1:NCA9'!W$34))</f>
        <v>7830.5228607261624</v>
      </c>
      <c r="X49" s="12">
        <f>'Corp.'!X$50*(X$37-(X31-X32-X34)*$C$35)/(SUM('MDA1:NCA9'!X$37)-SUM('MDA1:NCA9'!X$31)-SUM('MDA1:NCA9'!X$32)-SUM('MDA1:NCA9'!X$34))</f>
        <v>9117.3478581682739</v>
      </c>
      <c r="Y49" s="12">
        <f>'Corp.'!Y$50*(Y$37-(Y31-Y32-Y34)*$C$35)/(SUM('MDA1:NCA9'!Y$37)-SUM('MDA1:NCA9'!Y$31)-SUM('MDA1:NCA9'!Y$32)-SUM('MDA1:NCA9'!Y$34))</f>
        <v>9681.0910725988451</v>
      </c>
      <c r="Z49" s="12">
        <f>'Corp.'!Z$50*(Z$37-(Z31-Z32-Z34)*$C$35)/(SUM('MDA1:NCA9'!Z$37)-SUM('MDA1:NCA9'!Z$31)-SUM('MDA1:NCA9'!Z$32)-SUM('MDA1:NCA9'!Z$34))</f>
        <v>10944.169363576908</v>
      </c>
      <c r="AA49" s="12">
        <f>'Corp.'!AA$50*(AA$37-(AA31-AA32-AA34)*$C$35)/(SUM('MDA1:NCA9'!AA$37)-SUM('MDA1:NCA9'!AA$31)-SUM('MDA1:NCA9'!AA$32)-SUM('MDA1:NCA9'!AA$34))</f>
        <v>12137.373099471217</v>
      </c>
      <c r="AB49" s="12">
        <f>'Corp.'!AB$50*(AB$37-(AB31-AB32-AB34)*$C$35)/(SUM('MDA1:NCA9'!AB$37)-SUM('MDA1:NCA9'!AB$31)-SUM('MDA1:NCA9'!AB$32)-SUM('MDA1:NCA9'!AB$34))</f>
        <v>12576.022686610766</v>
      </c>
      <c r="AC49" s="12">
        <f>'Corp.'!AC$50*(AC$37-(AC31-AC32-AC34)*$C$35)/(SUM('MDA1:NCA9'!AC$37)-SUM('MDA1:NCA9'!AC$31)-SUM('MDA1:NCA9'!AC$32)-SUM('MDA1:NCA9'!AC$34))</f>
        <v>15121.099962533632</v>
      </c>
      <c r="AD49" s="12">
        <f>'Corp.'!AD$50*(AD$37-(AD31-AD32-AD34)*$C$35)/(SUM('MDA1:NCA9'!AD$37)-SUM('MDA1:NCA9'!AD$31)-SUM('MDA1:NCA9'!AD$32)-SUM('MDA1:NCA9'!AD$34))</f>
        <v>16377.822255533372</v>
      </c>
      <c r="AE49" s="12">
        <f>'Corp.'!AE$50*(AE$37-(AE31-AE32-AE34)*$C$35)/(SUM('MDA1:NCA9'!AE$37)-SUM('MDA1:NCA9'!AE$31)-SUM('MDA1:NCA9'!AE$32)-SUM('MDA1:NCA9'!AE$34))</f>
        <v>17602.956190031058</v>
      </c>
      <c r="AF49" s="12">
        <f>'Corp.'!AF$50*(AF$37-(AF31-AF32-AF34)*$C$35)/(SUM('MDA1:NCA9'!AF$37)-SUM('MDA1:NCA9'!AF$31)-SUM('MDA1:NCA9'!AF$32)-SUM('MDA1:NCA9'!AF$34))</f>
        <v>17354.927810904559</v>
      </c>
      <c r="AG49" s="12">
        <f>'Corp.'!AG$50*(AG$37-(AG31-AG32-AG34)*$C$35)/(SUM('MDA1:NCA9'!AG$37)-SUM('MDA1:NCA9'!AG$31)-SUM('MDA1:NCA9'!AG$32)-SUM('MDA1:NCA9'!AG$34))</f>
        <v>17157.408661271958</v>
      </c>
      <c r="AH49" s="12">
        <f>'Corp.'!AH$50*(AH$37-(AH31-AH32-AH34)*$C$35)/(SUM('MDA1:NCA9'!AH$37)-SUM('MDA1:NCA9'!AH$31)-SUM('MDA1:NCA9'!AH$32)-SUM('MDA1:NCA9'!AH$34))</f>
        <v>16895.54788351875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16332.161212305335</v>
      </c>
      <c r="S50" s="13">
        <v>34375.973649270272</v>
      </c>
      <c r="T50" s="13">
        <v>41104.658398242136</v>
      </c>
      <c r="U50" s="13">
        <v>44935.929605566766</v>
      </c>
      <c r="V50" s="13">
        <v>51884.312881301106</v>
      </c>
      <c r="W50" s="13">
        <v>58400.952570798319</v>
      </c>
      <c r="X50" s="13">
        <v>65269.972515143745</v>
      </c>
      <c r="Y50" s="13">
        <v>68874.545074970418</v>
      </c>
      <c r="Z50" s="13">
        <v>75345.892056740704</v>
      </c>
      <c r="AA50" s="13">
        <v>81980.864483427227</v>
      </c>
      <c r="AB50" s="13">
        <v>85460.343415962867</v>
      </c>
      <c r="AC50" s="13">
        <v>100339.14032469237</v>
      </c>
      <c r="AD50" s="13">
        <v>107567.71889261913</v>
      </c>
      <c r="AE50" s="13">
        <v>110900.99422032156</v>
      </c>
      <c r="AF50" s="13">
        <v>110652.96584119507</v>
      </c>
      <c r="AG50" s="13">
        <v>110455.44669156247</v>
      </c>
      <c r="AH50" s="13">
        <v>110193.58591380926</v>
      </c>
      <c r="AI50" s="13">
        <v>109922.09797539872</v>
      </c>
      <c r="AJ50" s="13">
        <v>109641.83328582086</v>
      </c>
      <c r="AK50" s="13">
        <v>109382.95349925548</v>
      </c>
      <c r="AL50" s="13">
        <v>109144.99108569178</v>
      </c>
      <c r="AM50" s="13">
        <v>108888.41793824645</v>
      </c>
      <c r="AN50" s="13">
        <v>108670.04897950584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-7861.0631336386668</v>
      </c>
      <c r="S52" s="74">
        <f t="shared" si="0"/>
        <v>-8962.679413270278</v>
      </c>
      <c r="T52" s="74">
        <f t="shared" si="0"/>
        <v>1250.8319950911828</v>
      </c>
      <c r="U52" s="74">
        <f t="shared" si="0"/>
        <v>5890.658866433223</v>
      </c>
      <c r="V52" s="74">
        <f t="shared" si="0"/>
        <v>15884.471748032236</v>
      </c>
      <c r="W52" s="74">
        <f t="shared" si="0"/>
        <v>26310.028215868319</v>
      </c>
      <c r="X52" s="74">
        <f t="shared" si="0"/>
        <v>36383.204428856232</v>
      </c>
      <c r="Y52" s="74">
        <f t="shared" si="0"/>
        <v>41249.729947696251</v>
      </c>
      <c r="Z52" s="74">
        <f t="shared" si="0"/>
        <v>51720.579123259289</v>
      </c>
      <c r="AA52" s="74">
        <f t="shared" si="0"/>
        <v>62027.80285390612</v>
      </c>
      <c r="AB52" s="74">
        <f t="shared" si="0"/>
        <v>67019.422000037142</v>
      </c>
      <c r="AC52" s="74">
        <f t="shared" si="0"/>
        <v>69082.821248640903</v>
      </c>
      <c r="AD52" s="74">
        <f t="shared" si="0"/>
        <v>78796.438838047499</v>
      </c>
      <c r="AE52" s="74">
        <f t="shared" si="0"/>
        <v>92405.359667678393</v>
      </c>
      <c r="AF52" s="74">
        <f t="shared" si="0"/>
        <v>92653.388046804888</v>
      </c>
      <c r="AG52" s="74">
        <f t="shared" si="0"/>
        <v>92850.907196437489</v>
      </c>
      <c r="AH52" s="74">
        <f t="shared" si="0"/>
        <v>93112.76797419069</v>
      </c>
      <c r="AI52" s="74">
        <f t="shared" si="0"/>
        <v>93384.255912601235</v>
      </c>
      <c r="AJ52" s="74">
        <f t="shared" si="0"/>
        <v>93664.520602179095</v>
      </c>
      <c r="AK52" s="74">
        <f t="shared" si="0"/>
        <v>93923.400388744471</v>
      </c>
      <c r="AL52" s="74">
        <f t="shared" si="0"/>
        <v>94161.362802308169</v>
      </c>
      <c r="AM52" s="74">
        <f t="shared" si="0"/>
        <v>94417.935949753504</v>
      </c>
      <c r="AN52" s="74">
        <f t="shared" si="0"/>
        <v>94636.304908494116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>
        <f t="shared" si="1"/>
        <v>-0.92798632014847138</v>
      </c>
      <c r="S53" s="107">
        <f t="shared" si="1"/>
        <v>-0.35267680490528125</v>
      </c>
      <c r="T53" s="107">
        <f t="shared" si="1"/>
        <v>2.9531755705703305E-2</v>
      </c>
      <c r="U53" s="107">
        <f t="shared" si="1"/>
        <v>0.11589719167711493</v>
      </c>
      <c r="V53" s="107">
        <f t="shared" si="1"/>
        <v>0.23439215908789857</v>
      </c>
      <c r="W53" s="107">
        <f t="shared" si="1"/>
        <v>0.31058580565991362</v>
      </c>
      <c r="X53" s="107">
        <f t="shared" si="1"/>
        <v>0.3579150747929844</v>
      </c>
      <c r="Y53" s="107">
        <f t="shared" si="1"/>
        <v>0.37457436100447333</v>
      </c>
      <c r="Z53" s="107">
        <f t="shared" si="1"/>
        <v>0.40703561406055638</v>
      </c>
      <c r="AA53" s="107">
        <f t="shared" si="1"/>
        <v>0.43072270579804051</v>
      </c>
      <c r="AB53" s="107">
        <f t="shared" si="1"/>
        <v>0.43952993905252075</v>
      </c>
      <c r="AC53" s="107">
        <f t="shared" si="1"/>
        <v>0.40775599932325668</v>
      </c>
      <c r="AD53" s="107">
        <f t="shared" si="1"/>
        <v>0.42280897677719803</v>
      </c>
      <c r="AE53" s="107">
        <f t="shared" si="1"/>
        <v>0.45451289593528327</v>
      </c>
      <c r="AF53" s="107">
        <f t="shared" si="1"/>
        <v>0.45573286950907099</v>
      </c>
      <c r="AG53" s="107">
        <f t="shared" si="1"/>
        <v>0.45670440407183932</v>
      </c>
      <c r="AH53" s="107">
        <f t="shared" si="1"/>
        <v>0.45799241486316683</v>
      </c>
      <c r="AI53" s="107">
        <f t="shared" si="1"/>
        <v>0.45932777862931901</v>
      </c>
      <c r="AJ53" s="107">
        <f t="shared" si="1"/>
        <v>0.46070631247353055</v>
      </c>
      <c r="AK53" s="107">
        <f t="shared" si="1"/>
        <v>0.46197966070694579</v>
      </c>
      <c r="AL53" s="107">
        <f t="shared" si="1"/>
        <v>0.46315012296261532</v>
      </c>
      <c r="AM53" s="107">
        <f t="shared" si="1"/>
        <v>0.46441212556380645</v>
      </c>
      <c r="AN53" s="107">
        <f t="shared" si="1"/>
        <v>0.4654862137787813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-7861.0631336386668</v>
      </c>
      <c r="S58" s="13">
        <f t="shared" si="2"/>
        <v>-8962.679413270278</v>
      </c>
      <c r="T58" s="13">
        <f t="shared" si="2"/>
        <v>1250.8319950911828</v>
      </c>
      <c r="U58" s="13">
        <f t="shared" si="2"/>
        <v>5890.658866433223</v>
      </c>
      <c r="V58" s="13">
        <f t="shared" si="2"/>
        <v>15884.471748032236</v>
      </c>
      <c r="W58" s="13">
        <f t="shared" si="2"/>
        <v>25039.363504068318</v>
      </c>
      <c r="X58" s="13">
        <f t="shared" si="2"/>
        <v>32571.210293456232</v>
      </c>
      <c r="Y58" s="13">
        <f t="shared" si="2"/>
        <v>34896.406388696254</v>
      </c>
      <c r="Z58" s="13">
        <f t="shared" si="2"/>
        <v>44096.590852459289</v>
      </c>
      <c r="AA58" s="13">
        <f t="shared" si="2"/>
        <v>51862.485159506119</v>
      </c>
      <c r="AB58" s="13">
        <f t="shared" si="2"/>
        <v>54312.774882037149</v>
      </c>
      <c r="AC58" s="13">
        <f t="shared" si="2"/>
        <v>53834.844707040909</v>
      </c>
      <c r="AD58" s="13">
        <f t="shared" si="2"/>
        <v>62277.797584647502</v>
      </c>
      <c r="AE58" s="13">
        <f t="shared" si="2"/>
        <v>73345.388990678388</v>
      </c>
      <c r="AF58" s="13">
        <f t="shared" si="2"/>
        <v>71052.087946204891</v>
      </c>
      <c r="AG58" s="13">
        <f t="shared" si="2"/>
        <v>69978.94238403748</v>
      </c>
      <c r="AH58" s="13">
        <f t="shared" si="2"/>
        <v>67699.473738190703</v>
      </c>
      <c r="AI58" s="13">
        <f t="shared" si="2"/>
        <v>65429.63225300124</v>
      </c>
      <c r="AJ58" s="13">
        <f t="shared" si="2"/>
        <v>63168.567518979107</v>
      </c>
      <c r="AK58" s="13">
        <f t="shared" si="2"/>
        <v>63427.447305544483</v>
      </c>
      <c r="AL58" s="13">
        <f t="shared" si="2"/>
        <v>63665.409719108182</v>
      </c>
      <c r="AM58" s="13">
        <f t="shared" si="2"/>
        <v>63921.982866553517</v>
      </c>
      <c r="AN58" s="13">
        <f t="shared" si="2"/>
        <v>64140.351825294129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-7861.0631336386668</v>
      </c>
      <c r="S59" s="12">
        <v>-16823.742546908943</v>
      </c>
      <c r="T59" s="12">
        <v>-15572.91055181776</v>
      </c>
      <c r="U59" s="12">
        <v>-9682.2516853845373</v>
      </c>
      <c r="V59" s="12">
        <v>6202.2200626476988</v>
      </c>
      <c r="W59" s="12">
        <v>31241.583566716017</v>
      </c>
      <c r="X59" s="12">
        <v>63812.793860172249</v>
      </c>
      <c r="Y59" s="12">
        <v>98709.200248868496</v>
      </c>
      <c r="Z59" s="12">
        <v>142805.79110132778</v>
      </c>
      <c r="AA59" s="12">
        <v>194668.2762608339</v>
      </c>
      <c r="AB59" s="12">
        <v>248981.05114287103</v>
      </c>
      <c r="AC59" s="12">
        <v>302815.89584991196</v>
      </c>
      <c r="AD59" s="12">
        <v>365093.69343455945</v>
      </c>
      <c r="AE59" s="12">
        <v>438439.08242523787</v>
      </c>
      <c r="AF59" s="12">
        <v>509491.17037144274</v>
      </c>
      <c r="AG59" s="12">
        <v>579470.11275548022</v>
      </c>
      <c r="AH59" s="12">
        <v>647169.58649367094</v>
      </c>
      <c r="AI59" s="12">
        <v>712599.21874667215</v>
      </c>
      <c r="AJ59" s="12">
        <v>775767.78626565123</v>
      </c>
      <c r="AK59" s="12">
        <v>839195.23357119574</v>
      </c>
      <c r="AL59" s="12">
        <v>902860.64329030388</v>
      </c>
      <c r="AM59" s="12">
        <v>966782.62615685735</v>
      </c>
      <c r="AN59" s="12">
        <v>1030922.9779821514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1.1537294382039608E-3</v>
      </c>
      <c r="S72" s="12">
        <v>3.4611883146118826E-3</v>
      </c>
      <c r="T72" s="12">
        <v>5.768647191019805E-3</v>
      </c>
      <c r="U72" s="12">
        <v>6.9223766292237652E-3</v>
      </c>
      <c r="V72" s="12">
        <v>9.2298355056316863E-3</v>
      </c>
      <c r="W72" s="12">
        <v>1.153729438203961E-2</v>
      </c>
      <c r="X72" s="12">
        <v>1.384475325844753E-2</v>
      </c>
      <c r="Y72" s="12">
        <v>1.499848269665149E-2</v>
      </c>
      <c r="Z72" s="12">
        <v>1.7305941573059418E-2</v>
      </c>
      <c r="AA72" s="12">
        <v>1.9613400449467334E-2</v>
      </c>
      <c r="AB72" s="12">
        <v>2.0767129887671303E-2</v>
      </c>
      <c r="AC72" s="12">
        <v>2.5382047640487147E-2</v>
      </c>
      <c r="AD72" s="12">
        <v>2.7920252404535863E-2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-1.1537294382039608E-3</v>
      </c>
      <c r="S75" s="74">
        <v>-3.4611883146118826E-3</v>
      </c>
      <c r="T75" s="74">
        <v>-5.768647191019805E-3</v>
      </c>
      <c r="U75" s="74">
        <v>-6.9223766292237652E-3</v>
      </c>
      <c r="V75" s="74">
        <v>-9.2298355056316863E-3</v>
      </c>
      <c r="W75" s="74">
        <v>-1.153729438203961E-2</v>
      </c>
      <c r="X75" s="74">
        <v>-1.384475325844753E-2</v>
      </c>
      <c r="Y75" s="74">
        <v>-1.499848269665149E-2</v>
      </c>
      <c r="Z75" s="74">
        <v>-1.7305941573059418E-2</v>
      </c>
      <c r="AA75" s="74">
        <v>-1.9613400449467334E-2</v>
      </c>
      <c r="AB75" s="74">
        <v>-2.0767129887671303E-2</v>
      </c>
      <c r="AC75" s="74">
        <v>-2.5382047640487147E-2</v>
      </c>
      <c r="AD75" s="74">
        <v>-2.7920252404535863E-2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4241-A1EE-41A7-8BAF-3AC3169DA28A}">
  <dimension ref="A1:AX75"/>
  <sheetViews>
    <sheetView workbookViewId="0">
      <pane xSplit="4" ySplit="25" topLeftCell="E38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72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3</v>
      </c>
      <c r="T1" s="69">
        <v>6</v>
      </c>
      <c r="U1" s="69">
        <v>9</v>
      </c>
      <c r="V1" s="69">
        <v>12</v>
      </c>
      <c r="W1" s="69">
        <v>15</v>
      </c>
      <c r="X1" s="69">
        <v>18</v>
      </c>
      <c r="Y1" s="69">
        <v>21</v>
      </c>
      <c r="Z1" s="69">
        <v>24</v>
      </c>
      <c r="AA1" s="69">
        <v>27</v>
      </c>
      <c r="AB1" s="69">
        <v>30</v>
      </c>
      <c r="AC1" s="69">
        <v>33</v>
      </c>
      <c r="AD1" s="69">
        <v>36</v>
      </c>
      <c r="AE1" s="69">
        <v>39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3.1666666666666665</v>
      </c>
      <c r="U2" s="69">
        <v>3.3333333333333335</v>
      </c>
      <c r="V2" s="69">
        <v>3.5</v>
      </c>
      <c r="W2" s="69">
        <v>3.6666666666666665</v>
      </c>
      <c r="X2" s="69">
        <v>3.8333333333333335</v>
      </c>
      <c r="Y2" s="69">
        <v>4</v>
      </c>
      <c r="Z2" s="69">
        <v>4.166666666666667</v>
      </c>
      <c r="AA2" s="69">
        <v>4.333333333333333</v>
      </c>
      <c r="AB2" s="69">
        <v>4.5</v>
      </c>
      <c r="AC2" s="69">
        <v>4.666666666666667</v>
      </c>
      <c r="AD2" s="69">
        <v>4.833333333333333</v>
      </c>
      <c r="AE2" s="69">
        <v>5</v>
      </c>
      <c r="AF2" s="69">
        <v>2.1666666666666665</v>
      </c>
      <c r="AG2" s="69">
        <v>2.3333333333333335</v>
      </c>
      <c r="AH2" s="69">
        <v>2.5</v>
      </c>
      <c r="AI2" s="69">
        <v>2.6666666666666665</v>
      </c>
      <c r="AJ2" s="69">
        <v>2.8333333333333335</v>
      </c>
      <c r="AK2" s="69">
        <v>3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0.16666666666666666</v>
      </c>
      <c r="U3" s="69">
        <v>0.33333333333333331</v>
      </c>
      <c r="V3" s="69">
        <v>0.5</v>
      </c>
      <c r="W3" s="69">
        <v>0.66666666666666663</v>
      </c>
      <c r="X3" s="69">
        <v>0.83333333333333337</v>
      </c>
      <c r="Y3" s="69">
        <v>1</v>
      </c>
      <c r="Z3" s="69">
        <v>1.1666666666666667</v>
      </c>
      <c r="AA3" s="69">
        <v>1.3333333333333333</v>
      </c>
      <c r="AB3" s="69">
        <v>1.5</v>
      </c>
      <c r="AC3" s="69">
        <v>1.6666666666666667</v>
      </c>
      <c r="AD3" s="69">
        <v>1.8333333333333333</v>
      </c>
      <c r="AE3" s="69">
        <v>2</v>
      </c>
      <c r="AF3" s="69">
        <v>2.1666666666666665</v>
      </c>
      <c r="AG3" s="69">
        <v>2.3333333333333335</v>
      </c>
      <c r="AH3" s="69">
        <v>2.5</v>
      </c>
      <c r="AI3" s="69">
        <v>2.6666666666666665</v>
      </c>
      <c r="AJ3" s="69">
        <v>2.8333333333333335</v>
      </c>
      <c r="AK3" s="69">
        <v>3</v>
      </c>
      <c r="AL3" s="69">
        <v>3.1666666666666665</v>
      </c>
      <c r="AM3" s="69">
        <v>3.3333333333333335</v>
      </c>
      <c r="AN3" s="69">
        <v>3.5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3</v>
      </c>
      <c r="T4" s="69">
        <v>9.1666666666666661</v>
      </c>
      <c r="U4" s="69">
        <v>12.333333333333334</v>
      </c>
      <c r="V4" s="69">
        <v>15.5</v>
      </c>
      <c r="W4" s="69">
        <v>18.666666666666668</v>
      </c>
      <c r="X4" s="69">
        <v>21.833333333333332</v>
      </c>
      <c r="Y4" s="69">
        <v>25</v>
      </c>
      <c r="Z4" s="69">
        <v>28.166666666666668</v>
      </c>
      <c r="AA4" s="69">
        <v>31.333333333333332</v>
      </c>
      <c r="AB4" s="69">
        <v>34.5</v>
      </c>
      <c r="AC4" s="69">
        <v>37.666666666666664</v>
      </c>
      <c r="AD4" s="69">
        <v>40.833333333333336</v>
      </c>
      <c r="AE4" s="69">
        <v>44</v>
      </c>
      <c r="AF4" s="69">
        <v>44.166666666666664</v>
      </c>
      <c r="AG4" s="69">
        <v>44.333333333333336</v>
      </c>
      <c r="AH4" s="69">
        <v>44.5</v>
      </c>
      <c r="AI4" s="69">
        <v>44.666666666666664</v>
      </c>
      <c r="AJ4" s="69">
        <v>44.833333333333336</v>
      </c>
      <c r="AK4" s="69">
        <v>45</v>
      </c>
      <c r="AL4" s="69">
        <v>45.166666666666664</v>
      </c>
      <c r="AM4" s="69">
        <v>45.333333333333336</v>
      </c>
      <c r="AN4" s="69">
        <v>45.5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6</v>
      </c>
      <c r="T6" s="66">
        <v>11</v>
      </c>
      <c r="U6" s="66">
        <v>15</v>
      </c>
      <c r="V6" s="66">
        <v>18</v>
      </c>
      <c r="W6" s="66">
        <v>22</v>
      </c>
      <c r="X6" s="66">
        <v>26</v>
      </c>
      <c r="Y6" s="66">
        <v>29</v>
      </c>
      <c r="Z6" s="66">
        <v>33</v>
      </c>
      <c r="AA6" s="66">
        <v>37</v>
      </c>
      <c r="AB6" s="66">
        <v>40</v>
      </c>
      <c r="AC6" s="66">
        <v>44</v>
      </c>
      <c r="AD6" s="66">
        <v>47</v>
      </c>
      <c r="AE6" s="66">
        <v>51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2.8299999999999996</v>
      </c>
      <c r="T7" s="108">
        <v>5.6499999999999995</v>
      </c>
      <c r="U7" s="108">
        <v>8.48</v>
      </c>
      <c r="V7" s="108">
        <v>11.299999999999999</v>
      </c>
      <c r="W7" s="108">
        <v>14.12</v>
      </c>
      <c r="X7" s="108">
        <v>16.950000000000003</v>
      </c>
      <c r="Y7" s="108">
        <v>19.770000000000003</v>
      </c>
      <c r="Z7" s="108">
        <v>22.59</v>
      </c>
      <c r="AA7" s="108">
        <v>25.42</v>
      </c>
      <c r="AB7" s="108">
        <v>28.240000000000002</v>
      </c>
      <c r="AC7" s="108">
        <v>31.060000000000002</v>
      </c>
      <c r="AD7" s="108">
        <v>33.89</v>
      </c>
      <c r="AE7" s="108">
        <v>36.71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0.43</v>
      </c>
      <c r="T8" s="108">
        <v>0.86</v>
      </c>
      <c r="U8" s="108">
        <v>1.29</v>
      </c>
      <c r="V8" s="108">
        <v>1.72</v>
      </c>
      <c r="W8" s="108">
        <v>2.15</v>
      </c>
      <c r="X8" s="108">
        <v>2.5799999999999996</v>
      </c>
      <c r="Y8" s="108">
        <v>3</v>
      </c>
      <c r="Z8" s="108">
        <v>3.4299999999999997</v>
      </c>
      <c r="AA8" s="108">
        <v>3.86</v>
      </c>
      <c r="AB8" s="108">
        <v>4.29</v>
      </c>
      <c r="AC8" s="108">
        <v>4.72</v>
      </c>
      <c r="AD8" s="108">
        <v>5.1499999999999995</v>
      </c>
      <c r="AE8" s="108">
        <v>5.58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0.25</v>
      </c>
      <c r="U12" s="108">
        <v>0.26</v>
      </c>
      <c r="V12" s="108">
        <v>0.27</v>
      </c>
      <c r="W12" s="108">
        <v>0.29000000000000004</v>
      </c>
      <c r="X12" s="108">
        <v>0.3</v>
      </c>
      <c r="Y12" s="108">
        <v>0.31</v>
      </c>
      <c r="Z12" s="108">
        <v>0.33</v>
      </c>
      <c r="AA12" s="108">
        <v>0.34</v>
      </c>
      <c r="AB12" s="108">
        <v>0.35000000000000003</v>
      </c>
      <c r="AC12" s="108">
        <v>0.36</v>
      </c>
      <c r="AD12" s="108">
        <v>0.38</v>
      </c>
      <c r="AE12" s="108">
        <v>0.39</v>
      </c>
      <c r="AF12" s="108">
        <v>0.17</v>
      </c>
      <c r="AG12" s="108">
        <v>0.18000000000000002</v>
      </c>
      <c r="AH12" s="108">
        <v>0.2</v>
      </c>
      <c r="AI12" s="108">
        <v>0.21000000000000002</v>
      </c>
      <c r="AJ12" s="108">
        <v>0.22</v>
      </c>
      <c r="AK12" s="108">
        <v>0.24000000000000002</v>
      </c>
      <c r="AL12" s="108">
        <v>0.25</v>
      </c>
      <c r="AM12" s="108">
        <v>0.26</v>
      </c>
      <c r="AN12" s="108">
        <v>0.27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0.02</v>
      </c>
      <c r="T13" s="108">
        <v>0.35000000000000003</v>
      </c>
      <c r="U13" s="108">
        <v>0.39</v>
      </c>
      <c r="V13" s="108">
        <v>0.42</v>
      </c>
      <c r="W13" s="108">
        <v>0.45</v>
      </c>
      <c r="X13" s="108">
        <v>0.49</v>
      </c>
      <c r="Y13" s="108">
        <v>0.52</v>
      </c>
      <c r="Z13" s="108">
        <v>0.55000000000000004</v>
      </c>
      <c r="AA13" s="108">
        <v>0.59</v>
      </c>
      <c r="AB13" s="108">
        <v>0.62</v>
      </c>
      <c r="AC13" s="108">
        <v>0.65</v>
      </c>
      <c r="AD13" s="108">
        <v>0.69000000000000006</v>
      </c>
      <c r="AE13" s="108">
        <v>0.72</v>
      </c>
      <c r="AF13" s="108">
        <v>0.45</v>
      </c>
      <c r="AG13" s="108">
        <v>0.47000000000000003</v>
      </c>
      <c r="AH13" s="108">
        <v>0.49</v>
      </c>
      <c r="AI13" s="108">
        <v>0.5</v>
      </c>
      <c r="AJ13" s="108">
        <v>0.52</v>
      </c>
      <c r="AK13" s="108">
        <v>0.54</v>
      </c>
      <c r="AL13" s="108">
        <v>0.55000000000000004</v>
      </c>
      <c r="AM13" s="108">
        <v>0.57000000000000006</v>
      </c>
      <c r="AN13" s="108">
        <v>0.59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0.02</v>
      </c>
      <c r="T14" s="108">
        <v>0.2</v>
      </c>
      <c r="U14" s="108">
        <v>0.22</v>
      </c>
      <c r="V14" s="108">
        <v>0.25</v>
      </c>
      <c r="W14" s="108">
        <v>0.27</v>
      </c>
      <c r="X14" s="108">
        <v>0.3</v>
      </c>
      <c r="Y14" s="108">
        <v>0.32</v>
      </c>
      <c r="Z14" s="108">
        <v>0.35000000000000003</v>
      </c>
      <c r="AA14" s="108">
        <v>0.37</v>
      </c>
      <c r="AB14" s="108">
        <v>0.39</v>
      </c>
      <c r="AC14" s="108">
        <v>0.42</v>
      </c>
      <c r="AD14" s="108">
        <v>0.44</v>
      </c>
      <c r="AE14" s="108">
        <v>0.47000000000000003</v>
      </c>
      <c r="AF14" s="108">
        <v>0.34</v>
      </c>
      <c r="AG14" s="108">
        <v>0.35000000000000003</v>
      </c>
      <c r="AH14" s="108">
        <v>0.36</v>
      </c>
      <c r="AI14" s="108">
        <v>0.37</v>
      </c>
      <c r="AJ14" s="108">
        <v>0.38</v>
      </c>
      <c r="AK14" s="108">
        <v>0.39</v>
      </c>
      <c r="AL14" s="108">
        <v>0.39</v>
      </c>
      <c r="AM14" s="108">
        <v>0.4</v>
      </c>
      <c r="AN14" s="108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0.02</v>
      </c>
      <c r="T15" s="108">
        <v>0.03</v>
      </c>
      <c r="U15" s="108">
        <v>0.04</v>
      </c>
      <c r="V15" s="108">
        <v>0.05</v>
      </c>
      <c r="W15" s="108">
        <v>0.06</v>
      </c>
      <c r="X15" s="108">
        <v>0.08</v>
      </c>
      <c r="Y15" s="108">
        <v>0.09</v>
      </c>
      <c r="Z15" s="108">
        <v>9.9999999999999992E-2</v>
      </c>
      <c r="AA15" s="108">
        <v>0.11</v>
      </c>
      <c r="AB15" s="108">
        <v>0.12</v>
      </c>
      <c r="AC15" s="108">
        <v>0.14000000000000001</v>
      </c>
      <c r="AD15" s="108">
        <v>0.15000000000000002</v>
      </c>
      <c r="AE15" s="108">
        <v>0.16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0.02</v>
      </c>
      <c r="T16" s="108">
        <v>0.03</v>
      </c>
      <c r="U16" s="108">
        <v>0.04</v>
      </c>
      <c r="V16" s="108">
        <v>0.05</v>
      </c>
      <c r="W16" s="108">
        <v>0.06</v>
      </c>
      <c r="X16" s="108">
        <v>0.08</v>
      </c>
      <c r="Y16" s="108">
        <v>0.09</v>
      </c>
      <c r="Z16" s="108">
        <v>9.9999999999999992E-2</v>
      </c>
      <c r="AA16" s="108">
        <v>0.11</v>
      </c>
      <c r="AB16" s="108">
        <v>0.12</v>
      </c>
      <c r="AC16" s="108">
        <v>0.14000000000000001</v>
      </c>
      <c r="AD16" s="108">
        <v>0.15000000000000002</v>
      </c>
      <c r="AE16" s="108">
        <v>0.16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0.3</v>
      </c>
      <c r="T17" s="108">
        <v>0.6</v>
      </c>
      <c r="U17" s="108">
        <v>0.9</v>
      </c>
      <c r="V17" s="108">
        <v>1.2</v>
      </c>
      <c r="W17" s="108">
        <v>1.5</v>
      </c>
      <c r="X17" s="108">
        <v>1.8</v>
      </c>
      <c r="Y17" s="108">
        <v>2.1</v>
      </c>
      <c r="Z17" s="108">
        <v>2.4</v>
      </c>
      <c r="AA17" s="108">
        <v>2.7</v>
      </c>
      <c r="AB17" s="108">
        <v>3</v>
      </c>
      <c r="AC17" s="108">
        <v>3.3</v>
      </c>
      <c r="AD17" s="108">
        <v>3.6</v>
      </c>
      <c r="AE17" s="108">
        <v>3.9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3</v>
      </c>
      <c r="T21" s="120">
        <v>7</v>
      </c>
      <c r="U21" s="120">
        <v>10</v>
      </c>
      <c r="V21" s="120">
        <v>13</v>
      </c>
      <c r="W21" s="120">
        <v>16</v>
      </c>
      <c r="X21" s="120">
        <v>20</v>
      </c>
      <c r="Y21" s="120">
        <v>23</v>
      </c>
      <c r="Z21" s="120">
        <v>26</v>
      </c>
      <c r="AA21" s="120">
        <v>29</v>
      </c>
      <c r="AB21" s="120">
        <v>33</v>
      </c>
      <c r="AC21" s="120">
        <v>36</v>
      </c>
      <c r="AD21" s="120">
        <v>39</v>
      </c>
      <c r="AE21" s="120">
        <v>42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170.02883240223466</v>
      </c>
      <c r="T22" s="78">
        <v>170.02883240223466</v>
      </c>
      <c r="U22" s="78">
        <v>170.02883240223466</v>
      </c>
      <c r="V22" s="78">
        <v>170.02883240223466</v>
      </c>
      <c r="W22" s="78">
        <v>170.02883240223466</v>
      </c>
      <c r="X22" s="78">
        <v>170.02883240223466</v>
      </c>
      <c r="Y22" s="78">
        <v>170.02883240223463</v>
      </c>
      <c r="Z22" s="78">
        <v>170.02883240223466</v>
      </c>
      <c r="AA22" s="78">
        <v>170.02883240223468</v>
      </c>
      <c r="AB22" s="78">
        <v>170.02883240223466</v>
      </c>
      <c r="AC22" s="78">
        <v>170.02883240223468</v>
      </c>
      <c r="AD22" s="78">
        <v>170.02883240223466</v>
      </c>
      <c r="AE22" s="78">
        <v>170.02883240223466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315.03999999999996</v>
      </c>
      <c r="T23" s="52">
        <v>630.07999999999993</v>
      </c>
      <c r="U23" s="52">
        <v>945.11999999999989</v>
      </c>
      <c r="V23" s="52">
        <v>1260.1599999999999</v>
      </c>
      <c r="W23" s="52">
        <v>1575.1999999999996</v>
      </c>
      <c r="X23" s="52">
        <v>1890.2399999999998</v>
      </c>
      <c r="Y23" s="52">
        <v>2205.2799999999997</v>
      </c>
      <c r="Z23" s="52">
        <v>2520.3199999999997</v>
      </c>
      <c r="AA23" s="52">
        <v>2835.3599999999992</v>
      </c>
      <c r="AB23" s="52">
        <v>3150.3999999999992</v>
      </c>
      <c r="AC23" s="52">
        <v>3465.4399999999996</v>
      </c>
      <c r="AD23" s="52">
        <v>3780.4799999999996</v>
      </c>
      <c r="AE23" s="52">
        <v>4095.5199999999995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46796.978800000004</v>
      </c>
      <c r="T26" s="12">
        <v>93593.957600000009</v>
      </c>
      <c r="U26" s="12">
        <v>140390.93640000001</v>
      </c>
      <c r="V26" s="12">
        <v>187187.91520000002</v>
      </c>
      <c r="W26" s="12">
        <v>233984.89399999997</v>
      </c>
      <c r="X26" s="12">
        <v>280781.87280000001</v>
      </c>
      <c r="Y26" s="12">
        <v>327578.85159999994</v>
      </c>
      <c r="Z26" s="12">
        <v>374375.83040000004</v>
      </c>
      <c r="AA26" s="12">
        <v>421172.80919999996</v>
      </c>
      <c r="AB26" s="12">
        <v>467969.78799999994</v>
      </c>
      <c r="AC26" s="12">
        <v>514766.76679999998</v>
      </c>
      <c r="AD26" s="12">
        <v>561563.74560000002</v>
      </c>
      <c r="AE26" s="12">
        <v>608360.72439999995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2743.8788</v>
      </c>
      <c r="T27" s="12">
        <v>5487.7575999999999</v>
      </c>
      <c r="U27" s="12">
        <v>8231.6363999999994</v>
      </c>
      <c r="V27" s="12">
        <v>10975.5152</v>
      </c>
      <c r="W27" s="12">
        <v>13719.393999999998</v>
      </c>
      <c r="X27" s="12">
        <v>16463.272799999999</v>
      </c>
      <c r="Y27" s="12">
        <v>19207.151600000001</v>
      </c>
      <c r="Z27" s="12">
        <v>21951.0304</v>
      </c>
      <c r="AA27" s="12">
        <v>24694.909199999995</v>
      </c>
      <c r="AB27" s="12">
        <v>27438.787999999997</v>
      </c>
      <c r="AC27" s="12">
        <v>30182.666799999999</v>
      </c>
      <c r="AD27" s="12">
        <v>32926.545599999998</v>
      </c>
      <c r="AE27" s="12">
        <v>35670.424399999996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6521.1174599999977</v>
      </c>
      <c r="T28" s="12">
        <v>13042.234919999995</v>
      </c>
      <c r="U28" s="12">
        <v>19563.352379999993</v>
      </c>
      <c r="V28" s="12">
        <v>26084.469839999991</v>
      </c>
      <c r="W28" s="12">
        <v>32605.587299999992</v>
      </c>
      <c r="X28" s="12">
        <v>39126.704759999986</v>
      </c>
      <c r="Y28" s="12">
        <v>45647.822219999987</v>
      </c>
      <c r="Z28" s="12">
        <v>52168.939679999981</v>
      </c>
      <c r="AA28" s="12">
        <v>58690.057139999983</v>
      </c>
      <c r="AB28" s="12">
        <v>65211.174599999984</v>
      </c>
      <c r="AC28" s="12">
        <v>71732.292059999978</v>
      </c>
      <c r="AD28" s="12">
        <v>78253.409519999972</v>
      </c>
      <c r="AE28" s="12">
        <v>84774.526979999995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501.62441999999999</v>
      </c>
      <c r="T29" s="12">
        <v>1003.24884</v>
      </c>
      <c r="U29" s="12">
        <v>1504.8732600000001</v>
      </c>
      <c r="V29" s="12">
        <v>2006.4976799999999</v>
      </c>
      <c r="W29" s="12">
        <v>2508.1221</v>
      </c>
      <c r="X29" s="12">
        <v>3009.7465200000001</v>
      </c>
      <c r="Y29" s="12">
        <v>3511.3709400000002</v>
      </c>
      <c r="Z29" s="12">
        <v>4012.9953599999999</v>
      </c>
      <c r="AA29" s="12">
        <v>4514.61978</v>
      </c>
      <c r="AB29" s="12">
        <v>5016.2442000000001</v>
      </c>
      <c r="AC29" s="12">
        <v>5517.8686199999993</v>
      </c>
      <c r="AD29" s="12">
        <v>6019.4930400000003</v>
      </c>
      <c r="AE29" s="12">
        <v>6521.1174600000013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654.50319999999988</v>
      </c>
      <c r="T30" s="12">
        <v>1309.0063999999998</v>
      </c>
      <c r="U30" s="12">
        <v>1963.5095999999999</v>
      </c>
      <c r="V30" s="12">
        <v>2618.0127999999995</v>
      </c>
      <c r="W30" s="12">
        <v>3272.5159999999996</v>
      </c>
      <c r="X30" s="12">
        <v>3927.0191999999997</v>
      </c>
      <c r="Y30" s="12">
        <v>4581.5223999999998</v>
      </c>
      <c r="Z30" s="12">
        <v>5236.025599999999</v>
      </c>
      <c r="AA30" s="12">
        <v>5890.5288</v>
      </c>
      <c r="AB30" s="12">
        <v>6545.0319999999992</v>
      </c>
      <c r="AC30" s="12">
        <v>7199.5351999999993</v>
      </c>
      <c r="AD30" s="12">
        <v>7854.0383999999995</v>
      </c>
      <c r="AE30" s="12">
        <v>8508.5416000000005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-10068.832691599999</v>
      </c>
      <c r="T35" s="12">
        <v>-16935.005013199996</v>
      </c>
      <c r="U35" s="12">
        <v>-23801.177334799995</v>
      </c>
      <c r="V35" s="12">
        <v>-30667.349656399994</v>
      </c>
      <c r="W35" s="12">
        <v>-37533.521977999997</v>
      </c>
      <c r="X35" s="12">
        <v>-44399.694299599993</v>
      </c>
      <c r="Y35" s="12">
        <v>-51265.866621199988</v>
      </c>
      <c r="Z35" s="12">
        <v>-58132.038942799998</v>
      </c>
      <c r="AA35" s="12">
        <v>-64998.211264399994</v>
      </c>
      <c r="AB35" s="12">
        <v>-71864.383585999982</v>
      </c>
      <c r="AC35" s="12">
        <v>-78730.555907599992</v>
      </c>
      <c r="AD35" s="12">
        <v>-85596.728229199987</v>
      </c>
      <c r="AE35" s="12">
        <v>-92462.900550799983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71094.22760506667</v>
      </c>
      <c r="T37" s="13">
        <v>118702.27916346668</v>
      </c>
      <c r="U37" s="13">
        <v>166310.33072186666</v>
      </c>
      <c r="V37" s="13">
        <v>213918.38228026667</v>
      </c>
      <c r="W37" s="13">
        <v>261526.43383866665</v>
      </c>
      <c r="X37" s="13">
        <v>309134.48539706669</v>
      </c>
      <c r="Y37" s="13">
        <v>356742.53695546661</v>
      </c>
      <c r="Z37" s="13">
        <v>404350.58851386671</v>
      </c>
      <c r="AA37" s="13">
        <v>451958.64007226669</v>
      </c>
      <c r="AB37" s="13">
        <v>499566.69163066661</v>
      </c>
      <c r="AC37" s="13">
        <v>547174.74318906665</v>
      </c>
      <c r="AD37" s="13">
        <v>594782.79474746657</v>
      </c>
      <c r="AE37" s="13">
        <v>642390.84630586649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48771.788597403611</v>
      </c>
      <c r="T40" s="12">
        <v>83459.072181473879</v>
      </c>
      <c r="U40" s="12">
        <v>105664.5407788775</v>
      </c>
      <c r="V40" s="12">
        <v>127825.75769628113</v>
      </c>
      <c r="W40" s="12">
        <v>150023.12794701807</v>
      </c>
      <c r="X40" s="12">
        <v>172522.07654442172</v>
      </c>
      <c r="Y40" s="12">
        <v>194508.37512849199</v>
      </c>
      <c r="Z40" s="12">
        <v>216775.92537922892</v>
      </c>
      <c r="AA40" s="12">
        <v>238981.39397663256</v>
      </c>
      <c r="AB40" s="12">
        <v>261072.43089403611</v>
      </c>
      <c r="AC40" s="12">
        <v>311802.64259258384</v>
      </c>
      <c r="AD40" s="12">
        <v>336345.62471639441</v>
      </c>
      <c r="AE40" s="12">
        <v>360722.96332553838</v>
      </c>
      <c r="AF40" s="12">
        <v>378849.01843468234</v>
      </c>
      <c r="AG40" s="12">
        <v>379190.56110134901</v>
      </c>
      <c r="AH40" s="12">
        <v>379649.07043468236</v>
      </c>
      <c r="AI40" s="12">
        <v>379916.92410134897</v>
      </c>
      <c r="AJ40" s="12">
        <v>380258.4667680157</v>
      </c>
      <c r="AK40" s="12">
        <v>380716.97610134899</v>
      </c>
      <c r="AL40" s="12">
        <v>380907.63176801568</v>
      </c>
      <c r="AM40" s="12">
        <v>381249.17443468235</v>
      </c>
      <c r="AN40" s="12">
        <v>381590.71710134903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378.451008</v>
      </c>
      <c r="T44" s="12">
        <v>1002.1943359999999</v>
      </c>
      <c r="U44" s="12">
        <v>1033.7319199999999</v>
      </c>
      <c r="V44" s="12">
        <v>1065.2695039999999</v>
      </c>
      <c r="W44" s="12">
        <v>1096.807088</v>
      </c>
      <c r="X44" s="12">
        <v>1138.8571999999999</v>
      </c>
      <c r="Y44" s="12">
        <v>1166.8906079999999</v>
      </c>
      <c r="Z44" s="12">
        <v>1201.932368</v>
      </c>
      <c r="AA44" s="12">
        <v>1233.4699519999999</v>
      </c>
      <c r="AB44" s="12">
        <v>1261.5033600000002</v>
      </c>
      <c r="AC44" s="12">
        <v>1352.0512678400003</v>
      </c>
      <c r="AD44" s="12">
        <v>1388.4946982400002</v>
      </c>
      <c r="AE44" s="12">
        <v>1421.2937856000005</v>
      </c>
      <c r="AF44" s="12">
        <v>1202.6332032</v>
      </c>
      <c r="AG44" s="12">
        <v>1217.2105753600003</v>
      </c>
      <c r="AH44" s="12">
        <v>1235.4322905600002</v>
      </c>
      <c r="AI44" s="12">
        <v>1246.3653196800001</v>
      </c>
      <c r="AJ44" s="12">
        <v>1260.9426918400002</v>
      </c>
      <c r="AK44" s="12">
        <v>1279.1644070400002</v>
      </c>
      <c r="AL44" s="12">
        <v>1286.4530931200002</v>
      </c>
      <c r="AM44" s="12">
        <v>1301.03046528</v>
      </c>
      <c r="AN44" s="12">
        <v>1315.6078374400001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3604.6799999999994</v>
      </c>
      <c r="T46" s="12">
        <v>5507.4899999999989</v>
      </c>
      <c r="U46" s="12">
        <v>6810.54</v>
      </c>
      <c r="V46" s="12">
        <v>8110.0199999999995</v>
      </c>
      <c r="W46" s="12">
        <v>9409.4999999999982</v>
      </c>
      <c r="X46" s="12">
        <v>10723.26</v>
      </c>
      <c r="Y46" s="12">
        <v>12015.600000000002</v>
      </c>
      <c r="Z46" s="12">
        <v>13318.650000000001</v>
      </c>
      <c r="AA46" s="12">
        <v>14621.7</v>
      </c>
      <c r="AB46" s="12">
        <v>15917.609999999999</v>
      </c>
      <c r="AC46" s="12">
        <v>17568.714599999999</v>
      </c>
      <c r="AD46" s="12">
        <v>18901.467000000001</v>
      </c>
      <c r="AE46" s="12">
        <v>20226.936599999997</v>
      </c>
      <c r="AF46" s="12">
        <v>21297.508200000007</v>
      </c>
      <c r="AG46" s="12">
        <v>21312.073800000002</v>
      </c>
      <c r="AH46" s="12">
        <v>21330.280800000004</v>
      </c>
      <c r="AI46" s="12">
        <v>21341.205000000002</v>
      </c>
      <c r="AJ46" s="12">
        <v>21355.770600000003</v>
      </c>
      <c r="AK46" s="12">
        <v>21373.977600000006</v>
      </c>
      <c r="AL46" s="12">
        <v>21381.260400000003</v>
      </c>
      <c r="AM46" s="12">
        <v>21395.826000000001</v>
      </c>
      <c r="AN46" s="12">
        <v>21410.391600000003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151234.47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7364.7243524230435</v>
      </c>
      <c r="T49" s="12">
        <f>'Corp.'!T$50*(T$37-(T31-T32-T34)*$C$35)/(SUM('MDA1:NCA9'!T$37)-SUM('MDA1:NCA9'!T$31)-SUM('MDA1:NCA9'!T$32)-SUM('MDA1:NCA9'!T$34))</f>
        <v>11849.871435109364</v>
      </c>
      <c r="U49" s="12">
        <f>'Corp.'!U$50*(U$37-(U31-U32-U34)*$C$35)/(SUM('MDA1:NCA9'!U$37)-SUM('MDA1:NCA9'!U$31)-SUM('MDA1:NCA9'!U$32)-SUM('MDA1:NCA9'!U$34))</f>
        <v>16175.517111679414</v>
      </c>
      <c r="V49" s="12">
        <f>'Corp.'!V$50*(V$37-(V31-V32-V34)*$C$35)/(SUM('MDA1:NCA9'!V$37)-SUM('MDA1:NCA9'!V$31)-SUM('MDA1:NCA9'!V$32)-SUM('MDA1:NCA9'!V$34))</f>
        <v>20360.211662022026</v>
      </c>
      <c r="W49" s="12">
        <f>'Corp.'!W$50*(W$37-(W31-W32-W34)*$C$35)/(SUM('MDA1:NCA9'!W$37)-SUM('MDA1:NCA9'!W$31)-SUM('MDA1:NCA9'!W$32)-SUM('MDA1:NCA9'!W$34))</f>
        <v>24175.008952088552</v>
      </c>
      <c r="X49" s="12">
        <f>'Corp.'!X$50*(X$37-(X31-X32-X34)*$C$35)/(SUM('MDA1:NCA9'!X$37)-SUM('MDA1:NCA9'!X$31)-SUM('MDA1:NCA9'!X$32)-SUM('MDA1:NCA9'!X$34))</f>
        <v>27726.498305838308</v>
      </c>
      <c r="Y49" s="12">
        <f>'Corp.'!Y$50*(Y$37-(Y31-Y32-Y34)*$C$35)/(SUM('MDA1:NCA9'!Y$37)-SUM('MDA1:NCA9'!Y$31)-SUM('MDA1:NCA9'!Y$32)-SUM('MDA1:NCA9'!Y$34))</f>
        <v>31361.450407051234</v>
      </c>
      <c r="Z49" s="12">
        <f>'Corp.'!Z$50*(Z$37-(Z31-Z32-Z34)*$C$35)/(SUM('MDA1:NCA9'!Z$37)-SUM('MDA1:NCA9'!Z$31)-SUM('MDA1:NCA9'!Z$32)-SUM('MDA1:NCA9'!Z$34))</f>
        <v>34826.506802797579</v>
      </c>
      <c r="AA49" s="12">
        <f>'Corp.'!AA$50*(AA$37-(AA31-AA32-AA34)*$C$35)/(SUM('MDA1:NCA9'!AA$37)-SUM('MDA1:NCA9'!AA$31)-SUM('MDA1:NCA9'!AA$32)-SUM('MDA1:NCA9'!AA$34))</f>
        <v>38092.086688344898</v>
      </c>
      <c r="AB49" s="12">
        <f>'Corp.'!AB$50*(AB$37-(AB31-AB32-AB34)*$C$35)/(SUM('MDA1:NCA9'!AB$37)-SUM('MDA1:NCA9'!AB$31)-SUM('MDA1:NCA9'!AB$32)-SUM('MDA1:NCA9'!AB$34))</f>
        <v>41202.595178986987</v>
      </c>
      <c r="AC49" s="12">
        <f>'Corp.'!AC$50*(AC$37-(AC31-AC32-AC34)*$C$35)/(SUM('MDA1:NCA9'!AC$37)-SUM('MDA1:NCA9'!AC$31)-SUM('MDA1:NCA9'!AC$32)-SUM('MDA1:NCA9'!AC$34))</f>
        <v>48835.959115927508</v>
      </c>
      <c r="AD49" s="12">
        <f>'Corp.'!AD$50*(AD$37-(AD31-AD32-AD34)*$C$35)/(SUM('MDA1:NCA9'!AD$37)-SUM('MDA1:NCA9'!AD$31)-SUM('MDA1:NCA9'!AD$32)-SUM('MDA1:NCA9'!AD$34))</f>
        <v>52269.959050288206</v>
      </c>
      <c r="AE49" s="12">
        <f>'Corp.'!AE$50*(AE$37-(AE31-AE32-AE34)*$C$35)/(SUM('MDA1:NCA9'!AE$37)-SUM('MDA1:NCA9'!AE$31)-SUM('MDA1:NCA9'!AE$32)-SUM('MDA1:NCA9'!AE$34))</f>
        <v>55620.386220829227</v>
      </c>
      <c r="AF49" s="12">
        <f>'Corp.'!AF$50*(AF$37-(AF31-AF32-AF34)*$C$35)/(SUM('MDA1:NCA9'!AF$37)-SUM('MDA1:NCA9'!AF$31)-SUM('MDA1:NCA9'!AF$32)-SUM('MDA1:NCA9'!AF$34))</f>
        <v>58900.672964874138</v>
      </c>
      <c r="AG49" s="12">
        <f>'Corp.'!AG$50*(AG$37-(AG31-AG32-AG34)*$C$35)/(SUM('MDA1:NCA9'!AG$37)-SUM('MDA1:NCA9'!AG$31)-SUM('MDA1:NCA9'!AG$32)-SUM('MDA1:NCA9'!AG$34))</f>
        <v>58230.315187326945</v>
      </c>
      <c r="AH49" s="12">
        <f>'Corp.'!AH$50*(AH$37-(AH31-AH32-AH34)*$C$35)/(SUM('MDA1:NCA9'!AH$37)-SUM('MDA1:NCA9'!AH$31)-SUM('MDA1:NCA9'!AH$32)-SUM('MDA1:NCA9'!AH$34))</f>
        <v>57341.589160873635</v>
      </c>
      <c r="AI49" s="12">
        <f>'Corp.'!AI$50*(AI$37-(AI31-AI32-AI34)*$C$35)/(SUM('MDA1:NCA9'!AI$37)-SUM('MDA1:NCA9'!AI$31)-SUM('MDA1:NCA9'!AI$32)-SUM('MDA1:NCA9'!AI$34))</f>
        <v>56420.189633980764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151234.47</v>
      </c>
      <c r="R50" s="13">
        <v>0</v>
      </c>
      <c r="S50" s="13">
        <v>98189.192949826655</v>
      </c>
      <c r="T50" s="13">
        <v>139264.43361658324</v>
      </c>
      <c r="U50" s="13">
        <v>167098.59789055694</v>
      </c>
      <c r="V50" s="13">
        <v>194743.98935830314</v>
      </c>
      <c r="W50" s="13">
        <v>222055.63689910661</v>
      </c>
      <c r="X50" s="13">
        <v>249419.83485026006</v>
      </c>
      <c r="Y50" s="13">
        <v>276333.42553554324</v>
      </c>
      <c r="Z50" s="13">
        <v>303369.08218202647</v>
      </c>
      <c r="AA50" s="13">
        <v>330143.18066497747</v>
      </c>
      <c r="AB50" s="13">
        <v>356640.63607302308</v>
      </c>
      <c r="AC50" s="13">
        <v>417948.73630851135</v>
      </c>
      <c r="AD50" s="13">
        <v>447258.47076668259</v>
      </c>
      <c r="AE50" s="13">
        <v>476311.70614636759</v>
      </c>
      <c r="AF50" s="13">
        <v>498788.61959955643</v>
      </c>
      <c r="AG50" s="13">
        <v>498474.37008867593</v>
      </c>
      <c r="AH50" s="13">
        <v>498062.36039555597</v>
      </c>
      <c r="AI50" s="13">
        <v>497419.73873532971</v>
      </c>
      <c r="AJ50" s="13">
        <v>496824.66016882187</v>
      </c>
      <c r="AK50" s="13">
        <v>496422.76762450126</v>
      </c>
      <c r="AL50" s="13">
        <v>495813.08842476428</v>
      </c>
      <c r="AM50" s="13">
        <v>495298.41628750722</v>
      </c>
      <c r="AN50" s="13">
        <v>494913.40486963227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-151234.47</v>
      </c>
      <c r="R52" s="74">
        <f t="shared" si="0"/>
        <v>0</v>
      </c>
      <c r="S52" s="74">
        <f t="shared" si="0"/>
        <v>-27094.965344759985</v>
      </c>
      <c r="T52" s="74">
        <f t="shared" si="0"/>
        <v>-20562.154453116556</v>
      </c>
      <c r="U52" s="74">
        <f t="shared" si="0"/>
        <v>-788.26716869027587</v>
      </c>
      <c r="V52" s="74">
        <f t="shared" si="0"/>
        <v>19174.392921963532</v>
      </c>
      <c r="W52" s="74">
        <f t="shared" si="0"/>
        <v>39470.796939560038</v>
      </c>
      <c r="X52" s="74">
        <f t="shared" si="0"/>
        <v>59714.650546806632</v>
      </c>
      <c r="Y52" s="74">
        <f t="shared" si="0"/>
        <v>80409.111419923371</v>
      </c>
      <c r="Z52" s="74">
        <f t="shared" si="0"/>
        <v>100981.50633184024</v>
      </c>
      <c r="AA52" s="74">
        <f t="shared" si="0"/>
        <v>121815.45940728922</v>
      </c>
      <c r="AB52" s="74">
        <f t="shared" si="0"/>
        <v>142926.05555764353</v>
      </c>
      <c r="AC52" s="74">
        <f t="shared" si="0"/>
        <v>129226.0068805553</v>
      </c>
      <c r="AD52" s="74">
        <f t="shared" si="0"/>
        <v>147524.32398078399</v>
      </c>
      <c r="AE52" s="74">
        <f t="shared" si="0"/>
        <v>166079.1401594989</v>
      </c>
      <c r="AF52" s="74">
        <f t="shared" si="0"/>
        <v>191210.2782647101</v>
      </c>
      <c r="AG52" s="74">
        <f t="shared" si="0"/>
        <v>191524.5277755906</v>
      </c>
      <c r="AH52" s="74">
        <f t="shared" si="0"/>
        <v>191936.53746871057</v>
      </c>
      <c r="AI52" s="74">
        <f t="shared" si="0"/>
        <v>192579.15912893682</v>
      </c>
      <c r="AJ52" s="74">
        <f t="shared" si="0"/>
        <v>193174.23769544467</v>
      </c>
      <c r="AK52" s="74">
        <f t="shared" si="0"/>
        <v>193576.13023976528</v>
      </c>
      <c r="AL52" s="74">
        <f t="shared" si="0"/>
        <v>194185.80943950225</v>
      </c>
      <c r="AM52" s="74">
        <f t="shared" si="0"/>
        <v>194700.48157675931</v>
      </c>
      <c r="AN52" s="74">
        <f t="shared" si="0"/>
        <v>195085.49299463426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>
        <f t="shared" si="1"/>
        <v>-0.38111343575282064</v>
      </c>
      <c r="T53" s="107">
        <f t="shared" si="1"/>
        <v>-0.17322459684872696</v>
      </c>
      <c r="U53" s="107">
        <f t="shared" si="1"/>
        <v>-4.7397366433511254E-3</v>
      </c>
      <c r="V53" s="107">
        <f t="shared" si="1"/>
        <v>8.9634152603314227E-2</v>
      </c>
      <c r="W53" s="107">
        <f t="shared" si="1"/>
        <v>0.15092469376884948</v>
      </c>
      <c r="X53" s="107">
        <f t="shared" si="1"/>
        <v>0.19316722451753113</v>
      </c>
      <c r="Y53" s="107">
        <f t="shared" si="1"/>
        <v>0.22539815998999052</v>
      </c>
      <c r="Z53" s="107">
        <f t="shared" si="1"/>
        <v>0.24973750304898396</v>
      </c>
      <c r="AA53" s="107">
        <f t="shared" si="1"/>
        <v>0.26952789172879033</v>
      </c>
      <c r="AB53" s="107">
        <f t="shared" si="1"/>
        <v>0.28610005020773049</v>
      </c>
      <c r="AC53" s="107">
        <f t="shared" si="1"/>
        <v>0.23616953905327373</v>
      </c>
      <c r="AD53" s="107">
        <f t="shared" si="1"/>
        <v>0.24803058407804146</v>
      </c>
      <c r="AE53" s="107">
        <f t="shared" si="1"/>
        <v>0.25853285599344045</v>
      </c>
      <c r="AF53" s="107">
        <f t="shared" si="1"/>
        <v>0.27711678794931077</v>
      </c>
      <c r="AG53" s="107">
        <f t="shared" si="1"/>
        <v>0.2775722227505158</v>
      </c>
      <c r="AH53" s="107">
        <f t="shared" si="1"/>
        <v>0.27816933920156411</v>
      </c>
      <c r="AI53" s="107">
        <f t="shared" si="1"/>
        <v>0.27910067642864572</v>
      </c>
      <c r="AJ53" s="107">
        <f t="shared" si="1"/>
        <v>0.27996311051129391</v>
      </c>
      <c r="AK53" s="107">
        <f t="shared" si="1"/>
        <v>0.28054556440442996</v>
      </c>
      <c r="AL53" s="107">
        <f t="shared" si="1"/>
        <v>0.2814291588588908</v>
      </c>
      <c r="AM53" s="107">
        <f t="shared" si="1"/>
        <v>0.28217506169851869</v>
      </c>
      <c r="AN53" s="107">
        <f t="shared" si="1"/>
        <v>0.28273305015193023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235166.66666666666</v>
      </c>
      <c r="R55" s="12">
        <v>235166.66666666666</v>
      </c>
      <c r="S55" s="12">
        <v>235166.66666666666</v>
      </c>
      <c r="T55" s="12">
        <v>235166.66666666666</v>
      </c>
      <c r="U55" s="12">
        <v>235166.66666666666</v>
      </c>
      <c r="V55" s="12">
        <v>235166.66666666666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-65914.901927106621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-386401.13666666666</v>
      </c>
      <c r="R58" s="13">
        <f t="shared" si="2"/>
        <v>-235166.66666666666</v>
      </c>
      <c r="S58" s="13">
        <f t="shared" si="2"/>
        <v>-262261.63201142661</v>
      </c>
      <c r="T58" s="13">
        <f t="shared" si="2"/>
        <v>-255728.82111978321</v>
      </c>
      <c r="U58" s="13">
        <f t="shared" si="2"/>
        <v>-235954.93383535693</v>
      </c>
      <c r="V58" s="13">
        <f t="shared" si="2"/>
        <v>-271896.77085524448</v>
      </c>
      <c r="W58" s="13">
        <f t="shared" si="2"/>
        <v>-20248.70129030395</v>
      </c>
      <c r="X58" s="13">
        <f t="shared" si="2"/>
        <v>-2867.6877712120622</v>
      </c>
      <c r="Y58" s="13">
        <f t="shared" si="2"/>
        <v>14494.20949281675</v>
      </c>
      <c r="Z58" s="13">
        <f t="shared" si="2"/>
        <v>31734.040795645531</v>
      </c>
      <c r="AA58" s="13">
        <f t="shared" si="2"/>
        <v>49235.430262006543</v>
      </c>
      <c r="AB58" s="13">
        <f t="shared" si="2"/>
        <v>103697.09048184354</v>
      </c>
      <c r="AC58" s="13">
        <f t="shared" si="2"/>
        <v>82855.834070995305</v>
      </c>
      <c r="AD58" s="13">
        <f t="shared" si="2"/>
        <v>94012.943437463997</v>
      </c>
      <c r="AE58" s="13">
        <f t="shared" si="2"/>
        <v>105426.55188241889</v>
      </c>
      <c r="AF58" s="13">
        <f t="shared" si="2"/>
        <v>123416.4822538701</v>
      </c>
      <c r="AG58" s="13">
        <f t="shared" si="2"/>
        <v>116589.52403099061</v>
      </c>
      <c r="AH58" s="13">
        <f t="shared" si="2"/>
        <v>109860.32599035057</v>
      </c>
      <c r="AI58" s="13">
        <f t="shared" si="2"/>
        <v>103361.73991681683</v>
      </c>
      <c r="AJ58" s="13">
        <f t="shared" si="2"/>
        <v>96815.610749564701</v>
      </c>
      <c r="AK58" s="13">
        <f t="shared" si="2"/>
        <v>90076.295560125305</v>
      </c>
      <c r="AL58" s="13">
        <f t="shared" si="2"/>
        <v>90685.974759862278</v>
      </c>
      <c r="AM58" s="13">
        <f t="shared" si="2"/>
        <v>91200.646897119339</v>
      </c>
      <c r="AN58" s="13">
        <f t="shared" si="2"/>
        <v>91585.658314994289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-386401.13666666666</v>
      </c>
      <c r="R59" s="12">
        <v>-621567.80333333334</v>
      </c>
      <c r="S59" s="12">
        <v>-883829.43534475996</v>
      </c>
      <c r="T59" s="12">
        <v>-1139558.2564645433</v>
      </c>
      <c r="U59" s="12">
        <v>-1375513.1902999002</v>
      </c>
      <c r="V59" s="12">
        <v>-1647409.9611551447</v>
      </c>
      <c r="W59" s="12">
        <v>-1667658.6624454486</v>
      </c>
      <c r="X59" s="12">
        <v>-1670526.3502166606</v>
      </c>
      <c r="Y59" s="12">
        <v>-1656032.1407238438</v>
      </c>
      <c r="Z59" s="12">
        <v>-1624298.0999281984</v>
      </c>
      <c r="AA59" s="12">
        <v>-1575062.6696661918</v>
      </c>
      <c r="AB59" s="12">
        <v>-1471365.5791843482</v>
      </c>
      <c r="AC59" s="12">
        <v>-1388509.745113353</v>
      </c>
      <c r="AD59" s="12">
        <v>-1294496.8016758889</v>
      </c>
      <c r="AE59" s="12">
        <v>-1189070.2497934701</v>
      </c>
      <c r="AF59" s="12">
        <v>-1065653.7675396001</v>
      </c>
      <c r="AG59" s="12">
        <v>-949064.24350860948</v>
      </c>
      <c r="AH59" s="12">
        <v>-839203.91751825891</v>
      </c>
      <c r="AI59" s="12">
        <v>-735842.17760144209</v>
      </c>
      <c r="AJ59" s="12">
        <v>-639026.56685187737</v>
      </c>
      <c r="AK59" s="12">
        <v>-548950.27129175211</v>
      </c>
      <c r="AL59" s="12">
        <v>-458264.29653188982</v>
      </c>
      <c r="AM59" s="12">
        <v>-367063.64963477047</v>
      </c>
      <c r="AN59" s="12">
        <v>-275477.99131977616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2179.0924014745592</v>
      </c>
      <c r="T63" s="12">
        <v>4358.1848029491184</v>
      </c>
      <c r="U63" s="12">
        <v>6537.2772044236781</v>
      </c>
      <c r="V63" s="12">
        <v>8716.3696058982368</v>
      </c>
      <c r="W63" s="12">
        <v>10895.4620073728</v>
      </c>
      <c r="X63" s="12">
        <v>13074.554408847356</v>
      </c>
      <c r="Y63" s="12">
        <v>15253.646810321916</v>
      </c>
      <c r="Z63" s="12">
        <v>17432.739211796474</v>
      </c>
      <c r="AA63" s="12">
        <v>19611.831613271035</v>
      </c>
      <c r="AB63" s="12">
        <v>21790.9240147456</v>
      </c>
      <c r="AC63" s="12">
        <v>23970.016416220154</v>
      </c>
      <c r="AD63" s="12">
        <v>26149.108817694712</v>
      </c>
      <c r="AE63" s="12">
        <v>28328.201219169274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291.17026532352008</v>
      </c>
      <c r="T64" s="12">
        <v>582.34053064704017</v>
      </c>
      <c r="U64" s="12">
        <v>873.51079597056014</v>
      </c>
      <c r="V64" s="12">
        <v>1164.6810612940803</v>
      </c>
      <c r="W64" s="12">
        <v>1455.8513266176003</v>
      </c>
      <c r="X64" s="12">
        <v>1747.0215919411203</v>
      </c>
      <c r="Y64" s="12">
        <v>2038.1918572646407</v>
      </c>
      <c r="Z64" s="12">
        <v>2329.3621225881607</v>
      </c>
      <c r="AA64" s="12">
        <v>2620.5323879116804</v>
      </c>
      <c r="AB64" s="12">
        <v>2911.7026532352006</v>
      </c>
      <c r="AC64" s="12">
        <v>3202.8729185587208</v>
      </c>
      <c r="AD64" s="12">
        <v>3494.0431838822406</v>
      </c>
      <c r="AE64" s="12">
        <v>3785.2134492057612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1770.8074248550399</v>
      </c>
      <c r="T65" s="12">
        <v>3541.6148497100799</v>
      </c>
      <c r="U65" s="12">
        <v>5312.4222745651196</v>
      </c>
      <c r="V65" s="12">
        <v>7083.2296994201597</v>
      </c>
      <c r="W65" s="12">
        <v>8854.0371242752008</v>
      </c>
      <c r="X65" s="12">
        <v>10624.844549130239</v>
      </c>
      <c r="Y65" s="12">
        <v>12395.651973985277</v>
      </c>
      <c r="Z65" s="12">
        <v>14166.459398840319</v>
      </c>
      <c r="AA65" s="12">
        <v>15937.266823695358</v>
      </c>
      <c r="AB65" s="12">
        <v>17708.074248550402</v>
      </c>
      <c r="AC65" s="12">
        <v>19478.881673405438</v>
      </c>
      <c r="AD65" s="12">
        <v>21249.689098260478</v>
      </c>
      <c r="AE65" s="12">
        <v>23020.496523115518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4241.0700916531196</v>
      </c>
      <c r="T67" s="13">
        <v>8482.1401833062391</v>
      </c>
      <c r="U67" s="13">
        <v>12723.210274959358</v>
      </c>
      <c r="V67" s="13">
        <v>16964.280366612478</v>
      </c>
      <c r="W67" s="13">
        <v>21205.350458265602</v>
      </c>
      <c r="X67" s="13">
        <v>25446.420549918716</v>
      </c>
      <c r="Y67" s="13">
        <v>29687.490641571832</v>
      </c>
      <c r="Z67" s="13">
        <v>33928.560733224956</v>
      </c>
      <c r="AA67" s="13">
        <v>38169.63082487807</v>
      </c>
      <c r="AB67" s="13">
        <v>42410.700916531205</v>
      </c>
      <c r="AC67" s="13">
        <v>46651.771008184311</v>
      </c>
      <c r="AD67" s="13">
        <v>50892.841099837431</v>
      </c>
      <c r="AE67" s="13">
        <v>55133.911191490552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1489.7914907369507</v>
      </c>
      <c r="T72" s="12">
        <v>2979.5829814739013</v>
      </c>
      <c r="U72" s="12">
        <v>4469.3744722108522</v>
      </c>
      <c r="V72" s="12">
        <v>5959.1659629478027</v>
      </c>
      <c r="W72" s="12">
        <v>7448.957453684754</v>
      </c>
      <c r="X72" s="12">
        <v>8938.7489444217044</v>
      </c>
      <c r="Y72" s="12">
        <v>25612.940435158664</v>
      </c>
      <c r="Z72" s="12">
        <v>42287.131925895606</v>
      </c>
      <c r="AA72" s="12">
        <v>43776.923416632562</v>
      </c>
      <c r="AB72" s="12">
        <v>45266.714907369511</v>
      </c>
      <c r="AC72" s="12">
        <v>51432.157037917103</v>
      </c>
      <c r="AD72" s="12">
        <v>53070.927677727756</v>
      </c>
      <c r="AE72" s="12">
        <v>54709.698317538408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2751.2786009161691</v>
      </c>
      <c r="T75" s="74">
        <v>5502.5572018323383</v>
      </c>
      <c r="U75" s="74">
        <v>8253.8358027485046</v>
      </c>
      <c r="V75" s="74">
        <v>11005.114403664677</v>
      </c>
      <c r="W75" s="74">
        <v>13756.393004580848</v>
      </c>
      <c r="X75" s="74">
        <v>16507.671605497009</v>
      </c>
      <c r="Y75" s="74">
        <v>4074.5502064131688</v>
      </c>
      <c r="Z75" s="74">
        <v>-8358.5711926706499</v>
      </c>
      <c r="AA75" s="74">
        <v>-5607.2925917544926</v>
      </c>
      <c r="AB75" s="74">
        <v>-2856.0139908383062</v>
      </c>
      <c r="AC75" s="74">
        <v>-4780.3860297327919</v>
      </c>
      <c r="AD75" s="74">
        <v>-2178.0865778903244</v>
      </c>
      <c r="AE75" s="74">
        <v>424.21287395214313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494-88EF-4A21-BF29-A26F4E8823E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72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1</v>
      </c>
      <c r="W1" s="69">
        <v>3</v>
      </c>
      <c r="X1" s="69">
        <v>5</v>
      </c>
      <c r="Y1" s="69">
        <v>6</v>
      </c>
      <c r="Z1" s="69">
        <v>8</v>
      </c>
      <c r="AA1" s="69">
        <v>10</v>
      </c>
      <c r="AB1" s="69">
        <v>12</v>
      </c>
      <c r="AC1" s="69">
        <v>13</v>
      </c>
      <c r="AD1" s="69">
        <v>15</v>
      </c>
      <c r="AE1" s="69">
        <v>17</v>
      </c>
      <c r="AF1" s="69">
        <v>18</v>
      </c>
      <c r="AG1" s="69">
        <v>20</v>
      </c>
      <c r="AH1" s="69">
        <v>22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1.8809523809523809</v>
      </c>
      <c r="X2" s="69">
        <v>2.0476190476190474</v>
      </c>
      <c r="Y2" s="69">
        <v>2.2142857142857144</v>
      </c>
      <c r="Z2" s="69">
        <v>2.3809523809523809</v>
      </c>
      <c r="AA2" s="69">
        <v>2.5476190476190474</v>
      </c>
      <c r="AB2" s="69">
        <v>2.7142857142857144</v>
      </c>
      <c r="AC2" s="69">
        <v>2.8809523809523809</v>
      </c>
      <c r="AD2" s="69">
        <v>3.0476190476190474</v>
      </c>
      <c r="AE2" s="69">
        <v>3.2142857142857144</v>
      </c>
      <c r="AF2" s="69">
        <v>3.3809523809523809</v>
      </c>
      <c r="AG2" s="69">
        <v>3.5476190476190474</v>
      </c>
      <c r="AH2" s="69">
        <v>3.7142857142857144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0.16666666666666666</v>
      </c>
      <c r="X3" s="69">
        <v>0.33333333333333331</v>
      </c>
      <c r="Y3" s="69">
        <v>0.5</v>
      </c>
      <c r="Z3" s="69">
        <v>0.66666666666666663</v>
      </c>
      <c r="AA3" s="69">
        <v>0.83333333333333337</v>
      </c>
      <c r="AB3" s="69">
        <v>1</v>
      </c>
      <c r="AC3" s="69">
        <v>1.1666666666666667</v>
      </c>
      <c r="AD3" s="69">
        <v>1.3333333333333333</v>
      </c>
      <c r="AE3" s="69">
        <v>1.5</v>
      </c>
      <c r="AF3" s="69">
        <v>1.6666666666666667</v>
      </c>
      <c r="AG3" s="69">
        <v>1.8333333333333333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1</v>
      </c>
      <c r="W4" s="69">
        <v>4.8809523809523814</v>
      </c>
      <c r="X4" s="69">
        <v>7.0476190476190474</v>
      </c>
      <c r="Y4" s="69">
        <v>8.2142857142857153</v>
      </c>
      <c r="Z4" s="69">
        <v>10.380952380952381</v>
      </c>
      <c r="AA4" s="69">
        <v>12.547619047619047</v>
      </c>
      <c r="AB4" s="69">
        <v>14.714285714285715</v>
      </c>
      <c r="AC4" s="69">
        <v>15.880952380952381</v>
      </c>
      <c r="AD4" s="69">
        <v>18.047619047619047</v>
      </c>
      <c r="AE4" s="69">
        <v>20.214285714285715</v>
      </c>
      <c r="AF4" s="69">
        <v>21.38095238095238</v>
      </c>
      <c r="AG4" s="69">
        <v>23.547619047619047</v>
      </c>
      <c r="AH4" s="69">
        <v>25.714285714285715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2</v>
      </c>
      <c r="W6" s="66">
        <v>4</v>
      </c>
      <c r="X6" s="66">
        <v>5</v>
      </c>
      <c r="Y6" s="66">
        <v>6</v>
      </c>
      <c r="Z6" s="66">
        <v>7</v>
      </c>
      <c r="AA6" s="66">
        <v>8</v>
      </c>
      <c r="AB6" s="66">
        <v>9</v>
      </c>
      <c r="AC6" s="66">
        <v>10</v>
      </c>
      <c r="AD6" s="66">
        <v>11</v>
      </c>
      <c r="AE6" s="66">
        <v>12</v>
      </c>
      <c r="AF6" s="66">
        <v>13</v>
      </c>
      <c r="AG6" s="66">
        <v>14</v>
      </c>
      <c r="AH6" s="66">
        <v>15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0.46</v>
      </c>
      <c r="W7" s="108">
        <v>1.36</v>
      </c>
      <c r="X7" s="108">
        <v>2.2599999999999998</v>
      </c>
      <c r="Y7" s="108">
        <v>2.71</v>
      </c>
      <c r="Z7" s="108">
        <v>3.61</v>
      </c>
      <c r="AA7" s="108">
        <v>4.51</v>
      </c>
      <c r="AB7" s="108">
        <v>5.42</v>
      </c>
      <c r="AC7" s="108">
        <v>5.87</v>
      </c>
      <c r="AD7" s="108">
        <v>6.77</v>
      </c>
      <c r="AE7" s="108">
        <v>7.67</v>
      </c>
      <c r="AF7" s="108">
        <v>8.1199999999999992</v>
      </c>
      <c r="AG7" s="108">
        <v>9.02</v>
      </c>
      <c r="AH7" s="108">
        <v>9.93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9.9999999999999992E-2</v>
      </c>
      <c r="W8" s="108">
        <v>0.28000000000000003</v>
      </c>
      <c r="X8" s="108">
        <v>0.46</v>
      </c>
      <c r="Y8" s="108">
        <v>0.55000000000000004</v>
      </c>
      <c r="Z8" s="108">
        <v>0.73</v>
      </c>
      <c r="AA8" s="108">
        <v>0.91</v>
      </c>
      <c r="AB8" s="108">
        <v>1.1000000000000001</v>
      </c>
      <c r="AC8" s="108">
        <v>1.19</v>
      </c>
      <c r="AD8" s="108">
        <v>1.37</v>
      </c>
      <c r="AE8" s="108">
        <v>1.55</v>
      </c>
      <c r="AF8" s="108">
        <v>1.64</v>
      </c>
      <c r="AG8" s="108">
        <v>1.82</v>
      </c>
      <c r="AH8" s="108">
        <v>2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0.15000000000000002</v>
      </c>
      <c r="X12" s="108">
        <v>0.16</v>
      </c>
      <c r="Y12" s="108">
        <v>0.18000000000000002</v>
      </c>
      <c r="Z12" s="108">
        <v>0.19</v>
      </c>
      <c r="AA12" s="108">
        <v>0.2</v>
      </c>
      <c r="AB12" s="108">
        <v>0.21000000000000002</v>
      </c>
      <c r="AC12" s="108">
        <v>0.23</v>
      </c>
      <c r="AD12" s="108">
        <v>0.24000000000000002</v>
      </c>
      <c r="AE12" s="108">
        <v>0.25</v>
      </c>
      <c r="AF12" s="108">
        <v>0.27</v>
      </c>
      <c r="AG12" s="108">
        <v>0.28000000000000003</v>
      </c>
      <c r="AH12" s="108">
        <v>0.29000000000000004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0.01</v>
      </c>
      <c r="W13" s="108">
        <v>0.21000000000000002</v>
      </c>
      <c r="X13" s="108">
        <v>0.24000000000000002</v>
      </c>
      <c r="Y13" s="108">
        <v>0.26</v>
      </c>
      <c r="Z13" s="108">
        <v>0.29000000000000004</v>
      </c>
      <c r="AA13" s="108">
        <v>0.31</v>
      </c>
      <c r="AB13" s="108">
        <v>0.34</v>
      </c>
      <c r="AC13" s="108">
        <v>0.36</v>
      </c>
      <c r="AD13" s="108">
        <v>0.39</v>
      </c>
      <c r="AE13" s="108">
        <v>0.42</v>
      </c>
      <c r="AF13" s="108">
        <v>0.44</v>
      </c>
      <c r="AG13" s="108">
        <v>0.47000000000000003</v>
      </c>
      <c r="AH13" s="108">
        <v>0.5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0.01</v>
      </c>
      <c r="W14" s="108">
        <v>0.12</v>
      </c>
      <c r="X14" s="108">
        <v>0.13</v>
      </c>
      <c r="Y14" s="108">
        <v>0.15000000000000002</v>
      </c>
      <c r="Z14" s="108">
        <v>0.17</v>
      </c>
      <c r="AA14" s="108">
        <v>0.19</v>
      </c>
      <c r="AB14" s="108">
        <v>0.21000000000000002</v>
      </c>
      <c r="AC14" s="108">
        <v>0.22</v>
      </c>
      <c r="AD14" s="108">
        <v>0.24000000000000002</v>
      </c>
      <c r="AE14" s="108">
        <v>0.26</v>
      </c>
      <c r="AF14" s="108">
        <v>0.27</v>
      </c>
      <c r="AG14" s="108">
        <v>0.29000000000000004</v>
      </c>
      <c r="AH14" s="108">
        <v>0.31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0.01</v>
      </c>
      <c r="W15" s="108">
        <v>0.02</v>
      </c>
      <c r="X15" s="108">
        <v>0.02</v>
      </c>
      <c r="Y15" s="108">
        <v>0.03</v>
      </c>
      <c r="Z15" s="108">
        <v>0.04</v>
      </c>
      <c r="AA15" s="108">
        <v>0.04</v>
      </c>
      <c r="AB15" s="108">
        <v>0.05</v>
      </c>
      <c r="AC15" s="108">
        <v>6.0000000000000005E-2</v>
      </c>
      <c r="AD15" s="108">
        <v>0.06</v>
      </c>
      <c r="AE15" s="108">
        <v>6.9999999999999993E-2</v>
      </c>
      <c r="AF15" s="108">
        <v>0.08</v>
      </c>
      <c r="AG15" s="108">
        <v>0.08</v>
      </c>
      <c r="AH15" s="108">
        <v>0.09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0.01</v>
      </c>
      <c r="W16" s="108">
        <v>0.02</v>
      </c>
      <c r="X16" s="108">
        <v>0.02</v>
      </c>
      <c r="Y16" s="108">
        <v>0.03</v>
      </c>
      <c r="Z16" s="108">
        <v>0.04</v>
      </c>
      <c r="AA16" s="108">
        <v>0.04</v>
      </c>
      <c r="AB16" s="108">
        <v>0.05</v>
      </c>
      <c r="AC16" s="108">
        <v>6.0000000000000005E-2</v>
      </c>
      <c r="AD16" s="108">
        <v>0.06</v>
      </c>
      <c r="AE16" s="108">
        <v>6.9999999999999993E-2</v>
      </c>
      <c r="AF16" s="108">
        <v>0.08</v>
      </c>
      <c r="AG16" s="108">
        <v>0.08</v>
      </c>
      <c r="AH16" s="108">
        <v>0.09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1</v>
      </c>
      <c r="W21" s="120">
        <v>2</v>
      </c>
      <c r="X21" s="120">
        <v>3</v>
      </c>
      <c r="Y21" s="120">
        <v>3</v>
      </c>
      <c r="Z21" s="120">
        <v>4</v>
      </c>
      <c r="AA21" s="120">
        <v>5</v>
      </c>
      <c r="AB21" s="120">
        <v>7</v>
      </c>
      <c r="AC21" s="120">
        <v>7</v>
      </c>
      <c r="AD21" s="120">
        <v>8</v>
      </c>
      <c r="AE21" s="120">
        <v>9</v>
      </c>
      <c r="AF21" s="120">
        <v>10</v>
      </c>
      <c r="AG21" s="120">
        <v>11</v>
      </c>
      <c r="AH21" s="120">
        <v>12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174.55720170454555</v>
      </c>
      <c r="W22" s="78">
        <v>174.55720170454543</v>
      </c>
      <c r="X22" s="78">
        <v>174.55720170454541</v>
      </c>
      <c r="Y22" s="78">
        <v>174.55720170454543</v>
      </c>
      <c r="Z22" s="78">
        <v>174.55720170454555</v>
      </c>
      <c r="AA22" s="78">
        <v>174.55720170454541</v>
      </c>
      <c r="AB22" s="78">
        <v>174.55720170454543</v>
      </c>
      <c r="AC22" s="78">
        <v>174.55720170454546</v>
      </c>
      <c r="AD22" s="78">
        <v>174.55720170454546</v>
      </c>
      <c r="AE22" s="78">
        <v>174.55720170454549</v>
      </c>
      <c r="AF22" s="78">
        <v>174.55720170454549</v>
      </c>
      <c r="AG22" s="78">
        <v>174.55720170454541</v>
      </c>
      <c r="AH22" s="78">
        <v>174.55720170454541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51.626666666666658</v>
      </c>
      <c r="W23" s="52">
        <v>154.88</v>
      </c>
      <c r="X23" s="52">
        <v>258.13333333333333</v>
      </c>
      <c r="Y23" s="52">
        <v>309.76</v>
      </c>
      <c r="Z23" s="52">
        <v>413.01333333333326</v>
      </c>
      <c r="AA23" s="52">
        <v>516.26666666666665</v>
      </c>
      <c r="AB23" s="52">
        <v>619.52</v>
      </c>
      <c r="AC23" s="52">
        <v>671.14666666666665</v>
      </c>
      <c r="AD23" s="52">
        <v>774.39999999999986</v>
      </c>
      <c r="AE23" s="52">
        <v>877.65333333333331</v>
      </c>
      <c r="AF23" s="52">
        <v>929.27999999999986</v>
      </c>
      <c r="AG23" s="52">
        <v>1032.5333333333333</v>
      </c>
      <c r="AH23" s="52">
        <v>1135.7866666666666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8154.019033333333</v>
      </c>
      <c r="W26" s="12">
        <v>24462.057099999998</v>
      </c>
      <c r="X26" s="12">
        <v>40770.095166666659</v>
      </c>
      <c r="Y26" s="12">
        <v>48924.114199999996</v>
      </c>
      <c r="Z26" s="12">
        <v>65232.152266666664</v>
      </c>
      <c r="AA26" s="12">
        <v>81540.190333333318</v>
      </c>
      <c r="AB26" s="12">
        <v>97848.228399999993</v>
      </c>
      <c r="AC26" s="12">
        <v>106002.24743333334</v>
      </c>
      <c r="AD26" s="12">
        <v>122310.28549999998</v>
      </c>
      <c r="AE26" s="12">
        <v>138618.32356666666</v>
      </c>
      <c r="AF26" s="12">
        <v>146772.3426</v>
      </c>
      <c r="AG26" s="12">
        <v>163080.38066666664</v>
      </c>
      <c r="AH26" s="12">
        <v>179388.4187333333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1086.8529099999998</v>
      </c>
      <c r="W28" s="12">
        <v>3260.5587299999988</v>
      </c>
      <c r="X28" s="12">
        <v>5434.2645499999981</v>
      </c>
      <c r="Y28" s="12">
        <v>6521.1174599999977</v>
      </c>
      <c r="Z28" s="12">
        <v>8694.8232799999987</v>
      </c>
      <c r="AA28" s="12">
        <v>10868.529099999996</v>
      </c>
      <c r="AB28" s="12">
        <v>13042.234919999995</v>
      </c>
      <c r="AC28" s="12">
        <v>14129.087829999997</v>
      </c>
      <c r="AD28" s="12">
        <v>16302.793649999996</v>
      </c>
      <c r="AE28" s="12">
        <v>18476.499469999999</v>
      </c>
      <c r="AF28" s="12">
        <v>19563.352379999993</v>
      </c>
      <c r="AG28" s="12">
        <v>21737.058199999992</v>
      </c>
      <c r="AH28" s="12">
        <v>23910.764019999991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167.20813999999999</v>
      </c>
      <c r="W29" s="12">
        <v>501.62441999999999</v>
      </c>
      <c r="X29" s="12">
        <v>836.04070000000002</v>
      </c>
      <c r="Y29" s="12">
        <v>1003.24884</v>
      </c>
      <c r="Z29" s="12">
        <v>1337.6651199999999</v>
      </c>
      <c r="AA29" s="12">
        <v>1672.0814</v>
      </c>
      <c r="AB29" s="12">
        <v>2006.4976799999999</v>
      </c>
      <c r="AC29" s="12">
        <v>2173.7058200000001</v>
      </c>
      <c r="AD29" s="12">
        <v>2508.1221</v>
      </c>
      <c r="AE29" s="12">
        <v>2842.5383799999995</v>
      </c>
      <c r="AF29" s="12">
        <v>3009.7465200000001</v>
      </c>
      <c r="AG29" s="12">
        <v>3344.1628000000001</v>
      </c>
      <c r="AH29" s="12">
        <v>3678.5790799999995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218.1677333333333</v>
      </c>
      <c r="W30" s="12">
        <v>654.50319999999988</v>
      </c>
      <c r="X30" s="12">
        <v>1090.8386666666665</v>
      </c>
      <c r="Y30" s="12">
        <v>1309.0063999999998</v>
      </c>
      <c r="Z30" s="12">
        <v>1745.3418666666664</v>
      </c>
      <c r="AA30" s="12">
        <v>2181.6773333333331</v>
      </c>
      <c r="AB30" s="12">
        <v>2618.0127999999995</v>
      </c>
      <c r="AC30" s="12">
        <v>2836.1805333333332</v>
      </c>
      <c r="AD30" s="12">
        <v>3272.5159999999996</v>
      </c>
      <c r="AE30" s="12">
        <v>3708.8514666666661</v>
      </c>
      <c r="AF30" s="12">
        <v>3927.0191999999997</v>
      </c>
      <c r="AG30" s="12">
        <v>4363.3546666666662</v>
      </c>
      <c r="AH30" s="12">
        <v>4799.6901333333326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-1155.1497380000001</v>
      </c>
      <c r="W35" s="12">
        <v>-3465.4492139999993</v>
      </c>
      <c r="X35" s="12">
        <v>-5775.7486899999985</v>
      </c>
      <c r="Y35" s="12">
        <v>-6930.8984279999986</v>
      </c>
      <c r="Z35" s="12">
        <v>-9241.1979040000006</v>
      </c>
      <c r="AA35" s="12">
        <v>-11551.497379999997</v>
      </c>
      <c r="AB35" s="12">
        <v>-13861.796855999997</v>
      </c>
      <c r="AC35" s="12">
        <v>-15016.946594000001</v>
      </c>
      <c r="AD35" s="12">
        <v>-17327.246069999997</v>
      </c>
      <c r="AE35" s="12">
        <v>-19637.545546000001</v>
      </c>
      <c r="AF35" s="12">
        <v>-20792.695283999998</v>
      </c>
      <c r="AG35" s="12">
        <v>-23102.994759999994</v>
      </c>
      <c r="AH35" s="12">
        <v>-25413.294235999994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8471.0980786666678</v>
      </c>
      <c r="W37" s="13">
        <v>25413.294235999994</v>
      </c>
      <c r="X37" s="13">
        <v>42355.490393333319</v>
      </c>
      <c r="Y37" s="13">
        <v>50826.588471999989</v>
      </c>
      <c r="Z37" s="13">
        <v>67768.784629333342</v>
      </c>
      <c r="AA37" s="13">
        <v>84710.980786666638</v>
      </c>
      <c r="AB37" s="13">
        <v>101653.17694399998</v>
      </c>
      <c r="AC37" s="13">
        <v>110124.27502266667</v>
      </c>
      <c r="AD37" s="13">
        <v>127066.47117999999</v>
      </c>
      <c r="AE37" s="13">
        <v>144008.66733733335</v>
      </c>
      <c r="AF37" s="13">
        <v>152479.76541600001</v>
      </c>
      <c r="AG37" s="13">
        <v>169421.96157333328</v>
      </c>
      <c r="AH37" s="13">
        <v>186364.15773066663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13181.944580396104</v>
      </c>
      <c r="W40" s="12">
        <v>28140.89895452165</v>
      </c>
      <c r="X40" s="12">
        <v>32635.589995313858</v>
      </c>
      <c r="Y40" s="12">
        <v>35404.500515709959</v>
      </c>
      <c r="Z40" s="12">
        <v>40192.671556502173</v>
      </c>
      <c r="AA40" s="12">
        <v>44690.552597294387</v>
      </c>
      <c r="AB40" s="12">
        <v>49608.261031419919</v>
      </c>
      <c r="AC40" s="12">
        <v>57537.69070699763</v>
      </c>
      <c r="AD40" s="12">
        <v>62559.048851869062</v>
      </c>
      <c r="AE40" s="12">
        <v>67826.036996740484</v>
      </c>
      <c r="AF40" s="12">
        <v>70794.640569176205</v>
      </c>
      <c r="AG40" s="12">
        <v>75815.998714047644</v>
      </c>
      <c r="AH40" s="12">
        <v>81110.265824919072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364.434304</v>
      </c>
      <c r="W44" s="12">
        <v>883.05235200000004</v>
      </c>
      <c r="X44" s="12">
        <v>900.57323200000008</v>
      </c>
      <c r="Y44" s="12">
        <v>928.60663999999997</v>
      </c>
      <c r="Z44" s="12">
        <v>956.64004799999998</v>
      </c>
      <c r="AA44" s="12">
        <v>974.16092800000001</v>
      </c>
      <c r="AB44" s="12">
        <v>1002.1943359999998</v>
      </c>
      <c r="AC44" s="12">
        <v>1067.7925107200001</v>
      </c>
      <c r="AD44" s="12">
        <v>1089.6585689600004</v>
      </c>
      <c r="AE44" s="12">
        <v>1118.8133132799999</v>
      </c>
      <c r="AF44" s="12">
        <v>1144.3237145600003</v>
      </c>
      <c r="AG44" s="12">
        <v>1166.1897728000004</v>
      </c>
      <c r="AH44" s="12">
        <v>1195.3445171200001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2203.1999999999998</v>
      </c>
      <c r="W46" s="12">
        <v>3508.7999999999993</v>
      </c>
      <c r="X46" s="12">
        <v>4085.0999999999995</v>
      </c>
      <c r="Y46" s="12">
        <v>4401.3</v>
      </c>
      <c r="Z46" s="12">
        <v>4992.9000000000005</v>
      </c>
      <c r="AA46" s="12">
        <v>5569.1999999999989</v>
      </c>
      <c r="AB46" s="12">
        <v>6171.0000000000009</v>
      </c>
      <c r="AC46" s="12">
        <v>6611.742000000002</v>
      </c>
      <c r="AD46" s="12">
        <v>7204.7700000000023</v>
      </c>
      <c r="AE46" s="12">
        <v>7808.2020000000011</v>
      </c>
      <c r="AF46" s="12">
        <v>8125.5239999999994</v>
      </c>
      <c r="AG46" s="12">
        <v>8718.5519999999997</v>
      </c>
      <c r="AH46" s="12">
        <v>9327.1859999999997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806.25773275264532</v>
      </c>
      <c r="W49" s="12">
        <f>'Corp.'!W$50*(W$37-(W31-W32-W34)*$C$35)/(SUM('MDA1:NCA9'!W$37)-SUM('MDA1:NCA9'!W$31)-SUM('MDA1:NCA9'!W$32)-SUM('MDA1:NCA9'!W$34))</f>
        <v>2349.1568582178488</v>
      </c>
      <c r="X49" s="12">
        <f>'Corp.'!X$50*(X$37-(X31-X32-X34)*$C$35)/(SUM('MDA1:NCA9'!X$37)-SUM('MDA1:NCA9'!X$31)-SUM('MDA1:NCA9'!X$32)-SUM('MDA1:NCA9'!X$34))</f>
        <v>3798.8949409034472</v>
      </c>
      <c r="Y49" s="12">
        <f>'Corp.'!Y$50*(Y$37-(Y31-Y32-Y34)*$C$35)/(SUM('MDA1:NCA9'!Y$37)-SUM('MDA1:NCA9'!Y$31)-SUM('MDA1:NCA9'!Y$32)-SUM('MDA1:NCA9'!Y$34))</f>
        <v>4468.1958796610043</v>
      </c>
      <c r="Z49" s="12">
        <f>'Corp.'!Z$50*(Z$37-(Z31-Z32-Z34)*$C$35)/(SUM('MDA1:NCA9'!Z$37)-SUM('MDA1:NCA9'!Z$31)-SUM('MDA1:NCA9'!Z$32)-SUM('MDA1:NCA9'!Z$34))</f>
        <v>5836.890327241018</v>
      </c>
      <c r="AA49" s="12">
        <f>'Corp.'!AA$50*(AA$37-(AA31-AA32-AA34)*$C$35)/(SUM('MDA1:NCA9'!AA$37)-SUM('MDA1:NCA9'!AA$31)-SUM('MDA1:NCA9'!AA$32)-SUM('MDA1:NCA9'!AA$34))</f>
        <v>7139.631234983066</v>
      </c>
      <c r="AB49" s="12">
        <f>'Corp.'!AB$50*(AB$37-(AB31-AB32-AB34)*$C$35)/(SUM('MDA1:NCA9'!AB$37)-SUM('MDA1:NCA9'!AB$31)-SUM('MDA1:NCA9'!AB$32)-SUM('MDA1:NCA9'!AB$34))</f>
        <v>8384.0151244071749</v>
      </c>
      <c r="AC49" s="12">
        <f>'Corp.'!AC$50*(AC$37-(AC31-AC32-AC34)*$C$35)/(SUM('MDA1:NCA9'!AC$37)-SUM('MDA1:NCA9'!AC$31)-SUM('MDA1:NCA9'!AC$32)-SUM('MDA1:NCA9'!AC$34))</f>
        <v>9828.7149756468643</v>
      </c>
      <c r="AD49" s="12">
        <f>'Corp.'!AD$50*(AD$37-(AD31-AD32-AD34)*$C$35)/(SUM('MDA1:NCA9'!AD$37)-SUM('MDA1:NCA9'!AD$31)-SUM('MDA1:NCA9'!AD$32)-SUM('MDA1:NCA9'!AD$34))</f>
        <v>11166.696992409119</v>
      </c>
      <c r="AE49" s="12">
        <f>'Corp.'!AE$50*(AE$37-(AE31-AE32-AE34)*$C$35)/(SUM('MDA1:NCA9'!AE$37)-SUM('MDA1:NCA9'!AE$31)-SUM('MDA1:NCA9'!AE$32)-SUM('MDA1:NCA9'!AE$34))</f>
        <v>12468.760634605338</v>
      </c>
      <c r="AF49" s="12">
        <f>'Corp.'!AF$50*(AF$37-(AF31-AF32-AF34)*$C$35)/(SUM('MDA1:NCA9'!AF$37)-SUM('MDA1:NCA9'!AF$31)-SUM('MDA1:NCA9'!AF$32)-SUM('MDA1:NCA9'!AF$34))</f>
        <v>13016.195858178424</v>
      </c>
      <c r="AG49" s="12">
        <f>'Corp.'!AG$50*(AG$37-(AG31-AG32-AG34)*$C$35)/(SUM('MDA1:NCA9'!AG$37)-SUM('MDA1:NCA9'!AG$31)-SUM('MDA1:NCA9'!AG$32)-SUM('MDA1:NCA9'!AG$34))</f>
        <v>14297.840551059962</v>
      </c>
      <c r="AH49" s="12">
        <f>'Corp.'!AH$50*(AH$37-(AH31-AH32-AH34)*$C$35)/(SUM('MDA1:NCA9'!AH$37)-SUM('MDA1:NCA9'!AH$31)-SUM('MDA1:NCA9'!AH$32)-SUM('MDA1:NCA9'!AH$34))</f>
        <v>15487.585559892188</v>
      </c>
      <c r="AI49" s="12">
        <f>'Corp.'!AI$50*(AI$37-(AI31-AI32-AI34)*$C$35)/(SUM('MDA1:NCA9'!AI$37)-SUM('MDA1:NCA9'!AI$31)-SUM('MDA1:NCA9'!AI$32)-SUM('MDA1:NCA9'!AI$34))</f>
        <v>16624.059945108205</v>
      </c>
      <c r="AJ49" s="12">
        <f>'Corp.'!AJ$50*(AJ$37-(AJ31-AJ32-AJ34)*$C$35)/(SUM('MDA1:NCA9'!AJ$37)-SUM('MDA1:NCA9'!AJ$31)-SUM('MDA1:NCA9'!AJ$32)-SUM('MDA1:NCA9'!AJ$34))</f>
        <v>16343.795255530347</v>
      </c>
      <c r="AK49" s="12">
        <f>'Corp.'!AK$50*(AK$37-(AK31-AK32-AK34)*$C$35)/(SUM('MDA1:NCA9'!AK$37)-SUM('MDA1:NCA9'!AK$31)-SUM('MDA1:NCA9'!AK$32)-SUM('MDA1:NCA9'!AK$34))</f>
        <v>16084.915468964977</v>
      </c>
      <c r="AL49" s="12">
        <f>'Corp.'!AL$50*(AL$37-(AL31-AL32-AL34)*$C$35)/(SUM('MDA1:NCA9'!AL$37)-SUM('MDA1:NCA9'!AL$31)-SUM('MDA1:NCA9'!AL$32)-SUM('MDA1:NCA9'!AL$34))</f>
        <v>15846.953055401278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16191.402313148748</v>
      </c>
      <c r="W50" s="13">
        <v>33998.855812739501</v>
      </c>
      <c r="X50" s="13">
        <v>40519.584936217303</v>
      </c>
      <c r="Y50" s="13">
        <v>44273.996395370967</v>
      </c>
      <c r="Z50" s="13">
        <v>51022.461883743192</v>
      </c>
      <c r="AA50" s="13">
        <v>57399.383832277454</v>
      </c>
      <c r="AB50" s="13">
        <v>64163.276155827094</v>
      </c>
      <c r="AC50" s="13">
        <v>73978.147682644485</v>
      </c>
      <c r="AD50" s="13">
        <v>80930.515844278183</v>
      </c>
      <c r="AE50" s="13">
        <v>88102.999631345825</v>
      </c>
      <c r="AF50" s="13">
        <v>91936.360427354637</v>
      </c>
      <c r="AG50" s="13">
        <v>98832.39126510761</v>
      </c>
      <c r="AH50" s="13">
        <v>105925.03738481126</v>
      </c>
      <c r="AI50" s="13">
        <v>109101.45574823204</v>
      </c>
      <c r="AJ50" s="13">
        <v>108821.19105865418</v>
      </c>
      <c r="AK50" s="13">
        <v>108562.3112720888</v>
      </c>
      <c r="AL50" s="13">
        <v>108324.3488585251</v>
      </c>
      <c r="AM50" s="13">
        <v>108067.77571107977</v>
      </c>
      <c r="AN50" s="13">
        <v>107849.40675233916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-7720.3042344820806</v>
      </c>
      <c r="W52" s="74">
        <f t="shared" si="0"/>
        <v>-8585.5615767395066</v>
      </c>
      <c r="X52" s="74">
        <f t="shared" si="0"/>
        <v>1835.9054571160159</v>
      </c>
      <c r="Y52" s="74">
        <f t="shared" si="0"/>
        <v>6552.5920766290219</v>
      </c>
      <c r="Z52" s="74">
        <f t="shared" si="0"/>
        <v>16746.322745590151</v>
      </c>
      <c r="AA52" s="74">
        <f t="shared" si="0"/>
        <v>27311.596954389184</v>
      </c>
      <c r="AB52" s="74">
        <f t="shared" si="0"/>
        <v>37489.900788172883</v>
      </c>
      <c r="AC52" s="74">
        <f t="shared" si="0"/>
        <v>36146.127340022183</v>
      </c>
      <c r="AD52" s="74">
        <f t="shared" si="0"/>
        <v>46135.95533572181</v>
      </c>
      <c r="AE52" s="74">
        <f t="shared" si="0"/>
        <v>55905.667705987522</v>
      </c>
      <c r="AF52" s="74">
        <f t="shared" si="0"/>
        <v>60543.404988645372</v>
      </c>
      <c r="AG52" s="74">
        <f t="shared" si="0"/>
        <v>70589.570308225666</v>
      </c>
      <c r="AH52" s="74">
        <f t="shared" si="0"/>
        <v>80439.120345855365</v>
      </c>
      <c r="AI52" s="74">
        <f t="shared" si="0"/>
        <v>94204.898139767916</v>
      </c>
      <c r="AJ52" s="74">
        <f t="shared" si="0"/>
        <v>94485.162829345776</v>
      </c>
      <c r="AK52" s="74">
        <f t="shared" si="0"/>
        <v>94744.042615911152</v>
      </c>
      <c r="AL52" s="74">
        <f t="shared" si="0"/>
        <v>94982.005029474851</v>
      </c>
      <c r="AM52" s="74">
        <f t="shared" si="0"/>
        <v>95238.578176920186</v>
      </c>
      <c r="AN52" s="74">
        <f t="shared" si="0"/>
        <v>95456.947135660797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>
        <f t="shared" si="1"/>
        <v>-0.911369950245841</v>
      </c>
      <c r="W53" s="107">
        <f t="shared" si="1"/>
        <v>-0.33783741285210328</v>
      </c>
      <c r="X53" s="107">
        <f t="shared" si="1"/>
        <v>4.3345158799176227E-2</v>
      </c>
      <c r="Y53" s="107">
        <f t="shared" si="1"/>
        <v>0.12892055661455223</v>
      </c>
      <c r="Z53" s="107">
        <f t="shared" si="1"/>
        <v>0.24710968091261293</v>
      </c>
      <c r="AA53" s="107">
        <f t="shared" si="1"/>
        <v>0.32240916939882702</v>
      </c>
      <c r="AB53" s="107">
        <f t="shared" si="1"/>
        <v>0.36880205730142412</v>
      </c>
      <c r="AC53" s="107">
        <f t="shared" si="1"/>
        <v>0.32823033189169504</v>
      </c>
      <c r="AD53" s="107">
        <f t="shared" si="1"/>
        <v>0.36308520184184917</v>
      </c>
      <c r="AE53" s="107">
        <f t="shared" si="1"/>
        <v>0.38821043718869502</v>
      </c>
      <c r="AF53" s="107">
        <f t="shared" si="1"/>
        <v>0.39705861839089918</v>
      </c>
      <c r="AG53" s="107">
        <f t="shared" si="1"/>
        <v>0.41664946889232773</v>
      </c>
      <c r="AH53" s="107">
        <f t="shared" si="1"/>
        <v>0.4316233406967982</v>
      </c>
      <c r="AI53" s="107">
        <f t="shared" si="1"/>
        <v>0.46336425959251987</v>
      </c>
      <c r="AJ53" s="107">
        <f t="shared" si="1"/>
        <v>0.46474279343673142</v>
      </c>
      <c r="AK53" s="107">
        <f t="shared" si="1"/>
        <v>0.4660161416701466</v>
      </c>
      <c r="AL53" s="107">
        <f t="shared" si="1"/>
        <v>0.46718660392581618</v>
      </c>
      <c r="AM53" s="107">
        <f t="shared" si="1"/>
        <v>0.46844860652700726</v>
      </c>
      <c r="AN53" s="107">
        <f t="shared" si="1"/>
        <v>0.46952269474198216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-7720.3042344820806</v>
      </c>
      <c r="W58" s="13">
        <f t="shared" si="2"/>
        <v>-8585.5615767395066</v>
      </c>
      <c r="X58" s="13">
        <f t="shared" si="2"/>
        <v>1835.9054571160159</v>
      </c>
      <c r="Y58" s="13">
        <f t="shared" si="2"/>
        <v>6552.5920766290219</v>
      </c>
      <c r="Z58" s="13">
        <f t="shared" si="2"/>
        <v>16746.322745590151</v>
      </c>
      <c r="AA58" s="13">
        <f t="shared" si="2"/>
        <v>26040.932242589184</v>
      </c>
      <c r="AB58" s="13">
        <f t="shared" si="2"/>
        <v>33677.906652772886</v>
      </c>
      <c r="AC58" s="13">
        <f t="shared" si="2"/>
        <v>29792.803781022187</v>
      </c>
      <c r="AD58" s="13">
        <f t="shared" si="2"/>
        <v>38511.96706492181</v>
      </c>
      <c r="AE58" s="13">
        <f t="shared" si="2"/>
        <v>45740.350011587521</v>
      </c>
      <c r="AF58" s="13">
        <f t="shared" si="2"/>
        <v>47836.757870645379</v>
      </c>
      <c r="AG58" s="13">
        <f t="shared" si="2"/>
        <v>55341.593766625672</v>
      </c>
      <c r="AH58" s="13">
        <f t="shared" si="2"/>
        <v>63920.479092455367</v>
      </c>
      <c r="AI58" s="13">
        <f t="shared" si="2"/>
        <v>75144.927462767926</v>
      </c>
      <c r="AJ58" s="13">
        <f t="shared" si="2"/>
        <v>72883.862728745778</v>
      </c>
      <c r="AK58" s="13">
        <f t="shared" si="2"/>
        <v>71872.077803511143</v>
      </c>
      <c r="AL58" s="13">
        <f t="shared" si="2"/>
        <v>69568.710793474864</v>
      </c>
      <c r="AM58" s="13">
        <f t="shared" si="2"/>
        <v>67283.954517320191</v>
      </c>
      <c r="AN58" s="13">
        <f t="shared" si="2"/>
        <v>64960.99405246081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-7720.3042344820806</v>
      </c>
      <c r="W59" s="12">
        <v>-16305.865811221587</v>
      </c>
      <c r="X59" s="12">
        <v>-14469.960354105571</v>
      </c>
      <c r="Y59" s="12">
        <v>-7917.3682774765493</v>
      </c>
      <c r="Z59" s="12">
        <v>8828.9544681136013</v>
      </c>
      <c r="AA59" s="12">
        <v>34869.886710702784</v>
      </c>
      <c r="AB59" s="12">
        <v>68547.793363475677</v>
      </c>
      <c r="AC59" s="12">
        <v>98340.597144497864</v>
      </c>
      <c r="AD59" s="12">
        <v>136852.56420941968</v>
      </c>
      <c r="AE59" s="12">
        <v>182592.9142210072</v>
      </c>
      <c r="AF59" s="12">
        <v>230429.67209165258</v>
      </c>
      <c r="AG59" s="12">
        <v>285771.26585827826</v>
      </c>
      <c r="AH59" s="12">
        <v>349691.74495073361</v>
      </c>
      <c r="AI59" s="12">
        <v>424836.67241350154</v>
      </c>
      <c r="AJ59" s="12">
        <v>497720.53514224733</v>
      </c>
      <c r="AK59" s="12">
        <v>569592.6129457585</v>
      </c>
      <c r="AL59" s="12">
        <v>639161.32373923343</v>
      </c>
      <c r="AM59" s="12">
        <v>706445.27825655357</v>
      </c>
      <c r="AN59" s="12">
        <v>771406.27230901434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1.1537294382039608E-3</v>
      </c>
      <c r="W72" s="12">
        <v>3.4611883146118826E-3</v>
      </c>
      <c r="X72" s="12">
        <v>5.768647191019805E-3</v>
      </c>
      <c r="Y72" s="12">
        <v>6.9223766292237652E-3</v>
      </c>
      <c r="Z72" s="12">
        <v>9.2298355056316863E-3</v>
      </c>
      <c r="AA72" s="12">
        <v>1.153729438203961E-2</v>
      </c>
      <c r="AB72" s="12">
        <v>1.384475325844753E-2</v>
      </c>
      <c r="AC72" s="12">
        <v>1.6498330966316647E-2</v>
      </c>
      <c r="AD72" s="12">
        <v>1.9036535730365362E-2</v>
      </c>
      <c r="AE72" s="12">
        <v>2.1574740494414067E-2</v>
      </c>
      <c r="AF72" s="12">
        <v>2.2843842876438432E-2</v>
      </c>
      <c r="AG72" s="12">
        <v>2.5382047640487147E-2</v>
      </c>
      <c r="AH72" s="12">
        <v>2.7920252404535863E-2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-1.1537294382039608E-3</v>
      </c>
      <c r="W75" s="74">
        <v>-3.4611883146118826E-3</v>
      </c>
      <c r="X75" s="74">
        <v>-5.768647191019805E-3</v>
      </c>
      <c r="Y75" s="74">
        <v>-6.9223766292237652E-3</v>
      </c>
      <c r="Z75" s="74">
        <v>-9.2298355056316863E-3</v>
      </c>
      <c r="AA75" s="74">
        <v>-1.153729438203961E-2</v>
      </c>
      <c r="AB75" s="74">
        <v>-1.384475325844753E-2</v>
      </c>
      <c r="AC75" s="74">
        <v>-1.6498330966316647E-2</v>
      </c>
      <c r="AD75" s="74">
        <v>-1.9036535730365362E-2</v>
      </c>
      <c r="AE75" s="74">
        <v>-2.1574740494414067E-2</v>
      </c>
      <c r="AF75" s="74">
        <v>-2.2843842876438432E-2</v>
      </c>
      <c r="AG75" s="74">
        <v>-2.5382047640487147E-2</v>
      </c>
      <c r="AH75" s="74">
        <v>-2.7920252404535863E-2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8BBC-4EC9-4A3D-A4B9-199161E3CD4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73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3</v>
      </c>
      <c r="Y1" s="69">
        <v>6</v>
      </c>
      <c r="Z1" s="69">
        <v>9</v>
      </c>
      <c r="AA1" s="69">
        <v>12</v>
      </c>
      <c r="AB1" s="69">
        <v>15</v>
      </c>
      <c r="AC1" s="69">
        <v>18</v>
      </c>
      <c r="AD1" s="69">
        <v>21</v>
      </c>
      <c r="AE1" s="69">
        <v>24</v>
      </c>
      <c r="AF1" s="69">
        <v>27</v>
      </c>
      <c r="AG1" s="69">
        <v>30</v>
      </c>
      <c r="AH1" s="69">
        <v>33</v>
      </c>
      <c r="AI1" s="69">
        <v>36</v>
      </c>
      <c r="AJ1" s="69">
        <v>39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3.1666666666666665</v>
      </c>
      <c r="Z2" s="69">
        <v>3.3333333333333335</v>
      </c>
      <c r="AA2" s="69">
        <v>3.5</v>
      </c>
      <c r="AB2" s="69">
        <v>3.6666666666666665</v>
      </c>
      <c r="AC2" s="69">
        <v>3.8333333333333335</v>
      </c>
      <c r="AD2" s="69">
        <v>4</v>
      </c>
      <c r="AE2" s="69">
        <v>4.166666666666667</v>
      </c>
      <c r="AF2" s="69">
        <v>4.333333333333333</v>
      </c>
      <c r="AG2" s="69">
        <v>4.5</v>
      </c>
      <c r="AH2" s="69">
        <v>4.666666666666667</v>
      </c>
      <c r="AI2" s="69">
        <v>4.833333333333333</v>
      </c>
      <c r="AJ2" s="69">
        <v>5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3</v>
      </c>
      <c r="Y4" s="69">
        <v>9.1666666666666661</v>
      </c>
      <c r="Z4" s="69">
        <v>12.333333333333334</v>
      </c>
      <c r="AA4" s="69">
        <v>15.5</v>
      </c>
      <c r="AB4" s="69">
        <v>18.666666666666668</v>
      </c>
      <c r="AC4" s="69">
        <v>21.833333333333332</v>
      </c>
      <c r="AD4" s="69">
        <v>25</v>
      </c>
      <c r="AE4" s="69">
        <v>28.166666666666668</v>
      </c>
      <c r="AF4" s="69">
        <v>31.333333333333332</v>
      </c>
      <c r="AG4" s="69">
        <v>34.5</v>
      </c>
      <c r="AH4" s="69">
        <v>37.666666666666664</v>
      </c>
      <c r="AI4" s="69">
        <v>40.833333333333336</v>
      </c>
      <c r="AJ4" s="69">
        <v>44</v>
      </c>
      <c r="AK4" s="69">
        <v>44.166666666666664</v>
      </c>
      <c r="AL4" s="69">
        <v>44.333333333333336</v>
      </c>
      <c r="AM4" s="69">
        <v>44.5</v>
      </c>
      <c r="AN4" s="69">
        <v>44.666666666666664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6</v>
      </c>
      <c r="Y6" s="66">
        <v>11</v>
      </c>
      <c r="Z6" s="66">
        <v>15</v>
      </c>
      <c r="AA6" s="66">
        <v>18</v>
      </c>
      <c r="AB6" s="66">
        <v>22</v>
      </c>
      <c r="AC6" s="66">
        <v>26</v>
      </c>
      <c r="AD6" s="66">
        <v>29</v>
      </c>
      <c r="AE6" s="66">
        <v>33</v>
      </c>
      <c r="AF6" s="66">
        <v>37</v>
      </c>
      <c r="AG6" s="66">
        <v>40</v>
      </c>
      <c r="AH6" s="66">
        <v>44</v>
      </c>
      <c r="AI6" s="66">
        <v>47</v>
      </c>
      <c r="AJ6" s="66">
        <v>51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2.8299999999999996</v>
      </c>
      <c r="Y7" s="108">
        <v>5.6499999999999995</v>
      </c>
      <c r="Z7" s="108">
        <v>8.48</v>
      </c>
      <c r="AA7" s="108">
        <v>11.299999999999999</v>
      </c>
      <c r="AB7" s="108">
        <v>14.12</v>
      </c>
      <c r="AC7" s="108">
        <v>16.950000000000003</v>
      </c>
      <c r="AD7" s="108">
        <v>19.770000000000003</v>
      </c>
      <c r="AE7" s="108">
        <v>22.59</v>
      </c>
      <c r="AF7" s="108">
        <v>25.42</v>
      </c>
      <c r="AG7" s="108">
        <v>28.240000000000002</v>
      </c>
      <c r="AH7" s="108">
        <v>31.060000000000002</v>
      </c>
      <c r="AI7" s="108">
        <v>33.89</v>
      </c>
      <c r="AJ7" s="108">
        <v>36.71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0.43</v>
      </c>
      <c r="Y8" s="108">
        <v>0.86</v>
      </c>
      <c r="Z8" s="108">
        <v>1.29</v>
      </c>
      <c r="AA8" s="108">
        <v>1.72</v>
      </c>
      <c r="AB8" s="108">
        <v>2.15</v>
      </c>
      <c r="AC8" s="108">
        <v>2.5799999999999996</v>
      </c>
      <c r="AD8" s="108">
        <v>3</v>
      </c>
      <c r="AE8" s="108">
        <v>3.4299999999999997</v>
      </c>
      <c r="AF8" s="108">
        <v>3.86</v>
      </c>
      <c r="AG8" s="108">
        <v>4.29</v>
      </c>
      <c r="AH8" s="108">
        <v>4.72</v>
      </c>
      <c r="AI8" s="108">
        <v>5.1499999999999995</v>
      </c>
      <c r="AJ8" s="108">
        <v>5.58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0.25</v>
      </c>
      <c r="Z12" s="108">
        <v>0.26</v>
      </c>
      <c r="AA12" s="108">
        <v>0.27</v>
      </c>
      <c r="AB12" s="108">
        <v>0.29000000000000004</v>
      </c>
      <c r="AC12" s="108">
        <v>0.3</v>
      </c>
      <c r="AD12" s="108">
        <v>0.31</v>
      </c>
      <c r="AE12" s="108">
        <v>0.33</v>
      </c>
      <c r="AF12" s="108">
        <v>0.34</v>
      </c>
      <c r="AG12" s="108">
        <v>0.35000000000000003</v>
      </c>
      <c r="AH12" s="108">
        <v>0.36</v>
      </c>
      <c r="AI12" s="108">
        <v>0.38</v>
      </c>
      <c r="AJ12" s="108">
        <v>0.39</v>
      </c>
      <c r="AK12" s="108">
        <v>0.17</v>
      </c>
      <c r="AL12" s="108">
        <v>0.18000000000000002</v>
      </c>
      <c r="AM12" s="108">
        <v>0.2</v>
      </c>
      <c r="AN12" s="108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0.02</v>
      </c>
      <c r="Y13" s="108">
        <v>0.35000000000000003</v>
      </c>
      <c r="Z13" s="108">
        <v>0.39</v>
      </c>
      <c r="AA13" s="108">
        <v>0.42</v>
      </c>
      <c r="AB13" s="108">
        <v>0.45</v>
      </c>
      <c r="AC13" s="108">
        <v>0.49</v>
      </c>
      <c r="AD13" s="108">
        <v>0.52</v>
      </c>
      <c r="AE13" s="108">
        <v>0.55000000000000004</v>
      </c>
      <c r="AF13" s="108">
        <v>0.59</v>
      </c>
      <c r="AG13" s="108">
        <v>0.62</v>
      </c>
      <c r="AH13" s="108">
        <v>0.65</v>
      </c>
      <c r="AI13" s="108">
        <v>0.69000000000000006</v>
      </c>
      <c r="AJ13" s="108">
        <v>0.72</v>
      </c>
      <c r="AK13" s="108">
        <v>0.45</v>
      </c>
      <c r="AL13" s="108">
        <v>0.47000000000000003</v>
      </c>
      <c r="AM13" s="108">
        <v>0.49</v>
      </c>
      <c r="AN13" s="108">
        <v>0.5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0.02</v>
      </c>
      <c r="Y14" s="108">
        <v>0.2</v>
      </c>
      <c r="Z14" s="108">
        <v>0.22</v>
      </c>
      <c r="AA14" s="108">
        <v>0.25</v>
      </c>
      <c r="AB14" s="108">
        <v>0.27</v>
      </c>
      <c r="AC14" s="108">
        <v>0.3</v>
      </c>
      <c r="AD14" s="108">
        <v>0.32</v>
      </c>
      <c r="AE14" s="108">
        <v>0.35000000000000003</v>
      </c>
      <c r="AF14" s="108">
        <v>0.37</v>
      </c>
      <c r="AG14" s="108">
        <v>0.39</v>
      </c>
      <c r="AH14" s="108">
        <v>0.42</v>
      </c>
      <c r="AI14" s="108">
        <v>0.44</v>
      </c>
      <c r="AJ14" s="108">
        <v>0.47000000000000003</v>
      </c>
      <c r="AK14" s="108">
        <v>0.34</v>
      </c>
      <c r="AL14" s="108">
        <v>0.35000000000000003</v>
      </c>
      <c r="AM14" s="108">
        <v>0.36</v>
      </c>
      <c r="AN14" s="108">
        <v>0.37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0.02</v>
      </c>
      <c r="Y15" s="108">
        <v>0.03</v>
      </c>
      <c r="Z15" s="108">
        <v>0.04</v>
      </c>
      <c r="AA15" s="108">
        <v>0.05</v>
      </c>
      <c r="AB15" s="108">
        <v>0.06</v>
      </c>
      <c r="AC15" s="108">
        <v>0.08</v>
      </c>
      <c r="AD15" s="108">
        <v>0.09</v>
      </c>
      <c r="AE15" s="108">
        <v>9.9999999999999992E-2</v>
      </c>
      <c r="AF15" s="108">
        <v>0.11</v>
      </c>
      <c r="AG15" s="108">
        <v>0.12</v>
      </c>
      <c r="AH15" s="108">
        <v>0.14000000000000001</v>
      </c>
      <c r="AI15" s="108">
        <v>0.15000000000000002</v>
      </c>
      <c r="AJ15" s="108">
        <v>0.16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0.02</v>
      </c>
      <c r="Y16" s="108">
        <v>0.03</v>
      </c>
      <c r="Z16" s="108">
        <v>0.04</v>
      </c>
      <c r="AA16" s="108">
        <v>0.05</v>
      </c>
      <c r="AB16" s="108">
        <v>0.06</v>
      </c>
      <c r="AC16" s="108">
        <v>0.08</v>
      </c>
      <c r="AD16" s="108">
        <v>0.09</v>
      </c>
      <c r="AE16" s="108">
        <v>9.9999999999999992E-2</v>
      </c>
      <c r="AF16" s="108">
        <v>0.11</v>
      </c>
      <c r="AG16" s="108">
        <v>0.12</v>
      </c>
      <c r="AH16" s="108">
        <v>0.14000000000000001</v>
      </c>
      <c r="AI16" s="108">
        <v>0.15000000000000002</v>
      </c>
      <c r="AJ16" s="108">
        <v>0.16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0.3</v>
      </c>
      <c r="Y17" s="108">
        <v>0.6</v>
      </c>
      <c r="Z17" s="108">
        <v>0.9</v>
      </c>
      <c r="AA17" s="108">
        <v>1.2</v>
      </c>
      <c r="AB17" s="108">
        <v>1.5</v>
      </c>
      <c r="AC17" s="108">
        <v>1.8</v>
      </c>
      <c r="AD17" s="108">
        <v>2.1</v>
      </c>
      <c r="AE17" s="108">
        <v>2.4</v>
      </c>
      <c r="AF17" s="108">
        <v>2.7</v>
      </c>
      <c r="AG17" s="108">
        <v>3</v>
      </c>
      <c r="AH17" s="108">
        <v>3.3</v>
      </c>
      <c r="AI17" s="108">
        <v>3.6</v>
      </c>
      <c r="AJ17" s="108">
        <v>3.9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3</v>
      </c>
      <c r="Y21" s="120">
        <v>7</v>
      </c>
      <c r="Z21" s="120">
        <v>10</v>
      </c>
      <c r="AA21" s="120">
        <v>13</v>
      </c>
      <c r="AB21" s="120">
        <v>16</v>
      </c>
      <c r="AC21" s="120">
        <v>20</v>
      </c>
      <c r="AD21" s="120">
        <v>23</v>
      </c>
      <c r="AE21" s="120">
        <v>26</v>
      </c>
      <c r="AF21" s="120">
        <v>29</v>
      </c>
      <c r="AG21" s="120">
        <v>33</v>
      </c>
      <c r="AH21" s="120">
        <v>36</v>
      </c>
      <c r="AI21" s="120">
        <v>39</v>
      </c>
      <c r="AJ21" s="120">
        <v>42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170.02883240223463</v>
      </c>
      <c r="AE22" s="78">
        <v>170.02883240223466</v>
      </c>
      <c r="AF22" s="78">
        <v>170.02883240223468</v>
      </c>
      <c r="AG22" s="78">
        <v>170.02883240223466</v>
      </c>
      <c r="AH22" s="78">
        <v>170.02883240223468</v>
      </c>
      <c r="AI22" s="78">
        <v>170.02883240223466</v>
      </c>
      <c r="AJ22" s="78">
        <v>170.02883240223466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315.03999999999996</v>
      </c>
      <c r="Y23" s="52">
        <v>630.07999999999993</v>
      </c>
      <c r="Z23" s="52">
        <v>945.11999999999989</v>
      </c>
      <c r="AA23" s="52">
        <v>1260.1599999999999</v>
      </c>
      <c r="AB23" s="52">
        <v>1575.1999999999996</v>
      </c>
      <c r="AC23" s="52">
        <v>1890.2399999999998</v>
      </c>
      <c r="AD23" s="52">
        <v>2205.2799999999997</v>
      </c>
      <c r="AE23" s="52">
        <v>2520.3199999999997</v>
      </c>
      <c r="AF23" s="52">
        <v>2835.3599999999992</v>
      </c>
      <c r="AG23" s="52">
        <v>3150.3999999999992</v>
      </c>
      <c r="AH23" s="52">
        <v>3465.4399999999996</v>
      </c>
      <c r="AI23" s="52">
        <v>3780.4799999999996</v>
      </c>
      <c r="AJ23" s="52">
        <v>4095.5199999999995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46796.978800000004</v>
      </c>
      <c r="Y26" s="12">
        <v>93593.957600000009</v>
      </c>
      <c r="Z26" s="12">
        <v>140390.93640000001</v>
      </c>
      <c r="AA26" s="12">
        <v>187187.91520000002</v>
      </c>
      <c r="AB26" s="12">
        <v>233984.89399999997</v>
      </c>
      <c r="AC26" s="12">
        <v>280781.87280000001</v>
      </c>
      <c r="AD26" s="12">
        <v>327578.85159999994</v>
      </c>
      <c r="AE26" s="12">
        <v>374375.83040000004</v>
      </c>
      <c r="AF26" s="12">
        <v>421172.80919999996</v>
      </c>
      <c r="AG26" s="12">
        <v>467969.78799999994</v>
      </c>
      <c r="AH26" s="12">
        <v>514766.76679999998</v>
      </c>
      <c r="AI26" s="12">
        <v>561563.74560000002</v>
      </c>
      <c r="AJ26" s="12">
        <v>608360.72439999995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2743.8788</v>
      </c>
      <c r="Y27" s="12">
        <v>5487.7575999999999</v>
      </c>
      <c r="Z27" s="12">
        <v>8231.6363999999994</v>
      </c>
      <c r="AA27" s="12">
        <v>10975.5152</v>
      </c>
      <c r="AB27" s="12">
        <v>13719.393999999998</v>
      </c>
      <c r="AC27" s="12">
        <v>16463.272799999999</v>
      </c>
      <c r="AD27" s="12">
        <v>19207.151600000001</v>
      </c>
      <c r="AE27" s="12">
        <v>21951.0304</v>
      </c>
      <c r="AF27" s="12">
        <v>24694.909199999995</v>
      </c>
      <c r="AG27" s="12">
        <v>27438.787999999997</v>
      </c>
      <c r="AH27" s="12">
        <v>30182.666799999999</v>
      </c>
      <c r="AI27" s="12">
        <v>32926.545599999998</v>
      </c>
      <c r="AJ27" s="12">
        <v>35670.424399999996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6521.1174599999977</v>
      </c>
      <c r="Y28" s="12">
        <v>13042.234919999995</v>
      </c>
      <c r="Z28" s="12">
        <v>19563.352379999993</v>
      </c>
      <c r="AA28" s="12">
        <v>26084.469839999991</v>
      </c>
      <c r="AB28" s="12">
        <v>32605.587299999992</v>
      </c>
      <c r="AC28" s="12">
        <v>39126.704759999986</v>
      </c>
      <c r="AD28" s="12">
        <v>45647.822219999987</v>
      </c>
      <c r="AE28" s="12">
        <v>52168.939679999981</v>
      </c>
      <c r="AF28" s="12">
        <v>58690.057139999983</v>
      </c>
      <c r="AG28" s="12">
        <v>65211.174599999984</v>
      </c>
      <c r="AH28" s="12">
        <v>71732.292059999978</v>
      </c>
      <c r="AI28" s="12">
        <v>78253.409519999972</v>
      </c>
      <c r="AJ28" s="12">
        <v>84774.526979999995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501.62441999999999</v>
      </c>
      <c r="Y29" s="12">
        <v>1003.24884</v>
      </c>
      <c r="Z29" s="12">
        <v>1504.8732600000001</v>
      </c>
      <c r="AA29" s="12">
        <v>2006.4976799999999</v>
      </c>
      <c r="AB29" s="12">
        <v>2508.1221</v>
      </c>
      <c r="AC29" s="12">
        <v>3009.7465200000001</v>
      </c>
      <c r="AD29" s="12">
        <v>3511.3709400000002</v>
      </c>
      <c r="AE29" s="12">
        <v>4012.9953599999999</v>
      </c>
      <c r="AF29" s="12">
        <v>4514.61978</v>
      </c>
      <c r="AG29" s="12">
        <v>5016.2442000000001</v>
      </c>
      <c r="AH29" s="12">
        <v>5517.8686199999993</v>
      </c>
      <c r="AI29" s="12">
        <v>6019.4930400000003</v>
      </c>
      <c r="AJ29" s="12">
        <v>6521.1174600000013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654.50319999999988</v>
      </c>
      <c r="Y30" s="12">
        <v>1309.0063999999998</v>
      </c>
      <c r="Z30" s="12">
        <v>1963.5095999999999</v>
      </c>
      <c r="AA30" s="12">
        <v>2618.0127999999995</v>
      </c>
      <c r="AB30" s="12">
        <v>3272.5159999999996</v>
      </c>
      <c r="AC30" s="12">
        <v>3927.0191999999997</v>
      </c>
      <c r="AD30" s="12">
        <v>4581.5223999999998</v>
      </c>
      <c r="AE30" s="12">
        <v>5236.025599999999</v>
      </c>
      <c r="AF30" s="12">
        <v>5890.5288</v>
      </c>
      <c r="AG30" s="12">
        <v>6545.0319999999992</v>
      </c>
      <c r="AH30" s="12">
        <v>7199.5351999999993</v>
      </c>
      <c r="AI30" s="12">
        <v>7854.0383999999995</v>
      </c>
      <c r="AJ30" s="12">
        <v>8508.5416000000005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-10068.832691599999</v>
      </c>
      <c r="Y35" s="12">
        <v>-16935.005013199996</v>
      </c>
      <c r="Z35" s="12">
        <v>-23801.177334799995</v>
      </c>
      <c r="AA35" s="12">
        <v>-30667.349656399994</v>
      </c>
      <c r="AB35" s="12">
        <v>-37533.521977999997</v>
      </c>
      <c r="AC35" s="12">
        <v>-44399.694299599993</v>
      </c>
      <c r="AD35" s="12">
        <v>-51265.866621199988</v>
      </c>
      <c r="AE35" s="12">
        <v>-58132.038942799998</v>
      </c>
      <c r="AF35" s="12">
        <v>-64998.211264399994</v>
      </c>
      <c r="AG35" s="12">
        <v>-71864.383585999982</v>
      </c>
      <c r="AH35" s="12">
        <v>-78730.555907599992</v>
      </c>
      <c r="AI35" s="12">
        <v>-85596.728229199987</v>
      </c>
      <c r="AJ35" s="12">
        <v>-92462.900550799983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71094.22760506667</v>
      </c>
      <c r="Y37" s="13">
        <v>118702.27916346668</v>
      </c>
      <c r="Z37" s="13">
        <v>166310.33072186666</v>
      </c>
      <c r="AA37" s="13">
        <v>213918.38228026667</v>
      </c>
      <c r="AB37" s="13">
        <v>261526.43383866665</v>
      </c>
      <c r="AC37" s="13">
        <v>309134.48539706669</v>
      </c>
      <c r="AD37" s="13">
        <v>356742.53695546661</v>
      </c>
      <c r="AE37" s="13">
        <v>404350.58851386671</v>
      </c>
      <c r="AF37" s="13">
        <v>451958.64007226669</v>
      </c>
      <c r="AG37" s="13">
        <v>499566.69163066661</v>
      </c>
      <c r="AH37" s="13">
        <v>547174.74318906665</v>
      </c>
      <c r="AI37" s="13">
        <v>594782.79474746657</v>
      </c>
      <c r="AJ37" s="13">
        <v>642390.84630586649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48771.788597403611</v>
      </c>
      <c r="Y40" s="12">
        <v>83459.072181473879</v>
      </c>
      <c r="Z40" s="12">
        <v>105664.5407788775</v>
      </c>
      <c r="AA40" s="12">
        <v>127825.75769628113</v>
      </c>
      <c r="AB40" s="12">
        <v>150023.12794701807</v>
      </c>
      <c r="AC40" s="12">
        <v>189774.28419886393</v>
      </c>
      <c r="AD40" s="12">
        <v>213959.21264134118</v>
      </c>
      <c r="AE40" s="12">
        <v>238453.51791715182</v>
      </c>
      <c r="AF40" s="12">
        <v>262879.5333742958</v>
      </c>
      <c r="AG40" s="12">
        <v>287179.6739834398</v>
      </c>
      <c r="AH40" s="12">
        <v>311802.64259258384</v>
      </c>
      <c r="AI40" s="12">
        <v>336345.62471639441</v>
      </c>
      <c r="AJ40" s="12">
        <v>360722.96332553838</v>
      </c>
      <c r="AK40" s="12">
        <v>378849.01843468234</v>
      </c>
      <c r="AL40" s="12">
        <v>379190.56110134901</v>
      </c>
      <c r="AM40" s="12">
        <v>379649.07043468236</v>
      </c>
      <c r="AN40" s="12">
        <v>379916.92410134897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378.451008</v>
      </c>
      <c r="Y44" s="12">
        <v>1002.1943359999999</v>
      </c>
      <c r="Z44" s="12">
        <v>1033.7319199999999</v>
      </c>
      <c r="AA44" s="12">
        <v>1065.2695039999999</v>
      </c>
      <c r="AB44" s="12">
        <v>1096.807088</v>
      </c>
      <c r="AC44" s="12">
        <v>1184.4114880000002</v>
      </c>
      <c r="AD44" s="12">
        <v>1213.5662323200002</v>
      </c>
      <c r="AE44" s="12">
        <v>1250.0096627200003</v>
      </c>
      <c r="AF44" s="12">
        <v>1282.80875008</v>
      </c>
      <c r="AG44" s="12">
        <v>1311.9634944000004</v>
      </c>
      <c r="AH44" s="12">
        <v>1352.0512678400003</v>
      </c>
      <c r="AI44" s="12">
        <v>1388.4946982400002</v>
      </c>
      <c r="AJ44" s="12">
        <v>1421.2937856000005</v>
      </c>
      <c r="AK44" s="12">
        <v>1202.6332032</v>
      </c>
      <c r="AL44" s="12">
        <v>1217.2105753600003</v>
      </c>
      <c r="AM44" s="12">
        <v>1235.4322905600002</v>
      </c>
      <c r="AN44" s="12">
        <v>1246.3653196800001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3604.6799999999994</v>
      </c>
      <c r="Y46" s="12">
        <v>5507.4899999999989</v>
      </c>
      <c r="Z46" s="12">
        <v>6810.54</v>
      </c>
      <c r="AA46" s="12">
        <v>8110.0199999999995</v>
      </c>
      <c r="AB46" s="12">
        <v>9409.4999999999982</v>
      </c>
      <c r="AC46" s="12">
        <v>10937.725199999999</v>
      </c>
      <c r="AD46" s="12">
        <v>12255.912</v>
      </c>
      <c r="AE46" s="12">
        <v>13585.022999999999</v>
      </c>
      <c r="AF46" s="12">
        <v>14914.133999999998</v>
      </c>
      <c r="AG46" s="12">
        <v>16235.962199999998</v>
      </c>
      <c r="AH46" s="12">
        <v>17568.714599999999</v>
      </c>
      <c r="AI46" s="12">
        <v>18901.467000000001</v>
      </c>
      <c r="AJ46" s="12">
        <v>20226.936599999997</v>
      </c>
      <c r="AK46" s="12">
        <v>21297.508200000007</v>
      </c>
      <c r="AL46" s="12">
        <v>21312.073800000002</v>
      </c>
      <c r="AM46" s="12">
        <v>21330.280800000004</v>
      </c>
      <c r="AN46" s="12">
        <v>21341.205000000002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151234.47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6376.4933204228937</v>
      </c>
      <c r="Y49" s="12">
        <f>'Corp.'!Y$50*(Y$37-(Y31-Y32-Y34)*$C$35)/(SUM('MDA1:NCA9'!Y$37)-SUM('MDA1:NCA9'!Y$31)-SUM('MDA1:NCA9'!Y$32)-SUM('MDA1:NCA9'!Y$34))</f>
        <v>10435.188561922811</v>
      </c>
      <c r="Z49" s="12">
        <f>'Corp.'!Z$50*(Z$37-(Z31-Z32-Z34)*$C$35)/(SUM('MDA1:NCA9'!Z$37)-SUM('MDA1:NCA9'!Z$31)-SUM('MDA1:NCA9'!Z$32)-SUM('MDA1:NCA9'!Z$34))</f>
        <v>14324.2226641695</v>
      </c>
      <c r="AA49" s="12">
        <f>'Corp.'!AA$50*(AA$37-(AA31-AA32-AA34)*$C$35)/(SUM('MDA1:NCA9'!AA$37)-SUM('MDA1:NCA9'!AA$31)-SUM('MDA1:NCA9'!AA$32)-SUM('MDA1:NCA9'!AA$34))</f>
        <v>18029.520490519855</v>
      </c>
      <c r="AB49" s="12">
        <f>'Corp.'!AB$50*(AB$37-(AB31-AB32-AB34)*$C$35)/(SUM('MDA1:NCA9'!AB$37)-SUM('MDA1:NCA9'!AB$31)-SUM('MDA1:NCA9'!AB$32)-SUM('MDA1:NCA9'!AB$34))</f>
        <v>21569.828338405645</v>
      </c>
      <c r="AC49" s="12">
        <f>'Corp.'!AC$50*(AC$37-(AC31-AC32-AC34)*$C$35)/(SUM('MDA1:NCA9'!AC$37)-SUM('MDA1:NCA9'!AC$31)-SUM('MDA1:NCA9'!AC$32)-SUM('MDA1:NCA9'!AC$34))</f>
        <v>27590.599306879882</v>
      </c>
      <c r="AD49" s="12">
        <f>'Corp.'!AD$50*(AD$37-(AD31-AD32-AD34)*$C$35)/(SUM('MDA1:NCA9'!AD$37)-SUM('MDA1:NCA9'!AD$31)-SUM('MDA1:NCA9'!AD$32)-SUM('MDA1:NCA9'!AD$34))</f>
        <v>31350.802280814616</v>
      </c>
      <c r="AE49" s="12">
        <f>'Corp.'!AE$50*(AE$37-(AE31-AE32-AE34)*$C$35)/(SUM('MDA1:NCA9'!AE$37)-SUM('MDA1:NCA9'!AE$31)-SUM('MDA1:NCA9'!AE$32)-SUM('MDA1:NCA9'!AE$34))</f>
        <v>35010.050393919315</v>
      </c>
      <c r="AF49" s="12">
        <f>'Corp.'!AF$50*(AF$37-(AF31-AF32-AF34)*$C$35)/(SUM('MDA1:NCA9'!AF$37)-SUM('MDA1:NCA9'!AF$31)-SUM('MDA1:NCA9'!AF$32)-SUM('MDA1:NCA9'!AF$34))</f>
        <v>38580.73996196808</v>
      </c>
      <c r="AG49" s="12">
        <f>'Corp.'!AG$50*(AG$37-(AG31-AG32-AG34)*$C$35)/(SUM('MDA1:NCA9'!AG$37)-SUM('MDA1:NCA9'!AG$31)-SUM('MDA1:NCA9'!AG$32)-SUM('MDA1:NCA9'!AG$34))</f>
        <v>42159.38025522227</v>
      </c>
      <c r="AH49" s="12">
        <f>'Corp.'!AH$50*(AH$37-(AH31-AH32-AH34)*$C$35)/(SUM('MDA1:NCA9'!AH$37)-SUM('MDA1:NCA9'!AH$31)-SUM('MDA1:NCA9'!AH$32)-SUM('MDA1:NCA9'!AH$34))</f>
        <v>45472.347014279025</v>
      </c>
      <c r="AI49" s="12">
        <f>'Corp.'!AI$50*(AI$37-(AI31-AI32-AI34)*$C$35)/(SUM('MDA1:NCA9'!AI$37)-SUM('MDA1:NCA9'!AI$31)-SUM('MDA1:NCA9'!AI$32)-SUM('MDA1:NCA9'!AI$34))</f>
        <v>48634.509670307401</v>
      </c>
      <c r="AJ49" s="12">
        <f>'Corp.'!AJ$50*(AJ$37-(AJ31-AJ32-AJ34)*$C$35)/(SUM('MDA1:NCA9'!AJ$37)-SUM('MDA1:NCA9'!AJ$31)-SUM('MDA1:NCA9'!AJ$32)-SUM('MDA1:NCA9'!AJ$34))</f>
        <v>51641.792129299742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151234.47</v>
      </c>
      <c r="W50" s="13">
        <v>0</v>
      </c>
      <c r="X50" s="13">
        <v>96180.961917826498</v>
      </c>
      <c r="Y50" s="13">
        <v>136829.7507433967</v>
      </c>
      <c r="Z50" s="13">
        <v>164227.30344304701</v>
      </c>
      <c r="AA50" s="13">
        <v>191393.29818680097</v>
      </c>
      <c r="AB50" s="13">
        <v>218430.45628542372</v>
      </c>
      <c r="AC50" s="13">
        <v>267003.62870574382</v>
      </c>
      <c r="AD50" s="13">
        <v>296266.9469221558</v>
      </c>
      <c r="AE50" s="13">
        <v>325749.61131107109</v>
      </c>
      <c r="AF50" s="13">
        <v>355075.42733626388</v>
      </c>
      <c r="AG50" s="13">
        <v>384276.03643866203</v>
      </c>
      <c r="AH50" s="13">
        <v>413544.72420686285</v>
      </c>
      <c r="AI50" s="13">
        <v>442582.62138670177</v>
      </c>
      <c r="AJ50" s="13">
        <v>471292.71205483808</v>
      </c>
      <c r="AK50" s="13">
        <v>493437.94055783458</v>
      </c>
      <c r="AL50" s="13">
        <v>492986.43115809758</v>
      </c>
      <c r="AM50" s="13">
        <v>492592.36708750721</v>
      </c>
      <c r="AN50" s="13">
        <v>492130.02526963217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-151234.47</v>
      </c>
      <c r="W52" s="74">
        <f t="shared" si="0"/>
        <v>0</v>
      </c>
      <c r="X52" s="74">
        <f t="shared" si="0"/>
        <v>-25086.734312759829</v>
      </c>
      <c r="Y52" s="74">
        <f t="shared" si="0"/>
        <v>-18127.471579930017</v>
      </c>
      <c r="Z52" s="74">
        <f t="shared" si="0"/>
        <v>2083.0272788196453</v>
      </c>
      <c r="AA52" s="74">
        <f t="shared" si="0"/>
        <v>22525.084093465703</v>
      </c>
      <c r="AB52" s="74">
        <f t="shared" si="0"/>
        <v>43095.977553242934</v>
      </c>
      <c r="AC52" s="74">
        <f t="shared" si="0"/>
        <v>42130.856691322871</v>
      </c>
      <c r="AD52" s="74">
        <f t="shared" si="0"/>
        <v>60475.590033310815</v>
      </c>
      <c r="AE52" s="74">
        <f t="shared" si="0"/>
        <v>78600.977202795621</v>
      </c>
      <c r="AF52" s="74">
        <f t="shared" si="0"/>
        <v>96883.21273600281</v>
      </c>
      <c r="AG52" s="74">
        <f t="shared" si="0"/>
        <v>115290.65519200457</v>
      </c>
      <c r="AH52" s="74">
        <f t="shared" si="0"/>
        <v>133630.01898220379</v>
      </c>
      <c r="AI52" s="74">
        <f t="shared" si="0"/>
        <v>152200.17336076481</v>
      </c>
      <c r="AJ52" s="74">
        <f t="shared" si="0"/>
        <v>171098.13425102842</v>
      </c>
      <c r="AK52" s="74">
        <f t="shared" si="0"/>
        <v>196560.95730643196</v>
      </c>
      <c r="AL52" s="74">
        <f t="shared" si="0"/>
        <v>197012.46670616895</v>
      </c>
      <c r="AM52" s="74">
        <f t="shared" si="0"/>
        <v>197406.53077675932</v>
      </c>
      <c r="AN52" s="74">
        <f t="shared" si="0"/>
        <v>197868.87259463436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>
        <f t="shared" si="1"/>
        <v>-0.35286598023285892</v>
      </c>
      <c r="Y53" s="107">
        <f t="shared" si="1"/>
        <v>-0.1527137617548725</v>
      </c>
      <c r="Z53" s="107">
        <f t="shared" si="1"/>
        <v>1.2524942195582842E-2</v>
      </c>
      <c r="AA53" s="107">
        <f t="shared" si="1"/>
        <v>0.10529756187083682</v>
      </c>
      <c r="AB53" s="107">
        <f t="shared" si="1"/>
        <v>0.16478631594016405</v>
      </c>
      <c r="AC53" s="107">
        <f t="shared" si="1"/>
        <v>0.1362864988589288</v>
      </c>
      <c r="AD53" s="107">
        <f t="shared" si="1"/>
        <v>0.16952166834217527</v>
      </c>
      <c r="AE53" s="107">
        <f t="shared" si="1"/>
        <v>0.19438818548943473</v>
      </c>
      <c r="AF53" s="107">
        <f t="shared" si="1"/>
        <v>0.21436300613815348</v>
      </c>
      <c r="AG53" s="107">
        <f t="shared" si="1"/>
        <v>0.23078130932964566</v>
      </c>
      <c r="AH53" s="107">
        <f t="shared" si="1"/>
        <v>0.24421817827953049</v>
      </c>
      <c r="AI53" s="107">
        <f t="shared" si="1"/>
        <v>0.25589202428995295</v>
      </c>
      <c r="AJ53" s="107">
        <f t="shared" si="1"/>
        <v>0.26634584729054833</v>
      </c>
      <c r="AK53" s="107">
        <f t="shared" si="1"/>
        <v>0.28487140764259383</v>
      </c>
      <c r="AL53" s="107">
        <f t="shared" si="1"/>
        <v>0.28552577013670005</v>
      </c>
      <c r="AM53" s="107">
        <f t="shared" si="1"/>
        <v>0.28609687839761194</v>
      </c>
      <c r="AN53" s="107">
        <f t="shared" si="1"/>
        <v>0.28676694007351622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235166.66666666666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-65914.901927106621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-386401.13666666666</v>
      </c>
      <c r="W58" s="13">
        <f t="shared" si="2"/>
        <v>-235166.66666666666</v>
      </c>
      <c r="X58" s="13">
        <f t="shared" si="2"/>
        <v>-260253.40097942649</v>
      </c>
      <c r="Y58" s="13">
        <f t="shared" si="2"/>
        <v>-253294.13824659667</v>
      </c>
      <c r="Z58" s="13">
        <f t="shared" si="2"/>
        <v>-233083.63938784701</v>
      </c>
      <c r="AA58" s="13">
        <f t="shared" si="2"/>
        <v>-268546.07968374231</v>
      </c>
      <c r="AB58" s="13">
        <f t="shared" si="2"/>
        <v>-16623.520676621054</v>
      </c>
      <c r="AC58" s="13">
        <f t="shared" si="2"/>
        <v>-20451.481626695822</v>
      </c>
      <c r="AD58" s="13">
        <f t="shared" si="2"/>
        <v>-5439.3118937958061</v>
      </c>
      <c r="AE58" s="13">
        <f t="shared" si="2"/>
        <v>9353.5116666009126</v>
      </c>
      <c r="AF58" s="13">
        <f t="shared" si="2"/>
        <v>24303.183590720131</v>
      </c>
      <c r="AG58" s="13">
        <f t="shared" si="2"/>
        <v>76061.690116204583</v>
      </c>
      <c r="AH58" s="13">
        <f t="shared" si="2"/>
        <v>87259.846172643796</v>
      </c>
      <c r="AI58" s="13">
        <f t="shared" si="2"/>
        <v>98688.792817444817</v>
      </c>
      <c r="AJ58" s="13">
        <f t="shared" si="2"/>
        <v>110445.54597394841</v>
      </c>
      <c r="AK58" s="13">
        <f t="shared" si="2"/>
        <v>128767.16129559196</v>
      </c>
      <c r="AL58" s="13">
        <f t="shared" si="2"/>
        <v>122077.46296156896</v>
      </c>
      <c r="AM58" s="13">
        <f t="shared" si="2"/>
        <v>115330.31929839932</v>
      </c>
      <c r="AN58" s="13">
        <f t="shared" si="2"/>
        <v>108651.45338251437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-386401.13666666666</v>
      </c>
      <c r="W59" s="12">
        <v>-621567.80333333334</v>
      </c>
      <c r="X59" s="12">
        <v>-881821.2043127598</v>
      </c>
      <c r="Y59" s="12">
        <v>-1135115.3425593565</v>
      </c>
      <c r="Z59" s="12">
        <v>-1368198.9819472034</v>
      </c>
      <c r="AA59" s="12">
        <v>-1636745.0616309457</v>
      </c>
      <c r="AB59" s="12">
        <v>-1653368.5823075667</v>
      </c>
      <c r="AC59" s="12">
        <v>-1673820.0639342624</v>
      </c>
      <c r="AD59" s="12">
        <v>-1679259.3758280582</v>
      </c>
      <c r="AE59" s="12">
        <v>-1669905.8641614574</v>
      </c>
      <c r="AF59" s="12">
        <v>-1645602.6805707372</v>
      </c>
      <c r="AG59" s="12">
        <v>-1569540.9904545327</v>
      </c>
      <c r="AH59" s="12">
        <v>-1482281.1442818888</v>
      </c>
      <c r="AI59" s="12">
        <v>-1383592.3514644441</v>
      </c>
      <c r="AJ59" s="12">
        <v>-1273146.8054904956</v>
      </c>
      <c r="AK59" s="12">
        <v>-1144379.6441949038</v>
      </c>
      <c r="AL59" s="12">
        <v>-1022302.1812333348</v>
      </c>
      <c r="AM59" s="12">
        <v>-906971.86193493544</v>
      </c>
      <c r="AN59" s="12">
        <v>-798320.40855242102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2179.0924014745592</v>
      </c>
      <c r="Y63" s="12">
        <v>4358.1848029491184</v>
      </c>
      <c r="Z63" s="12">
        <v>6537.2772044236781</v>
      </c>
      <c r="AA63" s="12">
        <v>8716.3696058982368</v>
      </c>
      <c r="AB63" s="12">
        <v>10895.4620073728</v>
      </c>
      <c r="AC63" s="12">
        <v>13074.554408847356</v>
      </c>
      <c r="AD63" s="12">
        <v>15253.646810321916</v>
      </c>
      <c r="AE63" s="12">
        <v>17432.739211796474</v>
      </c>
      <c r="AF63" s="12">
        <v>19611.831613271035</v>
      </c>
      <c r="AG63" s="12">
        <v>21790.9240147456</v>
      </c>
      <c r="AH63" s="12">
        <v>23970.016416220154</v>
      </c>
      <c r="AI63" s="12">
        <v>26149.108817694712</v>
      </c>
      <c r="AJ63" s="12">
        <v>28328.201219169274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291.17026532352008</v>
      </c>
      <c r="Y64" s="12">
        <v>582.34053064704017</v>
      </c>
      <c r="Z64" s="12">
        <v>873.51079597056014</v>
      </c>
      <c r="AA64" s="12">
        <v>1164.6810612940803</v>
      </c>
      <c r="AB64" s="12">
        <v>1455.8513266176003</v>
      </c>
      <c r="AC64" s="12">
        <v>1747.0215919411203</v>
      </c>
      <c r="AD64" s="12">
        <v>2038.1918572646407</v>
      </c>
      <c r="AE64" s="12">
        <v>2329.3621225881607</v>
      </c>
      <c r="AF64" s="12">
        <v>2620.5323879116804</v>
      </c>
      <c r="AG64" s="12">
        <v>2911.7026532352006</v>
      </c>
      <c r="AH64" s="12">
        <v>3202.8729185587208</v>
      </c>
      <c r="AI64" s="12">
        <v>3494.0431838822406</v>
      </c>
      <c r="AJ64" s="12">
        <v>3785.2134492057612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1770.8074248550399</v>
      </c>
      <c r="Y65" s="12">
        <v>3541.6148497100799</v>
      </c>
      <c r="Z65" s="12">
        <v>5312.4222745651196</v>
      </c>
      <c r="AA65" s="12">
        <v>7083.2296994201597</v>
      </c>
      <c r="AB65" s="12">
        <v>8854.0371242752008</v>
      </c>
      <c r="AC65" s="12">
        <v>10624.844549130239</v>
      </c>
      <c r="AD65" s="12">
        <v>12395.651973985277</v>
      </c>
      <c r="AE65" s="12">
        <v>14166.459398840319</v>
      </c>
      <c r="AF65" s="12">
        <v>15937.266823695358</v>
      </c>
      <c r="AG65" s="12">
        <v>17708.074248550402</v>
      </c>
      <c r="AH65" s="12">
        <v>19478.881673405438</v>
      </c>
      <c r="AI65" s="12">
        <v>21249.689098260478</v>
      </c>
      <c r="AJ65" s="12">
        <v>23020.496523115518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4241.0700916531196</v>
      </c>
      <c r="Y67" s="13">
        <v>8482.1401833062391</v>
      </c>
      <c r="Z67" s="13">
        <v>12723.210274959358</v>
      </c>
      <c r="AA67" s="13">
        <v>16964.280366612478</v>
      </c>
      <c r="AB67" s="13">
        <v>21205.350458265602</v>
      </c>
      <c r="AC67" s="13">
        <v>25446.420549918716</v>
      </c>
      <c r="AD67" s="13">
        <v>29687.490641571832</v>
      </c>
      <c r="AE67" s="13">
        <v>33928.560733224956</v>
      </c>
      <c r="AF67" s="13">
        <v>38169.63082487807</v>
      </c>
      <c r="AG67" s="13">
        <v>42410.700916531205</v>
      </c>
      <c r="AH67" s="13">
        <v>46651.771008184311</v>
      </c>
      <c r="AI67" s="13">
        <v>50892.841099837431</v>
      </c>
      <c r="AJ67" s="13">
        <v>55133.911191490552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1489.7914907369509</v>
      </c>
      <c r="Y72" s="12">
        <v>2979.5829814739018</v>
      </c>
      <c r="Z72" s="12">
        <v>4469.3744722108522</v>
      </c>
      <c r="AA72" s="12">
        <v>5959.1659629478036</v>
      </c>
      <c r="AB72" s="12">
        <v>7448.957453684754</v>
      </c>
      <c r="AC72" s="12">
        <v>9832.6238388638758</v>
      </c>
      <c r="AD72" s="12">
        <v>28174.234478674523</v>
      </c>
      <c r="AE72" s="12">
        <v>46515.845118485166</v>
      </c>
      <c r="AF72" s="12">
        <v>48154.615758295811</v>
      </c>
      <c r="AG72" s="12">
        <v>49793.386398106457</v>
      </c>
      <c r="AH72" s="12">
        <v>51432.157037917103</v>
      </c>
      <c r="AI72" s="12">
        <v>53070.927677727756</v>
      </c>
      <c r="AJ72" s="12">
        <v>54709.698317538408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2751.2786009161687</v>
      </c>
      <c r="Y75" s="74">
        <v>5502.5572018323373</v>
      </c>
      <c r="Z75" s="74">
        <v>8253.8358027485046</v>
      </c>
      <c r="AA75" s="74">
        <v>11005.114403664675</v>
      </c>
      <c r="AB75" s="74">
        <v>13756.393004580848</v>
      </c>
      <c r="AC75" s="74">
        <v>15613.79671105484</v>
      </c>
      <c r="AD75" s="74">
        <v>1513.256162897309</v>
      </c>
      <c r="AE75" s="74">
        <v>-12587.284385260209</v>
      </c>
      <c r="AF75" s="74">
        <v>-9984.9849334177416</v>
      </c>
      <c r="AG75" s="74">
        <v>-7382.6854815752522</v>
      </c>
      <c r="AH75" s="74">
        <v>-4780.3860297327919</v>
      </c>
      <c r="AI75" s="74">
        <v>-2178.0865778903244</v>
      </c>
      <c r="AJ75" s="74">
        <v>424.21287395214313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31F4-6A6E-4DCA-9B30-6C5ADA82C78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73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1</v>
      </c>
      <c r="AA1" s="69">
        <v>3</v>
      </c>
      <c r="AB1" s="69">
        <v>5</v>
      </c>
      <c r="AC1" s="69">
        <v>6</v>
      </c>
      <c r="AD1" s="69">
        <v>8</v>
      </c>
      <c r="AE1" s="69">
        <v>10</v>
      </c>
      <c r="AF1" s="69">
        <v>12</v>
      </c>
      <c r="AG1" s="69">
        <v>13</v>
      </c>
      <c r="AH1" s="69">
        <v>15</v>
      </c>
      <c r="AI1" s="69">
        <v>17</v>
      </c>
      <c r="AJ1" s="69">
        <v>18</v>
      </c>
      <c r="AK1" s="69">
        <v>20</v>
      </c>
      <c r="AL1" s="69">
        <v>22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1.8809523809523809</v>
      </c>
      <c r="AB2" s="69">
        <v>2.0476190476190474</v>
      </c>
      <c r="AC2" s="69">
        <v>2.2142857142857144</v>
      </c>
      <c r="AD2" s="69">
        <v>2.3809523809523809</v>
      </c>
      <c r="AE2" s="69">
        <v>2.5476190476190474</v>
      </c>
      <c r="AF2" s="69">
        <v>2.7142857142857144</v>
      </c>
      <c r="AG2" s="69">
        <v>2.8809523809523809</v>
      </c>
      <c r="AH2" s="69">
        <v>3.0476190476190474</v>
      </c>
      <c r="AI2" s="69">
        <v>3.2142857142857144</v>
      </c>
      <c r="AJ2" s="69">
        <v>3.3809523809523809</v>
      </c>
      <c r="AK2" s="69">
        <v>3.5476190476190474</v>
      </c>
      <c r="AL2" s="69">
        <v>3.7142857142857144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0.16666666666666666</v>
      </c>
      <c r="AB3" s="69">
        <v>0.33333333333333331</v>
      </c>
      <c r="AC3" s="69">
        <v>0.5</v>
      </c>
      <c r="AD3" s="69">
        <v>0.66666666666666663</v>
      </c>
      <c r="AE3" s="69">
        <v>0.83333333333333337</v>
      </c>
      <c r="AF3" s="69">
        <v>1</v>
      </c>
      <c r="AG3" s="69">
        <v>1.1666666666666667</v>
      </c>
      <c r="AH3" s="69">
        <v>1.3333333333333333</v>
      </c>
      <c r="AI3" s="69">
        <v>1.5</v>
      </c>
      <c r="AJ3" s="69">
        <v>1.6666666666666667</v>
      </c>
      <c r="AK3" s="69">
        <v>1.8333333333333333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1</v>
      </c>
      <c r="AA4" s="69">
        <v>4.8809523809523814</v>
      </c>
      <c r="AB4" s="69">
        <v>7.0476190476190474</v>
      </c>
      <c r="AC4" s="69">
        <v>8.2142857142857153</v>
      </c>
      <c r="AD4" s="69">
        <v>10.380952380952381</v>
      </c>
      <c r="AE4" s="69">
        <v>12.547619047619047</v>
      </c>
      <c r="AF4" s="69">
        <v>14.714285714285715</v>
      </c>
      <c r="AG4" s="69">
        <v>15.880952380952381</v>
      </c>
      <c r="AH4" s="69">
        <v>18.047619047619047</v>
      </c>
      <c r="AI4" s="69">
        <v>20.214285714285715</v>
      </c>
      <c r="AJ4" s="69">
        <v>21.38095238095238</v>
      </c>
      <c r="AK4" s="69">
        <v>23.547619047619047</v>
      </c>
      <c r="AL4" s="69">
        <v>25.714285714285715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2</v>
      </c>
      <c r="AA6" s="66">
        <v>4</v>
      </c>
      <c r="AB6" s="66">
        <v>5</v>
      </c>
      <c r="AC6" s="66">
        <v>6</v>
      </c>
      <c r="AD6" s="66">
        <v>7</v>
      </c>
      <c r="AE6" s="66">
        <v>8</v>
      </c>
      <c r="AF6" s="66">
        <v>9</v>
      </c>
      <c r="AG6" s="66">
        <v>10</v>
      </c>
      <c r="AH6" s="66">
        <v>11</v>
      </c>
      <c r="AI6" s="66">
        <v>12</v>
      </c>
      <c r="AJ6" s="66">
        <v>13</v>
      </c>
      <c r="AK6" s="66">
        <v>14</v>
      </c>
      <c r="AL6" s="66">
        <v>15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0.46</v>
      </c>
      <c r="AA7" s="108">
        <v>1.36</v>
      </c>
      <c r="AB7" s="108">
        <v>2.2599999999999998</v>
      </c>
      <c r="AC7" s="108">
        <v>2.71</v>
      </c>
      <c r="AD7" s="108">
        <v>3.61</v>
      </c>
      <c r="AE7" s="108">
        <v>4.51</v>
      </c>
      <c r="AF7" s="108">
        <v>5.42</v>
      </c>
      <c r="AG7" s="108">
        <v>5.87</v>
      </c>
      <c r="AH7" s="108">
        <v>6.77</v>
      </c>
      <c r="AI7" s="108">
        <v>7.67</v>
      </c>
      <c r="AJ7" s="108">
        <v>8.1199999999999992</v>
      </c>
      <c r="AK7" s="108">
        <v>9.02</v>
      </c>
      <c r="AL7" s="108">
        <v>9.93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9.9999999999999992E-2</v>
      </c>
      <c r="AA8" s="108">
        <v>0.28000000000000003</v>
      </c>
      <c r="AB8" s="108">
        <v>0.46</v>
      </c>
      <c r="AC8" s="108">
        <v>0.55000000000000004</v>
      </c>
      <c r="AD8" s="108">
        <v>0.73</v>
      </c>
      <c r="AE8" s="108">
        <v>0.91</v>
      </c>
      <c r="AF8" s="108">
        <v>1.1000000000000001</v>
      </c>
      <c r="AG8" s="108">
        <v>1.19</v>
      </c>
      <c r="AH8" s="108">
        <v>1.37</v>
      </c>
      <c r="AI8" s="108">
        <v>1.55</v>
      </c>
      <c r="AJ8" s="108">
        <v>1.64</v>
      </c>
      <c r="AK8" s="108">
        <v>1.82</v>
      </c>
      <c r="AL8" s="108">
        <v>2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0.15000000000000002</v>
      </c>
      <c r="AB12" s="108">
        <v>0.16</v>
      </c>
      <c r="AC12" s="108">
        <v>0.18000000000000002</v>
      </c>
      <c r="AD12" s="108">
        <v>0.19</v>
      </c>
      <c r="AE12" s="108">
        <v>0.2</v>
      </c>
      <c r="AF12" s="108">
        <v>0.21000000000000002</v>
      </c>
      <c r="AG12" s="108">
        <v>0.23</v>
      </c>
      <c r="AH12" s="108">
        <v>0.24000000000000002</v>
      </c>
      <c r="AI12" s="108">
        <v>0.25</v>
      </c>
      <c r="AJ12" s="108">
        <v>0.27</v>
      </c>
      <c r="AK12" s="108">
        <v>0.28000000000000003</v>
      </c>
      <c r="AL12" s="108">
        <v>0.29000000000000004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0.01</v>
      </c>
      <c r="AA13" s="108">
        <v>0.21000000000000002</v>
      </c>
      <c r="AB13" s="108">
        <v>0.24000000000000002</v>
      </c>
      <c r="AC13" s="108">
        <v>0.26</v>
      </c>
      <c r="AD13" s="108">
        <v>0.29000000000000004</v>
      </c>
      <c r="AE13" s="108">
        <v>0.31</v>
      </c>
      <c r="AF13" s="108">
        <v>0.34</v>
      </c>
      <c r="AG13" s="108">
        <v>0.36</v>
      </c>
      <c r="AH13" s="108">
        <v>0.39</v>
      </c>
      <c r="AI13" s="108">
        <v>0.42</v>
      </c>
      <c r="AJ13" s="108">
        <v>0.44</v>
      </c>
      <c r="AK13" s="108">
        <v>0.47000000000000003</v>
      </c>
      <c r="AL13" s="108">
        <v>0.5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0.01</v>
      </c>
      <c r="AA14" s="108">
        <v>0.12</v>
      </c>
      <c r="AB14" s="108">
        <v>0.13</v>
      </c>
      <c r="AC14" s="108">
        <v>0.15000000000000002</v>
      </c>
      <c r="AD14" s="108">
        <v>0.17</v>
      </c>
      <c r="AE14" s="108">
        <v>0.19</v>
      </c>
      <c r="AF14" s="108">
        <v>0.21000000000000002</v>
      </c>
      <c r="AG14" s="108">
        <v>0.22</v>
      </c>
      <c r="AH14" s="108">
        <v>0.24000000000000002</v>
      </c>
      <c r="AI14" s="108">
        <v>0.26</v>
      </c>
      <c r="AJ14" s="108">
        <v>0.27</v>
      </c>
      <c r="AK14" s="108">
        <v>0.29000000000000004</v>
      </c>
      <c r="AL14" s="108">
        <v>0.31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0.01</v>
      </c>
      <c r="AA15" s="108">
        <v>0.02</v>
      </c>
      <c r="AB15" s="108">
        <v>0.02</v>
      </c>
      <c r="AC15" s="108">
        <v>0.03</v>
      </c>
      <c r="AD15" s="108">
        <v>0.04</v>
      </c>
      <c r="AE15" s="108">
        <v>0.04</v>
      </c>
      <c r="AF15" s="108">
        <v>0.05</v>
      </c>
      <c r="AG15" s="108">
        <v>6.0000000000000005E-2</v>
      </c>
      <c r="AH15" s="108">
        <v>0.06</v>
      </c>
      <c r="AI15" s="108">
        <v>6.9999999999999993E-2</v>
      </c>
      <c r="AJ15" s="108">
        <v>0.08</v>
      </c>
      <c r="AK15" s="108">
        <v>0.08</v>
      </c>
      <c r="AL15" s="108">
        <v>0.09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0.01</v>
      </c>
      <c r="AA16" s="108">
        <v>0.02</v>
      </c>
      <c r="AB16" s="108">
        <v>0.02</v>
      </c>
      <c r="AC16" s="108">
        <v>0.03</v>
      </c>
      <c r="AD16" s="108">
        <v>0.04</v>
      </c>
      <c r="AE16" s="108">
        <v>0.04</v>
      </c>
      <c r="AF16" s="108">
        <v>0.05</v>
      </c>
      <c r="AG16" s="108">
        <v>6.0000000000000005E-2</v>
      </c>
      <c r="AH16" s="108">
        <v>0.06</v>
      </c>
      <c r="AI16" s="108">
        <v>6.9999999999999993E-2</v>
      </c>
      <c r="AJ16" s="108">
        <v>0.08</v>
      </c>
      <c r="AK16" s="108">
        <v>0.08</v>
      </c>
      <c r="AL16" s="108">
        <v>0.09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1</v>
      </c>
      <c r="AA21" s="120">
        <v>2</v>
      </c>
      <c r="AB21" s="120">
        <v>3</v>
      </c>
      <c r="AC21" s="120">
        <v>3</v>
      </c>
      <c r="AD21" s="120">
        <v>4</v>
      </c>
      <c r="AE21" s="120">
        <v>5</v>
      </c>
      <c r="AF21" s="120">
        <v>7</v>
      </c>
      <c r="AG21" s="120">
        <v>7</v>
      </c>
      <c r="AH21" s="120">
        <v>8</v>
      </c>
      <c r="AI21" s="120">
        <v>9</v>
      </c>
      <c r="AJ21" s="120">
        <v>10</v>
      </c>
      <c r="AK21" s="120">
        <v>11</v>
      </c>
      <c r="AL21" s="120">
        <v>12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174.55720170454555</v>
      </c>
      <c r="AA22" s="78">
        <v>174.55720170454543</v>
      </c>
      <c r="AB22" s="78">
        <v>174.55720170454541</v>
      </c>
      <c r="AC22" s="78">
        <v>174.55720170454543</v>
      </c>
      <c r="AD22" s="78">
        <v>174.55720170454555</v>
      </c>
      <c r="AE22" s="78">
        <v>174.55720170454541</v>
      </c>
      <c r="AF22" s="78">
        <v>174.55720170454543</v>
      </c>
      <c r="AG22" s="78">
        <v>174.55720170454546</v>
      </c>
      <c r="AH22" s="78">
        <v>174.55720170454546</v>
      </c>
      <c r="AI22" s="78">
        <v>174.55720170454549</v>
      </c>
      <c r="AJ22" s="78">
        <v>174.55720170454549</v>
      </c>
      <c r="AK22" s="78">
        <v>174.55720170454541</v>
      </c>
      <c r="AL22" s="78">
        <v>174.55720170454541</v>
      </c>
      <c r="AM22" s="78">
        <v>174.55720170454543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51.626666666666658</v>
      </c>
      <c r="AA23" s="52">
        <v>154.88</v>
      </c>
      <c r="AB23" s="52">
        <v>258.13333333333333</v>
      </c>
      <c r="AC23" s="52">
        <v>309.76</v>
      </c>
      <c r="AD23" s="52">
        <v>413.01333333333326</v>
      </c>
      <c r="AE23" s="52">
        <v>516.26666666666665</v>
      </c>
      <c r="AF23" s="52">
        <v>619.52</v>
      </c>
      <c r="AG23" s="52">
        <v>671.14666666666665</v>
      </c>
      <c r="AH23" s="52">
        <v>774.39999999999986</v>
      </c>
      <c r="AI23" s="52">
        <v>877.65333333333331</v>
      </c>
      <c r="AJ23" s="52">
        <v>929.27999999999986</v>
      </c>
      <c r="AK23" s="52">
        <v>1032.5333333333333</v>
      </c>
      <c r="AL23" s="52">
        <v>1135.7866666666666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8154.019033333333</v>
      </c>
      <c r="AA26" s="12">
        <v>24462.057099999998</v>
      </c>
      <c r="AB26" s="12">
        <v>40770.095166666659</v>
      </c>
      <c r="AC26" s="12">
        <v>48924.114199999996</v>
      </c>
      <c r="AD26" s="12">
        <v>65232.152266666664</v>
      </c>
      <c r="AE26" s="12">
        <v>81540.190333333318</v>
      </c>
      <c r="AF26" s="12">
        <v>97848.228399999993</v>
      </c>
      <c r="AG26" s="12">
        <v>106002.24743333334</v>
      </c>
      <c r="AH26" s="12">
        <v>122310.28549999998</v>
      </c>
      <c r="AI26" s="12">
        <v>138618.32356666666</v>
      </c>
      <c r="AJ26" s="12">
        <v>146772.3426</v>
      </c>
      <c r="AK26" s="12">
        <v>163080.38066666664</v>
      </c>
      <c r="AL26" s="12">
        <v>179388.4187333333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1086.8529099999998</v>
      </c>
      <c r="AA28" s="12">
        <v>3260.5587299999988</v>
      </c>
      <c r="AB28" s="12">
        <v>5434.2645499999981</v>
      </c>
      <c r="AC28" s="12">
        <v>6521.1174599999977</v>
      </c>
      <c r="AD28" s="12">
        <v>8694.8232799999987</v>
      </c>
      <c r="AE28" s="12">
        <v>10868.529099999996</v>
      </c>
      <c r="AF28" s="12">
        <v>13042.234919999995</v>
      </c>
      <c r="AG28" s="12">
        <v>14129.087829999997</v>
      </c>
      <c r="AH28" s="12">
        <v>16302.793649999996</v>
      </c>
      <c r="AI28" s="12">
        <v>18476.499469999999</v>
      </c>
      <c r="AJ28" s="12">
        <v>19563.352379999993</v>
      </c>
      <c r="AK28" s="12">
        <v>21737.058199999992</v>
      </c>
      <c r="AL28" s="12">
        <v>23910.764019999991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167.20813999999999</v>
      </c>
      <c r="AA29" s="12">
        <v>501.62441999999999</v>
      </c>
      <c r="AB29" s="12">
        <v>836.04070000000002</v>
      </c>
      <c r="AC29" s="12">
        <v>1003.24884</v>
      </c>
      <c r="AD29" s="12">
        <v>1337.6651199999999</v>
      </c>
      <c r="AE29" s="12">
        <v>1672.0814</v>
      </c>
      <c r="AF29" s="12">
        <v>2006.4976799999999</v>
      </c>
      <c r="AG29" s="12">
        <v>2173.7058200000001</v>
      </c>
      <c r="AH29" s="12">
        <v>2508.1221</v>
      </c>
      <c r="AI29" s="12">
        <v>2842.5383799999995</v>
      </c>
      <c r="AJ29" s="12">
        <v>3009.7465200000001</v>
      </c>
      <c r="AK29" s="12">
        <v>3344.1628000000001</v>
      </c>
      <c r="AL29" s="12">
        <v>3678.5790799999995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218.1677333333333</v>
      </c>
      <c r="AA30" s="12">
        <v>654.50319999999988</v>
      </c>
      <c r="AB30" s="12">
        <v>1090.8386666666665</v>
      </c>
      <c r="AC30" s="12">
        <v>1309.0063999999998</v>
      </c>
      <c r="AD30" s="12">
        <v>1745.3418666666664</v>
      </c>
      <c r="AE30" s="12">
        <v>2181.6773333333331</v>
      </c>
      <c r="AF30" s="12">
        <v>2618.0127999999995</v>
      </c>
      <c r="AG30" s="12">
        <v>2836.1805333333332</v>
      </c>
      <c r="AH30" s="12">
        <v>3272.5159999999996</v>
      </c>
      <c r="AI30" s="12">
        <v>3708.8514666666661</v>
      </c>
      <c r="AJ30" s="12">
        <v>3927.0191999999997</v>
      </c>
      <c r="AK30" s="12">
        <v>4363.3546666666662</v>
      </c>
      <c r="AL30" s="12">
        <v>4799.6901333333326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-1155.1497380000001</v>
      </c>
      <c r="AA35" s="12">
        <v>-3465.4492139999993</v>
      </c>
      <c r="AB35" s="12">
        <v>-5775.7486899999985</v>
      </c>
      <c r="AC35" s="12">
        <v>-6930.8984279999986</v>
      </c>
      <c r="AD35" s="12">
        <v>-9241.1979040000006</v>
      </c>
      <c r="AE35" s="12">
        <v>-11551.497379999997</v>
      </c>
      <c r="AF35" s="12">
        <v>-13861.796855999997</v>
      </c>
      <c r="AG35" s="12">
        <v>-15016.946594000001</v>
      </c>
      <c r="AH35" s="12">
        <v>-17327.246069999997</v>
      </c>
      <c r="AI35" s="12">
        <v>-19637.545546000001</v>
      </c>
      <c r="AJ35" s="12">
        <v>-20792.695283999998</v>
      </c>
      <c r="AK35" s="12">
        <v>-23102.994759999994</v>
      </c>
      <c r="AL35" s="12">
        <v>-25413.294235999994</v>
      </c>
      <c r="AM35" s="12">
        <v>-27723.593711999994</v>
      </c>
      <c r="AN35" s="12">
        <v>-27723.593711999994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8471.0980786666678</v>
      </c>
      <c r="AA37" s="13">
        <v>25413.294235999994</v>
      </c>
      <c r="AB37" s="13">
        <v>42355.490393333319</v>
      </c>
      <c r="AC37" s="13">
        <v>50826.588471999989</v>
      </c>
      <c r="AD37" s="13">
        <v>67768.784629333342</v>
      </c>
      <c r="AE37" s="13">
        <v>84710.980786666638</v>
      </c>
      <c r="AF37" s="13">
        <v>101653.17694399998</v>
      </c>
      <c r="AG37" s="13">
        <v>110124.27502266667</v>
      </c>
      <c r="AH37" s="13">
        <v>127066.47117999999</v>
      </c>
      <c r="AI37" s="13">
        <v>144008.66733733335</v>
      </c>
      <c r="AJ37" s="13">
        <v>152479.76541600001</v>
      </c>
      <c r="AK37" s="13">
        <v>169421.96157333328</v>
      </c>
      <c r="AL37" s="13">
        <v>186364.15773066663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13181.944580396104</v>
      </c>
      <c r="AA40" s="12">
        <v>28140.89895452165</v>
      </c>
      <c r="AB40" s="12">
        <v>32635.589995313858</v>
      </c>
      <c r="AC40" s="12">
        <v>38944.950567280961</v>
      </c>
      <c r="AD40" s="12">
        <v>44211.938712152398</v>
      </c>
      <c r="AE40" s="12">
        <v>49159.607857023817</v>
      </c>
      <c r="AF40" s="12">
        <v>54569.087134561916</v>
      </c>
      <c r="AG40" s="12">
        <v>57537.69070699763</v>
      </c>
      <c r="AH40" s="12">
        <v>62559.048851869062</v>
      </c>
      <c r="AI40" s="12">
        <v>67826.036996740484</v>
      </c>
      <c r="AJ40" s="12">
        <v>70794.640569176205</v>
      </c>
      <c r="AK40" s="12">
        <v>75815.998714047644</v>
      </c>
      <c r="AL40" s="12">
        <v>81110.265824919072</v>
      </c>
      <c r="AM40" s="12">
        <v>82760.059803123833</v>
      </c>
      <c r="AN40" s="12">
        <v>82760.059803123833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364.434304</v>
      </c>
      <c r="AA44" s="12">
        <v>883.05235200000004</v>
      </c>
      <c r="AB44" s="12">
        <v>900.57323200000008</v>
      </c>
      <c r="AC44" s="12">
        <v>965.75090560000012</v>
      </c>
      <c r="AD44" s="12">
        <v>994.90564992000009</v>
      </c>
      <c r="AE44" s="12">
        <v>1013.1273651200003</v>
      </c>
      <c r="AF44" s="12">
        <v>1042.2821094399999</v>
      </c>
      <c r="AG44" s="12">
        <v>1067.7925107200001</v>
      </c>
      <c r="AH44" s="12">
        <v>1089.6585689600004</v>
      </c>
      <c r="AI44" s="12">
        <v>1118.8133132799999</v>
      </c>
      <c r="AJ44" s="12">
        <v>1144.3237145600003</v>
      </c>
      <c r="AK44" s="12">
        <v>1166.1897728000004</v>
      </c>
      <c r="AL44" s="12">
        <v>1195.3445171200001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2203.1999999999998</v>
      </c>
      <c r="AA46" s="12">
        <v>3508.7999999999993</v>
      </c>
      <c r="AB46" s="12">
        <v>4085.0999999999995</v>
      </c>
      <c r="AC46" s="12">
        <v>4489.3260000000009</v>
      </c>
      <c r="AD46" s="12">
        <v>5092.7579999999998</v>
      </c>
      <c r="AE46" s="12">
        <v>5680.5839999999989</v>
      </c>
      <c r="AF46" s="12">
        <v>6294.4200000000019</v>
      </c>
      <c r="AG46" s="12">
        <v>6611.742000000002</v>
      </c>
      <c r="AH46" s="12">
        <v>7204.7700000000023</v>
      </c>
      <c r="AI46" s="12">
        <v>7808.2020000000011</v>
      </c>
      <c r="AJ46" s="12">
        <v>8125.5239999999994</v>
      </c>
      <c r="AK46" s="12">
        <v>8718.5519999999997</v>
      </c>
      <c r="AL46" s="12">
        <v>9327.1859999999997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729.61129090512725</v>
      </c>
      <c r="AA49" s="12">
        <f>'Corp.'!AA$50*(AA$37-(AA31-AA32-AA34)*$C$35)/(SUM('MDA1:NCA9'!AA$37)-SUM('MDA1:NCA9'!AA$31)-SUM('MDA1:NCA9'!AA$32)-SUM('MDA1:NCA9'!AA$34))</f>
        <v>2141.8893704949201</v>
      </c>
      <c r="AB49" s="12">
        <f>'Corp.'!AB$50*(AB$37-(AB31-AB32-AB34)*$C$35)/(SUM('MDA1:NCA9'!AB$37)-SUM('MDA1:NCA9'!AB$31)-SUM('MDA1:NCA9'!AB$32)-SUM('MDA1:NCA9'!AB$34))</f>
        <v>3493.339635169656</v>
      </c>
      <c r="AC49" s="12">
        <f>'Corp.'!AC$50*(AC$37-(AC31-AC32-AC34)*$C$35)/(SUM('MDA1:NCA9'!AC$37)-SUM('MDA1:NCA9'!AC$31)-SUM('MDA1:NCA9'!AC$32)-SUM('MDA1:NCA9'!AC$34))</f>
        <v>4536.3299887600897</v>
      </c>
      <c r="AD49" s="12">
        <f>'Corp.'!AD$50*(AD$37-(AD31-AD32-AD34)*$C$35)/(SUM('MDA1:NCA9'!AD$37)-SUM('MDA1:NCA9'!AD$31)-SUM('MDA1:NCA9'!AD$32)-SUM('MDA1:NCA9'!AD$34))</f>
        <v>5955.5717292848649</v>
      </c>
      <c r="AE49" s="12">
        <f>'Corp.'!AE$50*(AE$37-(AE31-AE32-AE34)*$C$35)/(SUM('MDA1:NCA9'!AE$37)-SUM('MDA1:NCA9'!AE$31)-SUM('MDA1:NCA9'!AE$32)-SUM('MDA1:NCA9'!AE$34))</f>
        <v>7334.565079179607</v>
      </c>
      <c r="AF49" s="12">
        <f>'Corp.'!AF$50*(AF$37-(AF31-AF32-AF34)*$C$35)/(SUM('MDA1:NCA9'!AF$37)-SUM('MDA1:NCA9'!AF$31)-SUM('MDA1:NCA9'!AF$32)-SUM('MDA1:NCA9'!AF$34))</f>
        <v>8677.4639054522795</v>
      </c>
      <c r="AG49" s="12">
        <f>'Corp.'!AG$50*(AG$37-(AG31-AG32-AG34)*$C$35)/(SUM('MDA1:NCA9'!AG$37)-SUM('MDA1:NCA9'!AG$31)-SUM('MDA1:NCA9'!AG$32)-SUM('MDA1:NCA9'!AG$34))</f>
        <v>9293.5963581889773</v>
      </c>
      <c r="AH49" s="12">
        <f>'Corp.'!AH$50*(AH$37-(AH31-AH32-AH34)*$C$35)/(SUM('MDA1:NCA9'!AH$37)-SUM('MDA1:NCA9'!AH$31)-SUM('MDA1:NCA9'!AH$32)-SUM('MDA1:NCA9'!AH$34))</f>
        <v>10559.717427199221</v>
      </c>
      <c r="AI49" s="12">
        <f>'Corp.'!AI$50*(AI$37-(AI31-AI32-AI34)*$C$35)/(SUM('MDA1:NCA9'!AI$37)-SUM('MDA1:NCA9'!AI$31)-SUM('MDA1:NCA9'!AI$32)-SUM('MDA1:NCA9'!AI$34))</f>
        <v>11775.375794451647</v>
      </c>
      <c r="AJ49" s="12">
        <f>'Corp.'!AJ$50*(AJ$37-(AJ31-AJ32-AJ34)*$C$35)/(SUM('MDA1:NCA9'!AJ$37)-SUM('MDA1:NCA9'!AJ$31)-SUM('MDA1:NCA9'!AJ$32)-SUM('MDA1:NCA9'!AJ$34))</f>
        <v>12257.846441647764</v>
      </c>
      <c r="AK49" s="12">
        <f>'Corp.'!AK$50*(AK$37-(AK31-AK32-AK34)*$C$35)/(SUM('MDA1:NCA9'!AK$37)-SUM('MDA1:NCA9'!AK$31)-SUM('MDA1:NCA9'!AK$32)-SUM('MDA1:NCA9'!AK$34))</f>
        <v>13404.09622413748</v>
      </c>
      <c r="AL49" s="12">
        <f>'Corp.'!AL$50*(AL$37-(AL31-AL32-AL34)*$C$35)/(SUM('MDA1:NCA9'!AL$37)-SUM('MDA1:NCA9'!AL$31)-SUM('MDA1:NCA9'!AL$32)-SUM('MDA1:NCA9'!AL$34))</f>
        <v>14526.373634117837</v>
      </c>
      <c r="AM49" s="12">
        <f>'Corp.'!AM$50*(AM$37-(AM31-AM32-AM34)*$C$35)/(SUM('MDA1:NCA9'!AM$37)-SUM('MDA1:NCA9'!AM$31)-SUM('MDA1:NCA9'!AM$32)-SUM('MDA1:NCA9'!AM$34))</f>
        <v>15590.379907955939</v>
      </c>
      <c r="AN49" s="12">
        <f>'Corp.'!AN$50*(AN$37-(AN31-AN32-AN34)*$C$35)/(SUM('MDA1:NCA9'!AN$37)-SUM('MDA1:NCA9'!AN$31)-SUM('MDA1:NCA9'!AN$32)-SUM('MDA1:NCA9'!AN$34))</f>
        <v>15372.010949215331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16114.755871301231</v>
      </c>
      <c r="AA50" s="13">
        <v>33791.588325016572</v>
      </c>
      <c r="AB50" s="13">
        <v>40214.029630483514</v>
      </c>
      <c r="AC50" s="13">
        <v>47970.60655604105</v>
      </c>
      <c r="AD50" s="13">
        <v>55260.268441437263</v>
      </c>
      <c r="AE50" s="13">
        <v>62174.756936203426</v>
      </c>
      <c r="AF50" s="13">
        <v>69540.971040014207</v>
      </c>
      <c r="AG50" s="13">
        <v>73443.029065186609</v>
      </c>
      <c r="AH50" s="13">
        <v>80323.536279068285</v>
      </c>
      <c r="AI50" s="13">
        <v>87409.614791192143</v>
      </c>
      <c r="AJ50" s="13">
        <v>91178.011010823975</v>
      </c>
      <c r="AK50" s="13">
        <v>97938.64693818512</v>
      </c>
      <c r="AL50" s="13">
        <v>104963.82545903692</v>
      </c>
      <c r="AM50" s="13">
        <v>108067.77571107977</v>
      </c>
      <c r="AN50" s="13">
        <v>107849.40675233916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-7643.6577926345635</v>
      </c>
      <c r="AA52" s="74">
        <f t="shared" si="0"/>
        <v>-8378.2940890165773</v>
      </c>
      <c r="AB52" s="74">
        <f t="shared" si="0"/>
        <v>2141.4607628498052</v>
      </c>
      <c r="AC52" s="74">
        <f t="shared" si="0"/>
        <v>2855.9819159589388</v>
      </c>
      <c r="AD52" s="74">
        <f t="shared" si="0"/>
        <v>12508.516187896079</v>
      </c>
      <c r="AE52" s="74">
        <f t="shared" si="0"/>
        <v>22536.223850463211</v>
      </c>
      <c r="AF52" s="74">
        <f t="shared" si="0"/>
        <v>32112.20590398577</v>
      </c>
      <c r="AG52" s="74">
        <f t="shared" si="0"/>
        <v>36681.24595748006</v>
      </c>
      <c r="AH52" s="74">
        <f t="shared" si="0"/>
        <v>46742.934900931708</v>
      </c>
      <c r="AI52" s="74">
        <f t="shared" si="0"/>
        <v>56599.052546141203</v>
      </c>
      <c r="AJ52" s="74">
        <f t="shared" si="0"/>
        <v>61301.754405176034</v>
      </c>
      <c r="AK52" s="74">
        <f t="shared" si="0"/>
        <v>71483.314635148156</v>
      </c>
      <c r="AL52" s="74">
        <f t="shared" si="0"/>
        <v>81400.332271629712</v>
      </c>
      <c r="AM52" s="74">
        <f t="shared" si="0"/>
        <v>95238.578176920186</v>
      </c>
      <c r="AN52" s="74">
        <f t="shared" si="0"/>
        <v>95456.947135660797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>
        <f t="shared" si="1"/>
        <v>-0.90232195656949099</v>
      </c>
      <c r="AA53" s="107">
        <f t="shared" si="1"/>
        <v>-0.3296815442819705</v>
      </c>
      <c r="AB53" s="107">
        <f t="shared" si="1"/>
        <v>5.0559224859945608E-2</v>
      </c>
      <c r="AC53" s="107">
        <f t="shared" si="1"/>
        <v>5.6190706514411826E-2</v>
      </c>
      <c r="AD53" s="107">
        <f t="shared" si="1"/>
        <v>0.18457636884462936</v>
      </c>
      <c r="AE53" s="107">
        <f t="shared" si="1"/>
        <v>0.26603662997619754</v>
      </c>
      <c r="AF53" s="107">
        <f t="shared" si="1"/>
        <v>0.31589967839053529</v>
      </c>
      <c r="AG53" s="107">
        <f t="shared" si="1"/>
        <v>0.33308955677510732</v>
      </c>
      <c r="AH53" s="107">
        <f t="shared" si="1"/>
        <v>0.36786206830845675</v>
      </c>
      <c r="AI53" s="107">
        <f t="shared" si="1"/>
        <v>0.39302531988273076</v>
      </c>
      <c r="AJ53" s="107">
        <f t="shared" si="1"/>
        <v>0.40203206135535879</v>
      </c>
      <c r="AK53" s="107">
        <f t="shared" si="1"/>
        <v>0.42192472552743426</v>
      </c>
      <c r="AL53" s="107">
        <f t="shared" si="1"/>
        <v>0.43678104879624668</v>
      </c>
      <c r="AM53" s="107">
        <f t="shared" si="1"/>
        <v>0.46844860652700726</v>
      </c>
      <c r="AN53" s="107">
        <f t="shared" si="1"/>
        <v>0.46952269474198216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-7643.6577926345635</v>
      </c>
      <c r="AA58" s="13">
        <f t="shared" si="2"/>
        <v>-8378.2940890165773</v>
      </c>
      <c r="AB58" s="13">
        <f t="shared" si="2"/>
        <v>2141.4607628498052</v>
      </c>
      <c r="AC58" s="13">
        <f t="shared" si="2"/>
        <v>2855.9819159589388</v>
      </c>
      <c r="AD58" s="13">
        <f t="shared" si="2"/>
        <v>12508.516187896079</v>
      </c>
      <c r="AE58" s="13">
        <f t="shared" si="2"/>
        <v>21265.559138663211</v>
      </c>
      <c r="AF58" s="13">
        <f t="shared" si="2"/>
        <v>28300.21176858577</v>
      </c>
      <c r="AG58" s="13">
        <f t="shared" si="2"/>
        <v>30327.922398480063</v>
      </c>
      <c r="AH58" s="13">
        <f t="shared" si="2"/>
        <v>39118.946630131708</v>
      </c>
      <c r="AI58" s="13">
        <f t="shared" si="2"/>
        <v>46433.734851741203</v>
      </c>
      <c r="AJ58" s="13">
        <f t="shared" si="2"/>
        <v>48595.107287176041</v>
      </c>
      <c r="AK58" s="13">
        <f t="shared" si="2"/>
        <v>56235.338093548162</v>
      </c>
      <c r="AL58" s="13">
        <f t="shared" si="2"/>
        <v>64881.691018229714</v>
      </c>
      <c r="AM58" s="13">
        <f t="shared" si="2"/>
        <v>76178.607499920181</v>
      </c>
      <c r="AN58" s="13">
        <f t="shared" si="2"/>
        <v>73855.6470350608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-7643.6577926345635</v>
      </c>
      <c r="AA59" s="12">
        <v>-16021.951881651141</v>
      </c>
      <c r="AB59" s="12">
        <v>-13880.491118801336</v>
      </c>
      <c r="AC59" s="12">
        <v>-11024.509202842397</v>
      </c>
      <c r="AD59" s="12">
        <v>1484.006985053682</v>
      </c>
      <c r="AE59" s="12">
        <v>22749.566123716893</v>
      </c>
      <c r="AF59" s="12">
        <v>51049.777892302664</v>
      </c>
      <c r="AG59" s="12">
        <v>81377.700290782726</v>
      </c>
      <c r="AH59" s="12">
        <v>120496.64692091444</v>
      </c>
      <c r="AI59" s="12">
        <v>166930.38177265564</v>
      </c>
      <c r="AJ59" s="12">
        <v>215525.48905983169</v>
      </c>
      <c r="AK59" s="12">
        <v>271760.82715337985</v>
      </c>
      <c r="AL59" s="12">
        <v>336642.51817160955</v>
      </c>
      <c r="AM59" s="12">
        <v>412821.12567152973</v>
      </c>
      <c r="AN59" s="12">
        <v>486676.77270659053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1.1537294382039608E-3</v>
      </c>
      <c r="AA72" s="12">
        <v>3.4611883146118826E-3</v>
      </c>
      <c r="AB72" s="12">
        <v>5.768647191019805E-3</v>
      </c>
      <c r="AC72" s="12">
        <v>7.6146142921461437E-3</v>
      </c>
      <c r="AD72" s="12">
        <v>1.0152819056194855E-2</v>
      </c>
      <c r="AE72" s="12">
        <v>1.2691023820243574E-2</v>
      </c>
      <c r="AF72" s="12">
        <v>1.5229228584292287E-2</v>
      </c>
      <c r="AG72" s="12">
        <v>1.6498330966316647E-2</v>
      </c>
      <c r="AH72" s="12">
        <v>1.9036535730365362E-2</v>
      </c>
      <c r="AI72" s="12">
        <v>2.1574740494414067E-2</v>
      </c>
      <c r="AJ72" s="12">
        <v>2.2843842876438432E-2</v>
      </c>
      <c r="AK72" s="12">
        <v>2.5382047640487147E-2</v>
      </c>
      <c r="AL72" s="12">
        <v>2.7920252404535863E-2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-1.1537294382039608E-3</v>
      </c>
      <c r="AA75" s="74">
        <v>-3.4611883146118826E-3</v>
      </c>
      <c r="AB75" s="74">
        <v>-5.768647191019805E-3</v>
      </c>
      <c r="AC75" s="74">
        <v>-7.6146142921461437E-3</v>
      </c>
      <c r="AD75" s="74">
        <v>-1.0152819056194855E-2</v>
      </c>
      <c r="AE75" s="74">
        <v>-1.2691023820243574E-2</v>
      </c>
      <c r="AF75" s="74">
        <v>-1.5229228584292287E-2</v>
      </c>
      <c r="AG75" s="74">
        <v>-1.6498330966316647E-2</v>
      </c>
      <c r="AH75" s="74">
        <v>-1.9036535730365362E-2</v>
      </c>
      <c r="AI75" s="74">
        <v>-2.1574740494414067E-2</v>
      </c>
      <c r="AJ75" s="74">
        <v>-2.2843842876438432E-2</v>
      </c>
      <c r="AK75" s="74">
        <v>-2.5382047640487147E-2</v>
      </c>
      <c r="AL75" s="74">
        <v>-2.7920252404535863E-2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E540-CBBC-45B1-BDB1-99E4D9DFB2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74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3</v>
      </c>
      <c r="AB1" s="69">
        <v>6</v>
      </c>
      <c r="AC1" s="69">
        <v>9</v>
      </c>
      <c r="AD1" s="69">
        <v>12</v>
      </c>
      <c r="AE1" s="69">
        <v>15</v>
      </c>
      <c r="AF1" s="69">
        <v>18</v>
      </c>
      <c r="AG1" s="69">
        <v>21</v>
      </c>
      <c r="AH1" s="69">
        <v>24</v>
      </c>
      <c r="AI1" s="69">
        <v>27</v>
      </c>
      <c r="AJ1" s="69">
        <v>30</v>
      </c>
      <c r="AK1" s="69">
        <v>33</v>
      </c>
      <c r="AL1" s="69">
        <v>36</v>
      </c>
      <c r="AM1" s="69">
        <v>39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3.1666666666666665</v>
      </c>
      <c r="AC2" s="69">
        <v>3.3333333333333335</v>
      </c>
      <c r="AD2" s="69">
        <v>3.5</v>
      </c>
      <c r="AE2" s="69">
        <v>3.6666666666666665</v>
      </c>
      <c r="AF2" s="69">
        <v>3.8333333333333335</v>
      </c>
      <c r="AG2" s="69">
        <v>4</v>
      </c>
      <c r="AH2" s="69">
        <v>4.166666666666667</v>
      </c>
      <c r="AI2" s="69">
        <v>4.333333333333333</v>
      </c>
      <c r="AJ2" s="69">
        <v>4.5</v>
      </c>
      <c r="AK2" s="69">
        <v>4.666666666666667</v>
      </c>
      <c r="AL2" s="69">
        <v>4.833333333333333</v>
      </c>
      <c r="AM2" s="69">
        <v>5</v>
      </c>
      <c r="AN2" s="69">
        <v>2.1666666666666665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0.16666666666666666</v>
      </c>
      <c r="AC3" s="69">
        <v>0.33333333333333331</v>
      </c>
      <c r="AD3" s="69">
        <v>0.5</v>
      </c>
      <c r="AE3" s="69">
        <v>0.66666666666666663</v>
      </c>
      <c r="AF3" s="69">
        <v>0.83333333333333337</v>
      </c>
      <c r="AG3" s="69">
        <v>1</v>
      </c>
      <c r="AH3" s="69">
        <v>1.1666666666666667</v>
      </c>
      <c r="AI3" s="69">
        <v>1.3333333333333333</v>
      </c>
      <c r="AJ3" s="69">
        <v>1.5</v>
      </c>
      <c r="AK3" s="69">
        <v>1.6666666666666667</v>
      </c>
      <c r="AL3" s="69">
        <v>1.8333333333333333</v>
      </c>
      <c r="AM3" s="69">
        <v>2</v>
      </c>
      <c r="AN3" s="69">
        <v>2.1666666666666665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3</v>
      </c>
      <c r="AB4" s="69">
        <v>9.1666666666666661</v>
      </c>
      <c r="AC4" s="69">
        <v>12.333333333333334</v>
      </c>
      <c r="AD4" s="69">
        <v>15.5</v>
      </c>
      <c r="AE4" s="69">
        <v>18.666666666666668</v>
      </c>
      <c r="AF4" s="69">
        <v>21.833333333333332</v>
      </c>
      <c r="AG4" s="69">
        <v>25</v>
      </c>
      <c r="AH4" s="69">
        <v>28.166666666666668</v>
      </c>
      <c r="AI4" s="69">
        <v>31.333333333333332</v>
      </c>
      <c r="AJ4" s="69">
        <v>34.5</v>
      </c>
      <c r="AK4" s="69">
        <v>37.666666666666664</v>
      </c>
      <c r="AL4" s="69">
        <v>40.833333333333336</v>
      </c>
      <c r="AM4" s="69">
        <v>44</v>
      </c>
      <c r="AN4" s="69">
        <v>44.166666666666664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6</v>
      </c>
      <c r="AB6" s="66">
        <v>11</v>
      </c>
      <c r="AC6" s="66">
        <v>15</v>
      </c>
      <c r="AD6" s="66">
        <v>18</v>
      </c>
      <c r="AE6" s="66">
        <v>22</v>
      </c>
      <c r="AF6" s="66">
        <v>26</v>
      </c>
      <c r="AG6" s="66">
        <v>29</v>
      </c>
      <c r="AH6" s="66">
        <v>33</v>
      </c>
      <c r="AI6" s="66">
        <v>37</v>
      </c>
      <c r="AJ6" s="66">
        <v>40</v>
      </c>
      <c r="AK6" s="66">
        <v>44</v>
      </c>
      <c r="AL6" s="66">
        <v>47</v>
      </c>
      <c r="AM6" s="66">
        <v>51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2.8299999999999996</v>
      </c>
      <c r="AB7" s="108">
        <v>5.6499999999999995</v>
      </c>
      <c r="AC7" s="108">
        <v>8.48</v>
      </c>
      <c r="AD7" s="108">
        <v>11.299999999999999</v>
      </c>
      <c r="AE7" s="108">
        <v>14.12</v>
      </c>
      <c r="AF7" s="108">
        <v>16.950000000000003</v>
      </c>
      <c r="AG7" s="108">
        <v>19.770000000000003</v>
      </c>
      <c r="AH7" s="108">
        <v>22.59</v>
      </c>
      <c r="AI7" s="108">
        <v>25.42</v>
      </c>
      <c r="AJ7" s="108">
        <v>28.240000000000002</v>
      </c>
      <c r="AK7" s="108">
        <v>31.060000000000002</v>
      </c>
      <c r="AL7" s="108">
        <v>33.89</v>
      </c>
      <c r="AM7" s="108">
        <v>36.71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0.43</v>
      </c>
      <c r="AB8" s="108">
        <v>0.86</v>
      </c>
      <c r="AC8" s="108">
        <v>1.29</v>
      </c>
      <c r="AD8" s="108">
        <v>1.72</v>
      </c>
      <c r="AE8" s="108">
        <v>2.15</v>
      </c>
      <c r="AF8" s="108">
        <v>2.5799999999999996</v>
      </c>
      <c r="AG8" s="108">
        <v>3</v>
      </c>
      <c r="AH8" s="108">
        <v>3.4299999999999997</v>
      </c>
      <c r="AI8" s="108">
        <v>3.86</v>
      </c>
      <c r="AJ8" s="108">
        <v>4.29</v>
      </c>
      <c r="AK8" s="108">
        <v>4.72</v>
      </c>
      <c r="AL8" s="108">
        <v>5.1499999999999995</v>
      </c>
      <c r="AM8" s="108">
        <v>5.58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0.25</v>
      </c>
      <c r="AC12" s="108">
        <v>0.26</v>
      </c>
      <c r="AD12" s="108">
        <v>0.27</v>
      </c>
      <c r="AE12" s="108">
        <v>0.29000000000000004</v>
      </c>
      <c r="AF12" s="108">
        <v>0.3</v>
      </c>
      <c r="AG12" s="108">
        <v>0.31</v>
      </c>
      <c r="AH12" s="108">
        <v>0.33</v>
      </c>
      <c r="AI12" s="108">
        <v>0.34</v>
      </c>
      <c r="AJ12" s="108">
        <v>0.35000000000000003</v>
      </c>
      <c r="AK12" s="108">
        <v>0.36</v>
      </c>
      <c r="AL12" s="108">
        <v>0.38</v>
      </c>
      <c r="AM12" s="108">
        <v>0.39</v>
      </c>
      <c r="AN12" s="108">
        <v>0.17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0.02</v>
      </c>
      <c r="AB13" s="108">
        <v>0.35000000000000003</v>
      </c>
      <c r="AC13" s="108">
        <v>0.39</v>
      </c>
      <c r="AD13" s="108">
        <v>0.42</v>
      </c>
      <c r="AE13" s="108">
        <v>0.45</v>
      </c>
      <c r="AF13" s="108">
        <v>0.49</v>
      </c>
      <c r="AG13" s="108">
        <v>0.52</v>
      </c>
      <c r="AH13" s="108">
        <v>0.55000000000000004</v>
      </c>
      <c r="AI13" s="108">
        <v>0.59</v>
      </c>
      <c r="AJ13" s="108">
        <v>0.62</v>
      </c>
      <c r="AK13" s="108">
        <v>0.65</v>
      </c>
      <c r="AL13" s="108">
        <v>0.69000000000000006</v>
      </c>
      <c r="AM13" s="108">
        <v>0.72</v>
      </c>
      <c r="AN13" s="108">
        <v>0.45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0.02</v>
      </c>
      <c r="AB14" s="108">
        <v>0.2</v>
      </c>
      <c r="AC14" s="108">
        <v>0.22</v>
      </c>
      <c r="AD14" s="108">
        <v>0.25</v>
      </c>
      <c r="AE14" s="108">
        <v>0.27</v>
      </c>
      <c r="AF14" s="108">
        <v>0.3</v>
      </c>
      <c r="AG14" s="108">
        <v>0.32</v>
      </c>
      <c r="AH14" s="108">
        <v>0.35000000000000003</v>
      </c>
      <c r="AI14" s="108">
        <v>0.37</v>
      </c>
      <c r="AJ14" s="108">
        <v>0.39</v>
      </c>
      <c r="AK14" s="108">
        <v>0.42</v>
      </c>
      <c r="AL14" s="108">
        <v>0.44</v>
      </c>
      <c r="AM14" s="108">
        <v>0.47000000000000003</v>
      </c>
      <c r="AN14" s="108">
        <v>0.34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0.02</v>
      </c>
      <c r="AB15" s="108">
        <v>0.03</v>
      </c>
      <c r="AC15" s="108">
        <v>0.04</v>
      </c>
      <c r="AD15" s="108">
        <v>0.05</v>
      </c>
      <c r="AE15" s="108">
        <v>0.06</v>
      </c>
      <c r="AF15" s="108">
        <v>0.08</v>
      </c>
      <c r="AG15" s="108">
        <v>0.09</v>
      </c>
      <c r="AH15" s="108">
        <v>9.9999999999999992E-2</v>
      </c>
      <c r="AI15" s="108">
        <v>0.11</v>
      </c>
      <c r="AJ15" s="108">
        <v>0.12</v>
      </c>
      <c r="AK15" s="108">
        <v>0.14000000000000001</v>
      </c>
      <c r="AL15" s="108">
        <v>0.15000000000000002</v>
      </c>
      <c r="AM15" s="108">
        <v>0.16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0.02</v>
      </c>
      <c r="AB16" s="108">
        <v>0.03</v>
      </c>
      <c r="AC16" s="108">
        <v>0.04</v>
      </c>
      <c r="AD16" s="108">
        <v>0.05</v>
      </c>
      <c r="AE16" s="108">
        <v>0.06</v>
      </c>
      <c r="AF16" s="108">
        <v>0.08</v>
      </c>
      <c r="AG16" s="108">
        <v>0.09</v>
      </c>
      <c r="AH16" s="108">
        <v>9.9999999999999992E-2</v>
      </c>
      <c r="AI16" s="108">
        <v>0.11</v>
      </c>
      <c r="AJ16" s="108">
        <v>0.12</v>
      </c>
      <c r="AK16" s="108">
        <v>0.14000000000000001</v>
      </c>
      <c r="AL16" s="108">
        <v>0.15000000000000002</v>
      </c>
      <c r="AM16" s="108">
        <v>0.16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0.3</v>
      </c>
      <c r="AB17" s="108">
        <v>0.6</v>
      </c>
      <c r="AC17" s="108">
        <v>0.9</v>
      </c>
      <c r="AD17" s="108">
        <v>1.2</v>
      </c>
      <c r="AE17" s="108">
        <v>1.5</v>
      </c>
      <c r="AF17" s="108">
        <v>1.8</v>
      </c>
      <c r="AG17" s="108">
        <v>2.1</v>
      </c>
      <c r="AH17" s="108">
        <v>2.4</v>
      </c>
      <c r="AI17" s="108">
        <v>2.7</v>
      </c>
      <c r="AJ17" s="108">
        <v>3</v>
      </c>
      <c r="AK17" s="108">
        <v>3.3</v>
      </c>
      <c r="AL17" s="108">
        <v>3.6</v>
      </c>
      <c r="AM17" s="108">
        <v>3.9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3</v>
      </c>
      <c r="AB21" s="120">
        <v>7</v>
      </c>
      <c r="AC21" s="120">
        <v>10</v>
      </c>
      <c r="AD21" s="120">
        <v>13</v>
      </c>
      <c r="AE21" s="120">
        <v>16</v>
      </c>
      <c r="AF21" s="120">
        <v>20</v>
      </c>
      <c r="AG21" s="120">
        <v>23</v>
      </c>
      <c r="AH21" s="120">
        <v>26</v>
      </c>
      <c r="AI21" s="120">
        <v>29</v>
      </c>
      <c r="AJ21" s="120">
        <v>33</v>
      </c>
      <c r="AK21" s="120">
        <v>36</v>
      </c>
      <c r="AL21" s="120">
        <v>39</v>
      </c>
      <c r="AM21" s="120">
        <v>42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170.02883240223463</v>
      </c>
      <c r="AH22" s="78">
        <v>170.02883240223466</v>
      </c>
      <c r="AI22" s="78">
        <v>170.02883240223468</v>
      </c>
      <c r="AJ22" s="78">
        <v>170.02883240223466</v>
      </c>
      <c r="AK22" s="78">
        <v>170.02883240223468</v>
      </c>
      <c r="AL22" s="78">
        <v>170.02883240223466</v>
      </c>
      <c r="AM22" s="78">
        <v>170.02883240223466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315.03999999999996</v>
      </c>
      <c r="AB23" s="52">
        <v>630.07999999999993</v>
      </c>
      <c r="AC23" s="52">
        <v>945.11999999999989</v>
      </c>
      <c r="AD23" s="52">
        <v>1260.1599999999999</v>
      </c>
      <c r="AE23" s="52">
        <v>1575.1999999999996</v>
      </c>
      <c r="AF23" s="52">
        <v>1890.2399999999998</v>
      </c>
      <c r="AG23" s="52">
        <v>2205.2799999999997</v>
      </c>
      <c r="AH23" s="52">
        <v>2520.3199999999997</v>
      </c>
      <c r="AI23" s="52">
        <v>2835.3599999999992</v>
      </c>
      <c r="AJ23" s="52">
        <v>3150.3999999999992</v>
      </c>
      <c r="AK23" s="52">
        <v>3465.4399999999996</v>
      </c>
      <c r="AL23" s="52">
        <v>3780.4799999999996</v>
      </c>
      <c r="AM23" s="52">
        <v>4095.5199999999995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46796.978800000004</v>
      </c>
      <c r="AB26" s="12">
        <v>93593.957600000009</v>
      </c>
      <c r="AC26" s="12">
        <v>140390.93640000001</v>
      </c>
      <c r="AD26" s="12">
        <v>187187.91520000002</v>
      </c>
      <c r="AE26" s="12">
        <v>233984.89399999997</v>
      </c>
      <c r="AF26" s="12">
        <v>280781.87280000001</v>
      </c>
      <c r="AG26" s="12">
        <v>327578.85159999994</v>
      </c>
      <c r="AH26" s="12">
        <v>374375.83040000004</v>
      </c>
      <c r="AI26" s="12">
        <v>421172.80919999996</v>
      </c>
      <c r="AJ26" s="12">
        <v>467969.78799999994</v>
      </c>
      <c r="AK26" s="12">
        <v>514766.76679999998</v>
      </c>
      <c r="AL26" s="12">
        <v>561563.74560000002</v>
      </c>
      <c r="AM26" s="12">
        <v>608360.72439999995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2743.8788</v>
      </c>
      <c r="AB27" s="12">
        <v>5487.7575999999999</v>
      </c>
      <c r="AC27" s="12">
        <v>8231.6363999999994</v>
      </c>
      <c r="AD27" s="12">
        <v>10975.5152</v>
      </c>
      <c r="AE27" s="12">
        <v>13719.393999999998</v>
      </c>
      <c r="AF27" s="12">
        <v>16463.272799999999</v>
      </c>
      <c r="AG27" s="12">
        <v>19207.151600000001</v>
      </c>
      <c r="AH27" s="12">
        <v>21951.0304</v>
      </c>
      <c r="AI27" s="12">
        <v>24694.909199999995</v>
      </c>
      <c r="AJ27" s="12">
        <v>27438.787999999997</v>
      </c>
      <c r="AK27" s="12">
        <v>30182.666799999999</v>
      </c>
      <c r="AL27" s="12">
        <v>32926.545599999998</v>
      </c>
      <c r="AM27" s="12">
        <v>35670.424399999996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6521.1174599999977</v>
      </c>
      <c r="AB28" s="12">
        <v>13042.234919999995</v>
      </c>
      <c r="AC28" s="12">
        <v>19563.352379999993</v>
      </c>
      <c r="AD28" s="12">
        <v>26084.469839999991</v>
      </c>
      <c r="AE28" s="12">
        <v>32605.587299999992</v>
      </c>
      <c r="AF28" s="12">
        <v>39126.704759999986</v>
      </c>
      <c r="AG28" s="12">
        <v>45647.822219999987</v>
      </c>
      <c r="AH28" s="12">
        <v>52168.939679999981</v>
      </c>
      <c r="AI28" s="12">
        <v>58690.057139999983</v>
      </c>
      <c r="AJ28" s="12">
        <v>65211.174599999984</v>
      </c>
      <c r="AK28" s="12">
        <v>71732.292059999978</v>
      </c>
      <c r="AL28" s="12">
        <v>78253.409519999972</v>
      </c>
      <c r="AM28" s="12">
        <v>84774.526979999995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501.62441999999999</v>
      </c>
      <c r="AB29" s="12">
        <v>1003.24884</v>
      </c>
      <c r="AC29" s="12">
        <v>1504.8732600000001</v>
      </c>
      <c r="AD29" s="12">
        <v>2006.4976799999999</v>
      </c>
      <c r="AE29" s="12">
        <v>2508.1221</v>
      </c>
      <c r="AF29" s="12">
        <v>3009.7465200000001</v>
      </c>
      <c r="AG29" s="12">
        <v>3511.3709400000002</v>
      </c>
      <c r="AH29" s="12">
        <v>4012.9953599999999</v>
      </c>
      <c r="AI29" s="12">
        <v>4514.61978</v>
      </c>
      <c r="AJ29" s="12">
        <v>5016.2442000000001</v>
      </c>
      <c r="AK29" s="12">
        <v>5517.8686199999993</v>
      </c>
      <c r="AL29" s="12">
        <v>6019.4930400000003</v>
      </c>
      <c r="AM29" s="12">
        <v>6521.1174600000013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654.50319999999988</v>
      </c>
      <c r="AB30" s="12">
        <v>1309.0063999999998</v>
      </c>
      <c r="AC30" s="12">
        <v>1963.5095999999999</v>
      </c>
      <c r="AD30" s="12">
        <v>2618.0127999999995</v>
      </c>
      <c r="AE30" s="12">
        <v>3272.5159999999996</v>
      </c>
      <c r="AF30" s="12">
        <v>3927.0191999999997</v>
      </c>
      <c r="AG30" s="12">
        <v>4581.5223999999998</v>
      </c>
      <c r="AH30" s="12">
        <v>5236.025599999999</v>
      </c>
      <c r="AI30" s="12">
        <v>5890.5288</v>
      </c>
      <c r="AJ30" s="12">
        <v>6545.0319999999992</v>
      </c>
      <c r="AK30" s="12">
        <v>7199.5351999999993</v>
      </c>
      <c r="AL30" s="12">
        <v>7854.0383999999995</v>
      </c>
      <c r="AM30" s="12">
        <v>8508.5416000000005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-10068.832691599999</v>
      </c>
      <c r="AB35" s="12">
        <v>-16935.005013199996</v>
      </c>
      <c r="AC35" s="12">
        <v>-23801.177334799995</v>
      </c>
      <c r="AD35" s="12">
        <v>-30667.349656399994</v>
      </c>
      <c r="AE35" s="12">
        <v>-37533.521977999997</v>
      </c>
      <c r="AF35" s="12">
        <v>-44399.694299599993</v>
      </c>
      <c r="AG35" s="12">
        <v>-51265.866621199988</v>
      </c>
      <c r="AH35" s="12">
        <v>-58132.038942799998</v>
      </c>
      <c r="AI35" s="12">
        <v>-64998.211264399994</v>
      </c>
      <c r="AJ35" s="12">
        <v>-71864.383585999982</v>
      </c>
      <c r="AK35" s="12">
        <v>-78730.555907599992</v>
      </c>
      <c r="AL35" s="12">
        <v>-85596.728229199987</v>
      </c>
      <c r="AM35" s="12">
        <v>-92462.900550799983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71094.22760506667</v>
      </c>
      <c r="AB37" s="13">
        <v>118702.27916346668</v>
      </c>
      <c r="AC37" s="13">
        <v>166310.33072186666</v>
      </c>
      <c r="AD37" s="13">
        <v>213918.38228026667</v>
      </c>
      <c r="AE37" s="13">
        <v>261526.43383866665</v>
      </c>
      <c r="AF37" s="13">
        <v>309134.48539706669</v>
      </c>
      <c r="AG37" s="13">
        <v>356742.53695546661</v>
      </c>
      <c r="AH37" s="13">
        <v>404350.58851386671</v>
      </c>
      <c r="AI37" s="13">
        <v>451958.64007226669</v>
      </c>
      <c r="AJ37" s="13">
        <v>499566.69163066661</v>
      </c>
      <c r="AK37" s="13">
        <v>547174.74318906665</v>
      </c>
      <c r="AL37" s="13">
        <v>594782.79474746657</v>
      </c>
      <c r="AM37" s="13">
        <v>642390.84630586649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48771.788597403611</v>
      </c>
      <c r="AB40" s="12">
        <v>83459.072181473879</v>
      </c>
      <c r="AC40" s="12">
        <v>116230.99485676528</v>
      </c>
      <c r="AD40" s="12">
        <v>140608.33346590924</v>
      </c>
      <c r="AE40" s="12">
        <v>165025.44074171988</v>
      </c>
      <c r="AF40" s="12">
        <v>189774.28419886393</v>
      </c>
      <c r="AG40" s="12">
        <v>213959.21264134118</v>
      </c>
      <c r="AH40" s="12">
        <v>238453.51791715182</v>
      </c>
      <c r="AI40" s="12">
        <v>262879.5333742958</v>
      </c>
      <c r="AJ40" s="12">
        <v>287179.6739834398</v>
      </c>
      <c r="AK40" s="12">
        <v>311802.64259258384</v>
      </c>
      <c r="AL40" s="12">
        <v>336345.62471639441</v>
      </c>
      <c r="AM40" s="12">
        <v>360722.96332553838</v>
      </c>
      <c r="AN40" s="12">
        <v>378849.01843468234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378.451008</v>
      </c>
      <c r="AB44" s="12">
        <v>1002.1943359999999</v>
      </c>
      <c r="AC44" s="12">
        <v>1075.0811968000003</v>
      </c>
      <c r="AD44" s="12">
        <v>1107.88028416</v>
      </c>
      <c r="AE44" s="12">
        <v>1140.6793715200004</v>
      </c>
      <c r="AF44" s="12">
        <v>1184.4114880000002</v>
      </c>
      <c r="AG44" s="12">
        <v>1213.5662323200002</v>
      </c>
      <c r="AH44" s="12">
        <v>1250.0096627200003</v>
      </c>
      <c r="AI44" s="12">
        <v>1282.80875008</v>
      </c>
      <c r="AJ44" s="12">
        <v>1311.9634944000004</v>
      </c>
      <c r="AK44" s="12">
        <v>1352.0512678400003</v>
      </c>
      <c r="AL44" s="12">
        <v>1388.4946982400002</v>
      </c>
      <c r="AM44" s="12">
        <v>1421.2937856000005</v>
      </c>
      <c r="AN44" s="12">
        <v>1202.6332032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3604.6799999999994</v>
      </c>
      <c r="AB46" s="12">
        <v>5507.4899999999989</v>
      </c>
      <c r="AC46" s="12">
        <v>6946.7507999999998</v>
      </c>
      <c r="AD46" s="12">
        <v>8272.2203999999983</v>
      </c>
      <c r="AE46" s="12">
        <v>9597.6899999999969</v>
      </c>
      <c r="AF46" s="12">
        <v>10937.725199999999</v>
      </c>
      <c r="AG46" s="12">
        <v>12255.912</v>
      </c>
      <c r="AH46" s="12">
        <v>13585.022999999999</v>
      </c>
      <c r="AI46" s="12">
        <v>14914.133999999998</v>
      </c>
      <c r="AJ46" s="12">
        <v>16235.962199999998</v>
      </c>
      <c r="AK46" s="12">
        <v>17568.714599999999</v>
      </c>
      <c r="AL46" s="12">
        <v>18901.467000000001</v>
      </c>
      <c r="AM46" s="12">
        <v>20226.936599999997</v>
      </c>
      <c r="AN46" s="12">
        <v>21297.508200000007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151234.47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5991.9807718248321</v>
      </c>
      <c r="AB49" s="12">
        <f>'Corp.'!AB$50*(AB$37-(AB31-AB32-AB34)*$C$35)/(SUM('MDA1:NCA9'!AB$37)-SUM('MDA1:NCA9'!AB$31)-SUM('MDA1:NCA9'!AB$32)-SUM('MDA1:NCA9'!AB$34))</f>
        <v>9790.168234056835</v>
      </c>
      <c r="AC49" s="12">
        <f>'Corp.'!AC$50*(AC$37-(AC31-AC32-AC34)*$C$35)/(SUM('MDA1:NCA9'!AC$37)-SUM('MDA1:NCA9'!AC$31)-SUM('MDA1:NCA9'!AC$32)-SUM('MDA1:NCA9'!AC$34))</f>
        <v>14843.383421451295</v>
      </c>
      <c r="AD49" s="12">
        <f>'Corp.'!AD$50*(AD$37-(AD31-AD32-AD34)*$C$35)/(SUM('MDA1:NCA9'!AD$37)-SUM('MDA1:NCA9'!AD$31)-SUM('MDA1:NCA9'!AD$32)-SUM('MDA1:NCA9'!AD$34))</f>
        <v>18799.308219130464</v>
      </c>
      <c r="AE49" s="12">
        <f>'Corp.'!AE$50*(AE$37-(AE31-AE32-AE34)*$C$35)/(SUM('MDA1:NCA9'!AE$37)-SUM('MDA1:NCA9'!AE$31)-SUM('MDA1:NCA9'!AE$32)-SUM('MDA1:NCA9'!AE$34))</f>
        <v>22643.848897773343</v>
      </c>
      <c r="AF49" s="12">
        <f>'Corp.'!AF$50*(AF$37-(AF31-AF32-AF34)*$C$35)/(SUM('MDA1:NCA9'!AF$37)-SUM('MDA1:NCA9'!AF$31)-SUM('MDA1:NCA9'!AF$32)-SUM('MDA1:NCA9'!AF$34))</f>
        <v>26388.78016022444</v>
      </c>
      <c r="AG49" s="12">
        <f>'Corp.'!AG$50*(AG$37-(AG31-AG32-AG34)*$C$35)/(SUM('MDA1:NCA9'!AG$37)-SUM('MDA1:NCA9'!AG$31)-SUM('MDA1:NCA9'!AG$32)-SUM('MDA1:NCA9'!AG$34))</f>
        <v>30106.179056143752</v>
      </c>
      <c r="AH49" s="12">
        <f>'Corp.'!AH$50*(AH$37-(AH31-AH32-AH34)*$C$35)/(SUM('MDA1:NCA9'!AH$37)-SUM('MDA1:NCA9'!AH$31)-SUM('MDA1:NCA9'!AH$32)-SUM('MDA1:NCA9'!AH$34))</f>
        <v>33603.104867684415</v>
      </c>
      <c r="AI49" s="12">
        <f>'Corp.'!AI$50*(AI$37-(AI31-AI32-AI34)*$C$35)/(SUM('MDA1:NCA9'!AI$37)-SUM('MDA1:NCA9'!AI$31)-SUM('MDA1:NCA9'!AI$32)-SUM('MDA1:NCA9'!AI$34))</f>
        <v>36955.989724797364</v>
      </c>
      <c r="AJ49" s="12">
        <f>'Corp.'!AJ$50*(AJ$37-(AJ31-AJ32-AJ34)*$C$35)/(SUM('MDA1:NCA9'!AJ$37)-SUM('MDA1:NCA9'!AJ$31)-SUM('MDA1:NCA9'!AJ$32)-SUM('MDA1:NCA9'!AJ$34))</f>
        <v>40160.160114780381</v>
      </c>
      <c r="AK49" s="12">
        <f>'Corp.'!AK$50*(AK$37-(AK31-AK32-AK34)*$C$35)/(SUM('MDA1:NCA9'!AK$37)-SUM('MDA1:NCA9'!AK$31)-SUM('MDA1:NCA9'!AK$32)-SUM('MDA1:NCA9'!AK$34))</f>
        <v>43290.626793677628</v>
      </c>
      <c r="AL49" s="12">
        <f>'Corp.'!AL$50*(AL$37-(AL31-AL32-AL34)*$C$35)/(SUM('MDA1:NCA9'!AL$37)-SUM('MDA1:NCA9'!AL$31)-SUM('MDA1:NCA9'!AL$32)-SUM('MDA1:NCA9'!AL$34))</f>
        <v>46361.045025262298</v>
      </c>
      <c r="AM49" s="12">
        <f>'Corp.'!AM$50*(AM$37-(AM31-AM32-AM34)*$C$35)/(SUM('MDA1:NCA9'!AM$37)-SUM('MDA1:NCA9'!AM$31)-SUM('MDA1:NCA9'!AM$32)-SUM('MDA1:NCA9'!AM$34))</f>
        <v>49261.211721986074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151234.47</v>
      </c>
      <c r="Z50" s="13">
        <v>0</v>
      </c>
      <c r="AA50" s="13">
        <v>95796.449369228445</v>
      </c>
      <c r="AB50" s="13">
        <v>136184.73041553071</v>
      </c>
      <c r="AC50" s="13">
        <v>176722.14907821658</v>
      </c>
      <c r="AD50" s="13">
        <v>206380.88208503972</v>
      </c>
      <c r="AE50" s="13">
        <v>235967.99963949324</v>
      </c>
      <c r="AF50" s="13">
        <v>265801.80955908837</v>
      </c>
      <c r="AG50" s="13">
        <v>295022.32369748491</v>
      </c>
      <c r="AH50" s="13">
        <v>324342.66578483622</v>
      </c>
      <c r="AI50" s="13">
        <v>353450.67709909315</v>
      </c>
      <c r="AJ50" s="13">
        <v>382276.81629822013</v>
      </c>
      <c r="AK50" s="13">
        <v>411363.00398626144</v>
      </c>
      <c r="AL50" s="13">
        <v>440309.15674165665</v>
      </c>
      <c r="AM50" s="13">
        <v>468912.13164752442</v>
      </c>
      <c r="AN50" s="13">
        <v>491018.42280296551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-151234.47</v>
      </c>
      <c r="Z52" s="74">
        <f t="shared" si="0"/>
        <v>0</v>
      </c>
      <c r="AA52" s="74">
        <f t="shared" si="0"/>
        <v>-24702.221764161775</v>
      </c>
      <c r="AB52" s="74">
        <f t="shared" si="0"/>
        <v>-17482.451252064027</v>
      </c>
      <c r="AC52" s="74">
        <f t="shared" si="0"/>
        <v>-10411.818356349919</v>
      </c>
      <c r="AD52" s="74">
        <f t="shared" si="0"/>
        <v>7537.5001952269522</v>
      </c>
      <c r="AE52" s="74">
        <f t="shared" si="0"/>
        <v>25558.434199173411</v>
      </c>
      <c r="AF52" s="74">
        <f t="shared" si="0"/>
        <v>43332.675837978313</v>
      </c>
      <c r="AG52" s="74">
        <f t="shared" si="0"/>
        <v>61720.213257981697</v>
      </c>
      <c r="AH52" s="74">
        <f t="shared" si="0"/>
        <v>80007.922729030484</v>
      </c>
      <c r="AI52" s="74">
        <f t="shared" si="0"/>
        <v>98507.962973173533</v>
      </c>
      <c r="AJ52" s="74">
        <f t="shared" si="0"/>
        <v>117289.87533244648</v>
      </c>
      <c r="AK52" s="74">
        <f t="shared" si="0"/>
        <v>135811.73920280521</v>
      </c>
      <c r="AL52" s="74">
        <f t="shared" si="0"/>
        <v>154473.63800580992</v>
      </c>
      <c r="AM52" s="74">
        <f t="shared" si="0"/>
        <v>173478.71465834207</v>
      </c>
      <c r="AN52" s="74">
        <f t="shared" si="0"/>
        <v>198980.47506130103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>
        <f t="shared" si="1"/>
        <v>-0.3474574884107936</v>
      </c>
      <c r="AB53" s="107">
        <f t="shared" si="1"/>
        <v>-0.14727982794659472</v>
      </c>
      <c r="AC53" s="107">
        <f t="shared" si="1"/>
        <v>-6.2604760096126505E-2</v>
      </c>
      <c r="AD53" s="107">
        <f t="shared" si="1"/>
        <v>3.5235402001832845E-2</v>
      </c>
      <c r="AE53" s="107">
        <f t="shared" si="1"/>
        <v>9.7727919216533898E-2</v>
      </c>
      <c r="AF53" s="107">
        <f t="shared" si="1"/>
        <v>0.14017418917957281</v>
      </c>
      <c r="AG53" s="107">
        <f t="shared" si="1"/>
        <v>0.17301052401745531</v>
      </c>
      <c r="AH53" s="107">
        <f t="shared" si="1"/>
        <v>0.19786770441731832</v>
      </c>
      <c r="AI53" s="107">
        <f t="shared" si="1"/>
        <v>0.21795791525840161</v>
      </c>
      <c r="AJ53" s="107">
        <f t="shared" si="1"/>
        <v>0.23478321773133698</v>
      </c>
      <c r="AK53" s="107">
        <f t="shared" si="1"/>
        <v>0.24820542412330945</v>
      </c>
      <c r="AL53" s="107">
        <f t="shared" si="1"/>
        <v>0.2597143686232492</v>
      </c>
      <c r="AM53" s="107">
        <f t="shared" si="1"/>
        <v>0.27005166038082418</v>
      </c>
      <c r="AN53" s="107">
        <f t="shared" si="1"/>
        <v>0.28837796071442939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235166.66666666666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-65914.901927106621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-386401.13666666666</v>
      </c>
      <c r="Z58" s="13">
        <f t="shared" si="2"/>
        <v>-235166.66666666666</v>
      </c>
      <c r="AA58" s="13">
        <f t="shared" si="2"/>
        <v>-259868.88843082843</v>
      </c>
      <c r="AB58" s="13">
        <f t="shared" si="2"/>
        <v>-252649.11791873068</v>
      </c>
      <c r="AC58" s="13">
        <f t="shared" si="2"/>
        <v>-245578.48502301658</v>
      </c>
      <c r="AD58" s="13">
        <f t="shared" si="2"/>
        <v>-283533.66358198103</v>
      </c>
      <c r="AE58" s="13">
        <f t="shared" si="2"/>
        <v>-34161.064030690577</v>
      </c>
      <c r="AF58" s="13">
        <f t="shared" si="2"/>
        <v>-19249.662480040381</v>
      </c>
      <c r="AG58" s="13">
        <f t="shared" si="2"/>
        <v>-4194.6886691249238</v>
      </c>
      <c r="AH58" s="13">
        <f t="shared" si="2"/>
        <v>10760.457192835776</v>
      </c>
      <c r="AI58" s="13">
        <f t="shared" si="2"/>
        <v>25927.933827890854</v>
      </c>
      <c r="AJ58" s="13">
        <f t="shared" si="2"/>
        <v>78060.910256646486</v>
      </c>
      <c r="AK58" s="13">
        <f t="shared" si="2"/>
        <v>89441.566393245215</v>
      </c>
      <c r="AL58" s="13">
        <f t="shared" si="2"/>
        <v>100962.25746248993</v>
      </c>
      <c r="AM58" s="13">
        <f t="shared" si="2"/>
        <v>112826.12638126206</v>
      </c>
      <c r="AN58" s="13">
        <f t="shared" si="2"/>
        <v>131186.67905046104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-386401.13666666666</v>
      </c>
      <c r="Z59" s="12">
        <v>-621567.80333333334</v>
      </c>
      <c r="AA59" s="12">
        <v>-881436.69176416181</v>
      </c>
      <c r="AB59" s="12">
        <v>-1134085.8096828924</v>
      </c>
      <c r="AC59" s="12">
        <v>-1379664.294705909</v>
      </c>
      <c r="AD59" s="12">
        <v>-1663197.9582878901</v>
      </c>
      <c r="AE59" s="12">
        <v>-1697359.0223185807</v>
      </c>
      <c r="AF59" s="12">
        <v>-1716608.6847986211</v>
      </c>
      <c r="AG59" s="12">
        <v>-1720803.373467746</v>
      </c>
      <c r="AH59" s="12">
        <v>-1710042.9162749101</v>
      </c>
      <c r="AI59" s="12">
        <v>-1684114.9824470193</v>
      </c>
      <c r="AJ59" s="12">
        <v>-1606054.0721903727</v>
      </c>
      <c r="AK59" s="12">
        <v>-1516612.5057971275</v>
      </c>
      <c r="AL59" s="12">
        <v>-1415650.2483346376</v>
      </c>
      <c r="AM59" s="12">
        <v>-1302824.1219533756</v>
      </c>
      <c r="AN59" s="12">
        <v>-1171637.4429029147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2179.0924014745592</v>
      </c>
      <c r="AB63" s="12">
        <v>4358.1848029491184</v>
      </c>
      <c r="AC63" s="12">
        <v>6537.2772044236781</v>
      </c>
      <c r="AD63" s="12">
        <v>8716.3696058982368</v>
      </c>
      <c r="AE63" s="12">
        <v>10895.4620073728</v>
      </c>
      <c r="AF63" s="12">
        <v>13074.554408847356</v>
      </c>
      <c r="AG63" s="12">
        <v>15253.646810321916</v>
      </c>
      <c r="AH63" s="12">
        <v>17432.739211796474</v>
      </c>
      <c r="AI63" s="12">
        <v>19611.831613271035</v>
      </c>
      <c r="AJ63" s="12">
        <v>21790.9240147456</v>
      </c>
      <c r="AK63" s="12">
        <v>23970.016416220154</v>
      </c>
      <c r="AL63" s="12">
        <v>26149.108817694712</v>
      </c>
      <c r="AM63" s="12">
        <v>28328.201219169274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291.17026532352008</v>
      </c>
      <c r="AB64" s="12">
        <v>582.34053064704017</v>
      </c>
      <c r="AC64" s="12">
        <v>873.51079597056014</v>
      </c>
      <c r="AD64" s="12">
        <v>1164.6810612940803</v>
      </c>
      <c r="AE64" s="12">
        <v>1455.8513266176003</v>
      </c>
      <c r="AF64" s="12">
        <v>1747.0215919411203</v>
      </c>
      <c r="AG64" s="12">
        <v>2038.1918572646407</v>
      </c>
      <c r="AH64" s="12">
        <v>2329.3621225881607</v>
      </c>
      <c r="AI64" s="12">
        <v>2620.5323879116804</v>
      </c>
      <c r="AJ64" s="12">
        <v>2911.7026532352006</v>
      </c>
      <c r="AK64" s="12">
        <v>3202.8729185587208</v>
      </c>
      <c r="AL64" s="12">
        <v>3494.0431838822406</v>
      </c>
      <c r="AM64" s="12">
        <v>3785.2134492057612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1770.8074248550399</v>
      </c>
      <c r="AB65" s="12">
        <v>3541.6148497100799</v>
      </c>
      <c r="AC65" s="12">
        <v>5312.4222745651196</v>
      </c>
      <c r="AD65" s="12">
        <v>7083.2296994201597</v>
      </c>
      <c r="AE65" s="12">
        <v>8854.0371242752008</v>
      </c>
      <c r="AF65" s="12">
        <v>10624.844549130239</v>
      </c>
      <c r="AG65" s="12">
        <v>12395.651973985277</v>
      </c>
      <c r="AH65" s="12">
        <v>14166.459398840319</v>
      </c>
      <c r="AI65" s="12">
        <v>15937.266823695358</v>
      </c>
      <c r="AJ65" s="12">
        <v>17708.074248550402</v>
      </c>
      <c r="AK65" s="12">
        <v>19478.881673405438</v>
      </c>
      <c r="AL65" s="12">
        <v>21249.689098260478</v>
      </c>
      <c r="AM65" s="12">
        <v>23020.496523115518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4241.0700916531196</v>
      </c>
      <c r="AB67" s="13">
        <v>8482.1401833062391</v>
      </c>
      <c r="AC67" s="13">
        <v>12723.210274959358</v>
      </c>
      <c r="AD67" s="13">
        <v>16964.280366612478</v>
      </c>
      <c r="AE67" s="13">
        <v>21205.350458265602</v>
      </c>
      <c r="AF67" s="13">
        <v>25446.420549918716</v>
      </c>
      <c r="AG67" s="13">
        <v>29687.490641571832</v>
      </c>
      <c r="AH67" s="13">
        <v>33928.560733224956</v>
      </c>
      <c r="AI67" s="13">
        <v>38169.63082487807</v>
      </c>
      <c r="AJ67" s="13">
        <v>42410.700916531205</v>
      </c>
      <c r="AK67" s="13">
        <v>46651.771008184311</v>
      </c>
      <c r="AL67" s="13">
        <v>50892.841099837431</v>
      </c>
      <c r="AM67" s="13">
        <v>55133.911191490552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1489.7914907369507</v>
      </c>
      <c r="AB72" s="12">
        <v>2979.5829814739013</v>
      </c>
      <c r="AC72" s="12">
        <v>4916.3119194319379</v>
      </c>
      <c r="AD72" s="12">
        <v>6555.0825592425836</v>
      </c>
      <c r="AE72" s="12">
        <v>8193.8531990532283</v>
      </c>
      <c r="AF72" s="12">
        <v>9832.6238388638758</v>
      </c>
      <c r="AG72" s="12">
        <v>28174.234478674523</v>
      </c>
      <c r="AH72" s="12">
        <v>46515.845118485166</v>
      </c>
      <c r="AI72" s="12">
        <v>48154.615758295811</v>
      </c>
      <c r="AJ72" s="12">
        <v>49793.386398106457</v>
      </c>
      <c r="AK72" s="12">
        <v>51432.157037917103</v>
      </c>
      <c r="AL72" s="12">
        <v>53070.927677727756</v>
      </c>
      <c r="AM72" s="12">
        <v>54709.698317538408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2751.2786009161691</v>
      </c>
      <c r="AB75" s="74">
        <v>5502.5572018323383</v>
      </c>
      <c r="AC75" s="74">
        <v>7806.8983555274199</v>
      </c>
      <c r="AD75" s="74">
        <v>10409.197807369896</v>
      </c>
      <c r="AE75" s="74">
        <v>13011.497259212374</v>
      </c>
      <c r="AF75" s="74">
        <v>15613.79671105484</v>
      </c>
      <c r="AG75" s="74">
        <v>1513.256162897309</v>
      </c>
      <c r="AH75" s="74">
        <v>-12587.284385260209</v>
      </c>
      <c r="AI75" s="74">
        <v>-9984.9849334177416</v>
      </c>
      <c r="AJ75" s="74">
        <v>-7382.6854815752522</v>
      </c>
      <c r="AK75" s="74">
        <v>-4780.3860297327919</v>
      </c>
      <c r="AL75" s="74">
        <v>-2178.0865778903244</v>
      </c>
      <c r="AM75" s="74">
        <v>424.21287395214313</v>
      </c>
      <c r="AN75" s="74">
        <v>3026.5123257946179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DA6-FE8C-40C5-B315-85867B99825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75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3</v>
      </c>
      <c r="AC1" s="69">
        <v>6</v>
      </c>
      <c r="AD1" s="69">
        <v>9</v>
      </c>
      <c r="AE1" s="69">
        <v>12</v>
      </c>
      <c r="AF1" s="69">
        <v>15</v>
      </c>
      <c r="AG1" s="69">
        <v>18</v>
      </c>
      <c r="AH1" s="69">
        <v>21</v>
      </c>
      <c r="AI1" s="69">
        <v>24</v>
      </c>
      <c r="AJ1" s="69">
        <v>27</v>
      </c>
      <c r="AK1" s="69">
        <v>30</v>
      </c>
      <c r="AL1" s="69">
        <v>33</v>
      </c>
      <c r="AM1" s="69">
        <v>36</v>
      </c>
      <c r="AN1" s="69">
        <v>39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4.166666666666667</v>
      </c>
      <c r="AJ2" s="69">
        <v>4.333333333333333</v>
      </c>
      <c r="AK2" s="69">
        <v>4.5</v>
      </c>
      <c r="AL2" s="69">
        <v>4.666666666666667</v>
      </c>
      <c r="AM2" s="69">
        <v>4.833333333333333</v>
      </c>
      <c r="AN2" s="69">
        <v>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0.16666666666666666</v>
      </c>
      <c r="AD3" s="69">
        <v>0.33333333333333331</v>
      </c>
      <c r="AE3" s="69">
        <v>0.5</v>
      </c>
      <c r="AF3" s="69">
        <v>0.66666666666666663</v>
      </c>
      <c r="AG3" s="69">
        <v>0.83333333333333337</v>
      </c>
      <c r="AH3" s="69">
        <v>1</v>
      </c>
      <c r="AI3" s="69">
        <v>1.1666666666666667</v>
      </c>
      <c r="AJ3" s="69">
        <v>1.3333333333333333</v>
      </c>
      <c r="AK3" s="69">
        <v>1.5</v>
      </c>
      <c r="AL3" s="69">
        <v>1.6666666666666667</v>
      </c>
      <c r="AM3" s="69">
        <v>1.8333333333333333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3</v>
      </c>
      <c r="AC4" s="69">
        <v>9.1666666666666661</v>
      </c>
      <c r="AD4" s="69">
        <v>12.333333333333334</v>
      </c>
      <c r="AE4" s="69">
        <v>15.5</v>
      </c>
      <c r="AF4" s="69">
        <v>18.666666666666668</v>
      </c>
      <c r="AG4" s="69">
        <v>21.833333333333332</v>
      </c>
      <c r="AH4" s="69">
        <v>25</v>
      </c>
      <c r="AI4" s="69">
        <v>28.166666666666668</v>
      </c>
      <c r="AJ4" s="69">
        <v>31.333333333333332</v>
      </c>
      <c r="AK4" s="69">
        <v>34.5</v>
      </c>
      <c r="AL4" s="69">
        <v>37.666666666666664</v>
      </c>
      <c r="AM4" s="69">
        <v>40.833333333333336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6</v>
      </c>
      <c r="AC6" s="66">
        <v>11</v>
      </c>
      <c r="AD6" s="66">
        <v>15</v>
      </c>
      <c r="AE6" s="66">
        <v>18</v>
      </c>
      <c r="AF6" s="66">
        <v>22</v>
      </c>
      <c r="AG6" s="66">
        <v>26</v>
      </c>
      <c r="AH6" s="66">
        <v>29</v>
      </c>
      <c r="AI6" s="66">
        <v>33</v>
      </c>
      <c r="AJ6" s="66">
        <v>37</v>
      </c>
      <c r="AK6" s="66">
        <v>40</v>
      </c>
      <c r="AL6" s="66">
        <v>44</v>
      </c>
      <c r="AM6" s="66">
        <v>47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2.8299999999999996</v>
      </c>
      <c r="AC7" s="108">
        <v>5.6499999999999995</v>
      </c>
      <c r="AD7" s="108">
        <v>8.48</v>
      </c>
      <c r="AE7" s="108">
        <v>11.299999999999999</v>
      </c>
      <c r="AF7" s="108">
        <v>14.12</v>
      </c>
      <c r="AG7" s="108">
        <v>16.950000000000003</v>
      </c>
      <c r="AH7" s="108">
        <v>19.770000000000003</v>
      </c>
      <c r="AI7" s="108">
        <v>22.59</v>
      </c>
      <c r="AJ7" s="108">
        <v>25.42</v>
      </c>
      <c r="AK7" s="108">
        <v>28.240000000000002</v>
      </c>
      <c r="AL7" s="108">
        <v>31.060000000000002</v>
      </c>
      <c r="AM7" s="108">
        <v>33.89</v>
      </c>
      <c r="AN7" s="108">
        <v>36.71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0.43</v>
      </c>
      <c r="AC8" s="108">
        <v>0.86</v>
      </c>
      <c r="AD8" s="108">
        <v>1.29</v>
      </c>
      <c r="AE8" s="108">
        <v>1.72</v>
      </c>
      <c r="AF8" s="108">
        <v>2.15</v>
      </c>
      <c r="AG8" s="108">
        <v>2.5799999999999996</v>
      </c>
      <c r="AH8" s="108">
        <v>3</v>
      </c>
      <c r="AI8" s="108">
        <v>3.4299999999999997</v>
      </c>
      <c r="AJ8" s="108">
        <v>3.86</v>
      </c>
      <c r="AK8" s="108">
        <v>4.29</v>
      </c>
      <c r="AL8" s="108">
        <v>4.72</v>
      </c>
      <c r="AM8" s="108">
        <v>5.1499999999999995</v>
      </c>
      <c r="AN8" s="108">
        <v>5.58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0.25</v>
      </c>
      <c r="AD12" s="108">
        <v>0.26</v>
      </c>
      <c r="AE12" s="108">
        <v>0.27</v>
      </c>
      <c r="AF12" s="108">
        <v>0.29000000000000004</v>
      </c>
      <c r="AG12" s="108">
        <v>0.3</v>
      </c>
      <c r="AH12" s="108">
        <v>0.31</v>
      </c>
      <c r="AI12" s="108">
        <v>0.33</v>
      </c>
      <c r="AJ12" s="108">
        <v>0.34</v>
      </c>
      <c r="AK12" s="108">
        <v>0.35000000000000003</v>
      </c>
      <c r="AL12" s="108">
        <v>0.36</v>
      </c>
      <c r="AM12" s="108">
        <v>0.38</v>
      </c>
      <c r="AN12" s="108">
        <v>0.39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0.02</v>
      </c>
      <c r="AC13" s="108">
        <v>0.35000000000000003</v>
      </c>
      <c r="AD13" s="108">
        <v>0.39</v>
      </c>
      <c r="AE13" s="108">
        <v>0.42</v>
      </c>
      <c r="AF13" s="108">
        <v>0.45</v>
      </c>
      <c r="AG13" s="108">
        <v>0.49</v>
      </c>
      <c r="AH13" s="108">
        <v>0.52</v>
      </c>
      <c r="AI13" s="108">
        <v>0.55000000000000004</v>
      </c>
      <c r="AJ13" s="108">
        <v>0.59</v>
      </c>
      <c r="AK13" s="108">
        <v>0.62</v>
      </c>
      <c r="AL13" s="108">
        <v>0.65</v>
      </c>
      <c r="AM13" s="108">
        <v>0.69000000000000006</v>
      </c>
      <c r="AN13" s="108">
        <v>0.72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0.02</v>
      </c>
      <c r="AC14" s="108">
        <v>0.2</v>
      </c>
      <c r="AD14" s="108">
        <v>0.22</v>
      </c>
      <c r="AE14" s="108">
        <v>0.25</v>
      </c>
      <c r="AF14" s="108">
        <v>0.27</v>
      </c>
      <c r="AG14" s="108">
        <v>0.3</v>
      </c>
      <c r="AH14" s="108">
        <v>0.32</v>
      </c>
      <c r="AI14" s="108">
        <v>0.35000000000000003</v>
      </c>
      <c r="AJ14" s="108">
        <v>0.37</v>
      </c>
      <c r="AK14" s="108">
        <v>0.39</v>
      </c>
      <c r="AL14" s="108">
        <v>0.42</v>
      </c>
      <c r="AM14" s="108">
        <v>0.44</v>
      </c>
      <c r="AN14" s="108">
        <v>0.47000000000000003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0.02</v>
      </c>
      <c r="AC15" s="108">
        <v>0.03</v>
      </c>
      <c r="AD15" s="108">
        <v>0.04</v>
      </c>
      <c r="AE15" s="108">
        <v>0.05</v>
      </c>
      <c r="AF15" s="108">
        <v>0.06</v>
      </c>
      <c r="AG15" s="108">
        <v>0.08</v>
      </c>
      <c r="AH15" s="108">
        <v>0.09</v>
      </c>
      <c r="AI15" s="108">
        <v>9.9999999999999992E-2</v>
      </c>
      <c r="AJ15" s="108">
        <v>0.11</v>
      </c>
      <c r="AK15" s="108">
        <v>0.12</v>
      </c>
      <c r="AL15" s="108">
        <v>0.14000000000000001</v>
      </c>
      <c r="AM15" s="108">
        <v>0.15000000000000002</v>
      </c>
      <c r="AN15" s="108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0.02</v>
      </c>
      <c r="AC16" s="108">
        <v>0.03</v>
      </c>
      <c r="AD16" s="108">
        <v>0.04</v>
      </c>
      <c r="AE16" s="108">
        <v>0.05</v>
      </c>
      <c r="AF16" s="108">
        <v>0.06</v>
      </c>
      <c r="AG16" s="108">
        <v>0.08</v>
      </c>
      <c r="AH16" s="108">
        <v>0.09</v>
      </c>
      <c r="AI16" s="108">
        <v>9.9999999999999992E-2</v>
      </c>
      <c r="AJ16" s="108">
        <v>0.11</v>
      </c>
      <c r="AK16" s="108">
        <v>0.12</v>
      </c>
      <c r="AL16" s="108">
        <v>0.14000000000000001</v>
      </c>
      <c r="AM16" s="108">
        <v>0.15000000000000002</v>
      </c>
      <c r="AN16" s="108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0.3</v>
      </c>
      <c r="AC17" s="108">
        <v>0.6</v>
      </c>
      <c r="AD17" s="108">
        <v>0.9</v>
      </c>
      <c r="AE17" s="108">
        <v>1.2</v>
      </c>
      <c r="AF17" s="108">
        <v>1.5</v>
      </c>
      <c r="AG17" s="108">
        <v>1.8</v>
      </c>
      <c r="AH17" s="108">
        <v>2.1</v>
      </c>
      <c r="AI17" s="108">
        <v>2.4</v>
      </c>
      <c r="AJ17" s="108">
        <v>2.7</v>
      </c>
      <c r="AK17" s="108">
        <v>3</v>
      </c>
      <c r="AL17" s="108">
        <v>3.3</v>
      </c>
      <c r="AM17" s="108">
        <v>3.6</v>
      </c>
      <c r="AN17" s="108">
        <v>3.9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3</v>
      </c>
      <c r="AC21" s="120">
        <v>7</v>
      </c>
      <c r="AD21" s="120">
        <v>10</v>
      </c>
      <c r="AE21" s="120">
        <v>13</v>
      </c>
      <c r="AF21" s="120">
        <v>16</v>
      </c>
      <c r="AG21" s="120">
        <v>20</v>
      </c>
      <c r="AH21" s="120">
        <v>23</v>
      </c>
      <c r="AI21" s="120">
        <v>26</v>
      </c>
      <c r="AJ21" s="120">
        <v>29</v>
      </c>
      <c r="AK21" s="120">
        <v>33</v>
      </c>
      <c r="AL21" s="120">
        <v>36</v>
      </c>
      <c r="AM21" s="120">
        <v>39</v>
      </c>
      <c r="AN21" s="120">
        <v>42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170.02883240223466</v>
      </c>
      <c r="AH22" s="78">
        <v>170.02883240223463</v>
      </c>
      <c r="AI22" s="78">
        <v>170.02883240223466</v>
      </c>
      <c r="AJ22" s="78">
        <v>170.02883240223468</v>
      </c>
      <c r="AK22" s="78">
        <v>170.02883240223466</v>
      </c>
      <c r="AL22" s="78">
        <v>170.02883240223468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315.03999999999996</v>
      </c>
      <c r="AC23" s="52">
        <v>630.07999999999993</v>
      </c>
      <c r="AD23" s="52">
        <v>945.11999999999989</v>
      </c>
      <c r="AE23" s="52">
        <v>1260.1599999999999</v>
      </c>
      <c r="AF23" s="52">
        <v>1575.1999999999996</v>
      </c>
      <c r="AG23" s="52">
        <v>1890.2399999999998</v>
      </c>
      <c r="AH23" s="52">
        <v>2205.2799999999997</v>
      </c>
      <c r="AI23" s="52">
        <v>2520.3199999999997</v>
      </c>
      <c r="AJ23" s="52">
        <v>2835.3599999999992</v>
      </c>
      <c r="AK23" s="52">
        <v>3150.3999999999992</v>
      </c>
      <c r="AL23" s="52">
        <v>3465.4399999999996</v>
      </c>
      <c r="AM23" s="52">
        <v>3780.4799999999996</v>
      </c>
      <c r="AN23" s="52">
        <v>4095.5199999999995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46796.978800000004</v>
      </c>
      <c r="AC26" s="12">
        <v>93593.957600000009</v>
      </c>
      <c r="AD26" s="12">
        <v>140390.93640000001</v>
      </c>
      <c r="AE26" s="12">
        <v>187187.91520000002</v>
      </c>
      <c r="AF26" s="12">
        <v>233984.89399999997</v>
      </c>
      <c r="AG26" s="12">
        <v>280781.87280000001</v>
      </c>
      <c r="AH26" s="12">
        <v>327578.85159999994</v>
      </c>
      <c r="AI26" s="12">
        <v>374375.83040000004</v>
      </c>
      <c r="AJ26" s="12">
        <v>421172.80919999996</v>
      </c>
      <c r="AK26" s="12">
        <v>467969.78799999994</v>
      </c>
      <c r="AL26" s="12">
        <v>514766.76679999998</v>
      </c>
      <c r="AM26" s="12">
        <v>561563.74560000002</v>
      </c>
      <c r="AN26" s="12">
        <v>608360.72439999995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2743.8788</v>
      </c>
      <c r="AC27" s="12">
        <v>5487.7575999999999</v>
      </c>
      <c r="AD27" s="12">
        <v>8231.6363999999994</v>
      </c>
      <c r="AE27" s="12">
        <v>10975.5152</v>
      </c>
      <c r="AF27" s="12">
        <v>13719.393999999998</v>
      </c>
      <c r="AG27" s="12">
        <v>16463.272799999999</v>
      </c>
      <c r="AH27" s="12">
        <v>19207.151600000001</v>
      </c>
      <c r="AI27" s="12">
        <v>21951.0304</v>
      </c>
      <c r="AJ27" s="12">
        <v>24694.909199999995</v>
      </c>
      <c r="AK27" s="12">
        <v>27438.787999999997</v>
      </c>
      <c r="AL27" s="12">
        <v>30182.666799999999</v>
      </c>
      <c r="AM27" s="12">
        <v>32926.545599999998</v>
      </c>
      <c r="AN27" s="12">
        <v>35670.424399999996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6521.1174599999977</v>
      </c>
      <c r="AC28" s="12">
        <v>13042.234919999995</v>
      </c>
      <c r="AD28" s="12">
        <v>19563.352379999993</v>
      </c>
      <c r="AE28" s="12">
        <v>26084.469839999991</v>
      </c>
      <c r="AF28" s="12">
        <v>32605.587299999992</v>
      </c>
      <c r="AG28" s="12">
        <v>39126.704759999986</v>
      </c>
      <c r="AH28" s="12">
        <v>45647.822219999987</v>
      </c>
      <c r="AI28" s="12">
        <v>52168.939679999981</v>
      </c>
      <c r="AJ28" s="12">
        <v>58690.057139999983</v>
      </c>
      <c r="AK28" s="12">
        <v>65211.174599999984</v>
      </c>
      <c r="AL28" s="12">
        <v>71732.292059999978</v>
      </c>
      <c r="AM28" s="12">
        <v>78253.409519999972</v>
      </c>
      <c r="AN28" s="12">
        <v>84774.526979999995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501.62441999999999</v>
      </c>
      <c r="AC29" s="12">
        <v>1003.24884</v>
      </c>
      <c r="AD29" s="12">
        <v>1504.8732600000001</v>
      </c>
      <c r="AE29" s="12">
        <v>2006.4976799999999</v>
      </c>
      <c r="AF29" s="12">
        <v>2508.1221</v>
      </c>
      <c r="AG29" s="12">
        <v>3009.7465200000001</v>
      </c>
      <c r="AH29" s="12">
        <v>3511.3709400000002</v>
      </c>
      <c r="AI29" s="12">
        <v>4012.9953599999999</v>
      </c>
      <c r="AJ29" s="12">
        <v>4514.61978</v>
      </c>
      <c r="AK29" s="12">
        <v>5016.2442000000001</v>
      </c>
      <c r="AL29" s="12">
        <v>5517.8686199999993</v>
      </c>
      <c r="AM29" s="12">
        <v>6019.4930400000003</v>
      </c>
      <c r="AN29" s="12">
        <v>6521.1174600000013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654.50319999999988</v>
      </c>
      <c r="AC30" s="12">
        <v>1309.0063999999998</v>
      </c>
      <c r="AD30" s="12">
        <v>1963.5095999999999</v>
      </c>
      <c r="AE30" s="12">
        <v>2618.0127999999995</v>
      </c>
      <c r="AF30" s="12">
        <v>3272.5159999999996</v>
      </c>
      <c r="AG30" s="12">
        <v>3927.0191999999997</v>
      </c>
      <c r="AH30" s="12">
        <v>4581.5223999999998</v>
      </c>
      <c r="AI30" s="12">
        <v>5236.025599999999</v>
      </c>
      <c r="AJ30" s="12">
        <v>5890.5288</v>
      </c>
      <c r="AK30" s="12">
        <v>6545.0319999999992</v>
      </c>
      <c r="AL30" s="12">
        <v>7199.5351999999993</v>
      </c>
      <c r="AM30" s="12">
        <v>7854.0383999999995</v>
      </c>
      <c r="AN30" s="12">
        <v>8508.5416000000005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-10068.832691599999</v>
      </c>
      <c r="AC35" s="12">
        <v>-16935.005013199996</v>
      </c>
      <c r="AD35" s="12">
        <v>-23801.177334799995</v>
      </c>
      <c r="AE35" s="12">
        <v>-30667.349656399994</v>
      </c>
      <c r="AF35" s="12">
        <v>-37533.521977999997</v>
      </c>
      <c r="AG35" s="12">
        <v>-44399.694299599993</v>
      </c>
      <c r="AH35" s="12">
        <v>-51265.866621199988</v>
      </c>
      <c r="AI35" s="12">
        <v>-58132.038942799998</v>
      </c>
      <c r="AJ35" s="12">
        <v>-64998.211264399994</v>
      </c>
      <c r="AK35" s="12">
        <v>-71864.383585999982</v>
      </c>
      <c r="AL35" s="12">
        <v>-78730.555907599992</v>
      </c>
      <c r="AM35" s="12">
        <v>-85596.728229199987</v>
      </c>
      <c r="AN35" s="12">
        <v>-92462.900550799983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71094.22760506667</v>
      </c>
      <c r="AC37" s="13">
        <v>118702.27916346668</v>
      </c>
      <c r="AD37" s="13">
        <v>166310.33072186666</v>
      </c>
      <c r="AE37" s="13">
        <v>213918.38228026667</v>
      </c>
      <c r="AF37" s="13">
        <v>261526.43383866665</v>
      </c>
      <c r="AG37" s="13">
        <v>309134.48539706669</v>
      </c>
      <c r="AH37" s="13">
        <v>356742.53695546661</v>
      </c>
      <c r="AI37" s="13">
        <v>404350.58851386671</v>
      </c>
      <c r="AJ37" s="13">
        <v>451958.64007226669</v>
      </c>
      <c r="AK37" s="13">
        <v>499566.69163066661</v>
      </c>
      <c r="AL37" s="13">
        <v>547174.74318906665</v>
      </c>
      <c r="AM37" s="13">
        <v>594782.79474746657</v>
      </c>
      <c r="AN37" s="13">
        <v>642390.84630586649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47974.288916403617</v>
      </c>
      <c r="AC40" s="12">
        <v>90050.480101421301</v>
      </c>
      <c r="AD40" s="12">
        <v>113599.24590946527</v>
      </c>
      <c r="AE40" s="12">
        <v>137099.33486950924</v>
      </c>
      <c r="AF40" s="12">
        <v>160639.19249621988</v>
      </c>
      <c r="AG40" s="12">
        <v>184510.78630426392</v>
      </c>
      <c r="AH40" s="12">
        <v>207818.46509764122</v>
      </c>
      <c r="AI40" s="12">
        <v>231435.52072435187</v>
      </c>
      <c r="AJ40" s="12">
        <v>254984.28653239587</v>
      </c>
      <c r="AK40" s="12">
        <v>278407.17749243981</v>
      </c>
      <c r="AL40" s="12">
        <v>302152.89645248384</v>
      </c>
      <c r="AM40" s="12">
        <v>325818.6289271944</v>
      </c>
      <c r="AN40" s="12">
        <v>349318.71788723842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378.451008</v>
      </c>
      <c r="AC44" s="12">
        <v>1042.2821094400001</v>
      </c>
      <c r="AD44" s="12">
        <v>1075.0811968000003</v>
      </c>
      <c r="AE44" s="12">
        <v>1107.88028416</v>
      </c>
      <c r="AF44" s="12">
        <v>1140.6793715200004</v>
      </c>
      <c r="AG44" s="12">
        <v>1184.4114880000002</v>
      </c>
      <c r="AH44" s="12">
        <v>1213.5662323200002</v>
      </c>
      <c r="AI44" s="12">
        <v>1250.0096627200003</v>
      </c>
      <c r="AJ44" s="12">
        <v>1282.80875008</v>
      </c>
      <c r="AK44" s="12">
        <v>1311.9634944000004</v>
      </c>
      <c r="AL44" s="12">
        <v>1352.0512678400003</v>
      </c>
      <c r="AM44" s="12">
        <v>1388.4946982400002</v>
      </c>
      <c r="AN44" s="12">
        <v>1421.2937856000005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3604.6799999999994</v>
      </c>
      <c r="AC46" s="12">
        <v>5617.639799999999</v>
      </c>
      <c r="AD46" s="12">
        <v>6946.7507999999998</v>
      </c>
      <c r="AE46" s="12">
        <v>8272.2203999999983</v>
      </c>
      <c r="AF46" s="12">
        <v>9597.6899999999969</v>
      </c>
      <c r="AG46" s="12">
        <v>10937.725199999999</v>
      </c>
      <c r="AH46" s="12">
        <v>12255.912</v>
      </c>
      <c r="AI46" s="12">
        <v>13585.022999999999</v>
      </c>
      <c r="AJ46" s="12">
        <v>14914.133999999998</v>
      </c>
      <c r="AK46" s="12">
        <v>16235.962199999998</v>
      </c>
      <c r="AL46" s="12">
        <v>17568.714599999999</v>
      </c>
      <c r="AM46" s="12">
        <v>18901.467000000001</v>
      </c>
      <c r="AN46" s="12">
        <v>20226.936599999997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151234.47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5863.6148659405653</v>
      </c>
      <c r="AC49" s="12">
        <f>'Corp.'!AC$50*(AC$37-(AC31-AC32-AC34)*$C$35)/(SUM('MDA1:NCA9'!AC$37)-SUM('MDA1:NCA9'!AC$31)-SUM('MDA1:NCA9'!AC$32)-SUM('MDA1:NCA9'!AC$34))</f>
        <v>10594.311459641771</v>
      </c>
      <c r="AD49" s="12">
        <f>'Corp.'!AD$50*(AD$37-(AD31-AD32-AD34)*$C$35)/(SUM('MDA1:NCA9'!AD$37)-SUM('MDA1:NCA9'!AD$31)-SUM('MDA1:NCA9'!AD$32)-SUM('MDA1:NCA9'!AD$34))</f>
        <v>14615.476865235747</v>
      </c>
      <c r="AE49" s="12">
        <f>'Corp.'!AE$50*(AE$37-(AE31-AE32-AE34)*$C$35)/(SUM('MDA1:NCA9'!AE$37)-SUM('MDA1:NCA9'!AE$31)-SUM('MDA1:NCA9'!AE$32)-SUM('MDA1:NCA9'!AE$34))</f>
        <v>18521.781732391362</v>
      </c>
      <c r="AF49" s="12">
        <f>'Corp.'!AF$50*(AF$37-(AF31-AF32-AF34)*$C$35)/(SUM('MDA1:NCA9'!AF$37)-SUM('MDA1:NCA9'!AF$31)-SUM('MDA1:NCA9'!AF$32)-SUM('MDA1:NCA9'!AF$34))</f>
        <v>22324.793559643222</v>
      </c>
      <c r="AG49" s="12">
        <f>'Corp.'!AG$50*(AG$37-(AG31-AG32-AG34)*$C$35)/(SUM('MDA1:NCA9'!AG$37)-SUM('MDA1:NCA9'!AG$31)-SUM('MDA1:NCA9'!AG$32)-SUM('MDA1:NCA9'!AG$34))</f>
        <v>26088.445323117583</v>
      </c>
      <c r="AH49" s="12">
        <f>'Corp.'!AH$50*(AH$37-(AH31-AH32-AH34)*$C$35)/(SUM('MDA1:NCA9'!AH$37)-SUM('MDA1:NCA9'!AH$31)-SUM('MDA1:NCA9'!AH$32)-SUM('MDA1:NCA9'!AH$34))</f>
        <v>29646.690818819538</v>
      </c>
      <c r="AI49" s="12">
        <f>'Corp.'!AI$50*(AI$37-(AI31-AI32-AI34)*$C$35)/(SUM('MDA1:NCA9'!AI$37)-SUM('MDA1:NCA9'!AI$31)-SUM('MDA1:NCA9'!AI$32)-SUM('MDA1:NCA9'!AI$34))</f>
        <v>33063.14974296069</v>
      </c>
      <c r="AJ49" s="12">
        <f>'Corp.'!AJ$50*(AJ$37-(AJ31-AJ32-AJ34)*$C$35)/(SUM('MDA1:NCA9'!AJ$37)-SUM('MDA1:NCA9'!AJ$31)-SUM('MDA1:NCA9'!AJ$32)-SUM('MDA1:NCA9'!AJ$34))</f>
        <v>36332.949443273923</v>
      </c>
      <c r="AK49" s="12">
        <f>'Corp.'!AK$50*(AK$37-(AK31-AK32-AK34)*$C$35)/(SUM('MDA1:NCA9'!AK$37)-SUM('MDA1:NCA9'!AK$31)-SUM('MDA1:NCA9'!AK$32)-SUM('MDA1:NCA9'!AK$34))</f>
        <v>39524.037750519397</v>
      </c>
      <c r="AL49" s="12">
        <f>'Corp.'!AL$50*(AL$37-(AL31-AL32-AL34)*$C$35)/(SUM('MDA1:NCA9'!AL$37)-SUM('MDA1:NCA9'!AL$31)-SUM('MDA1:NCA9'!AL$32)-SUM('MDA1:NCA9'!AL$34))</f>
        <v>42650.179409519151</v>
      </c>
      <c r="AM49" s="12">
        <f>'Corp.'!AM$50*(AM$37-(AM31-AM32-AM34)*$C$35)/(SUM('MDA1:NCA9'!AM$37)-SUM('MDA1:NCA9'!AM$31)-SUM('MDA1:NCA9'!AM$32)-SUM('MDA1:NCA9'!AM$34))</f>
        <v>45610.427591147272</v>
      </c>
      <c r="AN49" s="12">
        <f>'Corp.'!AN$50*(AN$37-(AN31-AN32-AN34)*$C$35)/(SUM('MDA1:NCA9'!AN$37)-SUM('MDA1:NCA9'!AN$31)-SUM('MDA1:NCA9'!AN$32)-SUM('MDA1:NCA9'!AN$34))</f>
        <v>48571.227284561217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151234.47</v>
      </c>
      <c r="AA50" s="13">
        <v>0</v>
      </c>
      <c r="AB50" s="13">
        <v>94870.583782344169</v>
      </c>
      <c r="AC50" s="13">
        <v>144963.45136106308</v>
      </c>
      <c r="AD50" s="13">
        <v>173862.49357470105</v>
      </c>
      <c r="AE50" s="13">
        <v>202594.35700190061</v>
      </c>
      <c r="AF50" s="13">
        <v>231262.69605586311</v>
      </c>
      <c r="AG50" s="13">
        <v>260237.9768273815</v>
      </c>
      <c r="AH50" s="13">
        <v>288422.08791646082</v>
      </c>
      <c r="AI50" s="13">
        <v>316784.71346731257</v>
      </c>
      <c r="AJ50" s="13">
        <v>344932.38997566979</v>
      </c>
      <c r="AK50" s="13">
        <v>372868.19744295918</v>
      </c>
      <c r="AL50" s="13">
        <v>401072.81046200293</v>
      </c>
      <c r="AM50" s="13">
        <v>429031.54351834161</v>
      </c>
      <c r="AN50" s="13">
        <v>456817.9017717996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-151234.47</v>
      </c>
      <c r="AA52" s="74">
        <f t="shared" si="0"/>
        <v>0</v>
      </c>
      <c r="AB52" s="74">
        <f t="shared" si="0"/>
        <v>-23776.356177277499</v>
      </c>
      <c r="AC52" s="74">
        <f t="shared" si="0"/>
        <v>-26261.172197596403</v>
      </c>
      <c r="AD52" s="74">
        <f t="shared" si="0"/>
        <v>-7552.1628528343863</v>
      </c>
      <c r="AE52" s="74">
        <f t="shared" si="0"/>
        <v>11324.025278366054</v>
      </c>
      <c r="AF52" s="74">
        <f t="shared" si="0"/>
        <v>30263.737782803539</v>
      </c>
      <c r="AG52" s="74">
        <f t="shared" si="0"/>
        <v>48896.508569685189</v>
      </c>
      <c r="AH52" s="74">
        <f t="shared" si="0"/>
        <v>68320.449039005791</v>
      </c>
      <c r="AI52" s="74">
        <f t="shared" si="0"/>
        <v>87565.875046554138</v>
      </c>
      <c r="AJ52" s="74">
        <f t="shared" si="0"/>
        <v>107026.25009659689</v>
      </c>
      <c r="AK52" s="74">
        <f t="shared" si="0"/>
        <v>126698.49418770743</v>
      </c>
      <c r="AL52" s="74">
        <f t="shared" si="0"/>
        <v>146101.93272706371</v>
      </c>
      <c r="AM52" s="74">
        <f t="shared" si="0"/>
        <v>165751.25122912496</v>
      </c>
      <c r="AN52" s="74">
        <f t="shared" si="0"/>
        <v>185572.94453406689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>
        <f t="shared" si="1"/>
        <v>-0.33443441160028908</v>
      </c>
      <c r="AC53" s="107">
        <f t="shared" si="1"/>
        <v>-0.22123561891707025</v>
      </c>
      <c r="AD53" s="107">
        <f t="shared" si="1"/>
        <v>-4.5410064546528017E-2</v>
      </c>
      <c r="AE53" s="107">
        <f t="shared" si="1"/>
        <v>5.2936195373475679E-2</v>
      </c>
      <c r="AF53" s="107">
        <f t="shared" si="1"/>
        <v>0.11571961326659994</v>
      </c>
      <c r="AG53" s="107">
        <f t="shared" si="1"/>
        <v>0.15817228707719311</v>
      </c>
      <c r="AH53" s="107">
        <f t="shared" si="1"/>
        <v>0.19151192235742401</v>
      </c>
      <c r="AI53" s="107">
        <f t="shared" si="1"/>
        <v>0.21655928675259284</v>
      </c>
      <c r="AJ53" s="107">
        <f t="shared" si="1"/>
        <v>0.23680540785653251</v>
      </c>
      <c r="AK53" s="107">
        <f t="shared" si="1"/>
        <v>0.25361677691950002</v>
      </c>
      <c r="AL53" s="107">
        <f t="shared" si="1"/>
        <v>0.26701147036785056</v>
      </c>
      <c r="AM53" s="107">
        <f t="shared" si="1"/>
        <v>0.2786752621173243</v>
      </c>
      <c r="AN53" s="107">
        <f t="shared" si="1"/>
        <v>0.28887856295154712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235166.66666666666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-65914.901927106621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-386401.13666666666</v>
      </c>
      <c r="AA58" s="13">
        <f t="shared" si="2"/>
        <v>-235166.66666666666</v>
      </c>
      <c r="AB58" s="13">
        <f t="shared" si="2"/>
        <v>-258943.02284394414</v>
      </c>
      <c r="AC58" s="13">
        <f t="shared" si="2"/>
        <v>-261427.83886426306</v>
      </c>
      <c r="AD58" s="13">
        <f t="shared" si="2"/>
        <v>-242718.82951950104</v>
      </c>
      <c r="AE58" s="13">
        <f t="shared" si="2"/>
        <v>-279747.13849884196</v>
      </c>
      <c r="AF58" s="13">
        <f t="shared" si="2"/>
        <v>-29455.760447060449</v>
      </c>
      <c r="AG58" s="13">
        <f t="shared" si="2"/>
        <v>-13685.829748333505</v>
      </c>
      <c r="AH58" s="13">
        <f t="shared" si="2"/>
        <v>2405.54711189917</v>
      </c>
      <c r="AI58" s="13">
        <f t="shared" si="2"/>
        <v>18318.40951035943</v>
      </c>
      <c r="AJ58" s="13">
        <f t="shared" si="2"/>
        <v>34446.220951314215</v>
      </c>
      <c r="AK58" s="13">
        <f t="shared" si="2"/>
        <v>87469.529111907439</v>
      </c>
      <c r="AL58" s="13">
        <f t="shared" si="2"/>
        <v>99731.759917503718</v>
      </c>
      <c r="AM58" s="13">
        <f t="shared" si="2"/>
        <v>112239.87068580497</v>
      </c>
      <c r="AN58" s="13">
        <f t="shared" si="2"/>
        <v>124920.35625698688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-386401.13666666666</v>
      </c>
      <c r="AA59" s="12">
        <v>-621567.80333333334</v>
      </c>
      <c r="AB59" s="12">
        <v>-880510.82617727749</v>
      </c>
      <c r="AC59" s="12">
        <v>-1141938.6650415405</v>
      </c>
      <c r="AD59" s="12">
        <v>-1384657.4945610415</v>
      </c>
      <c r="AE59" s="12">
        <v>-1664404.6330598835</v>
      </c>
      <c r="AF59" s="12">
        <v>-1693860.3935069439</v>
      </c>
      <c r="AG59" s="12">
        <v>-1707546.2232552774</v>
      </c>
      <c r="AH59" s="12">
        <v>-1705140.6761433783</v>
      </c>
      <c r="AI59" s="12">
        <v>-1686822.2666330189</v>
      </c>
      <c r="AJ59" s="12">
        <v>-1652376.0456817045</v>
      </c>
      <c r="AK59" s="12">
        <v>-1564906.5165697972</v>
      </c>
      <c r="AL59" s="12">
        <v>-1465174.7566522935</v>
      </c>
      <c r="AM59" s="12">
        <v>-1352934.8859664886</v>
      </c>
      <c r="AN59" s="12">
        <v>-1228014.5297095017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2179.0924014745592</v>
      </c>
      <c r="AC63" s="12">
        <v>4358.1848029491184</v>
      </c>
      <c r="AD63" s="12">
        <v>6537.2772044236781</v>
      </c>
      <c r="AE63" s="12">
        <v>8716.3696058982368</v>
      </c>
      <c r="AF63" s="12">
        <v>10895.4620073728</v>
      </c>
      <c r="AG63" s="12">
        <v>13074.554408847356</v>
      </c>
      <c r="AH63" s="12">
        <v>15253.646810321916</v>
      </c>
      <c r="AI63" s="12">
        <v>17432.739211796474</v>
      </c>
      <c r="AJ63" s="12">
        <v>19611.831613271035</v>
      </c>
      <c r="AK63" s="12">
        <v>21790.9240147456</v>
      </c>
      <c r="AL63" s="12">
        <v>23970.016416220154</v>
      </c>
      <c r="AM63" s="12">
        <v>26149.108817694712</v>
      </c>
      <c r="AN63" s="12">
        <v>28328.201219169274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291.17026532352008</v>
      </c>
      <c r="AC64" s="12">
        <v>582.34053064704017</v>
      </c>
      <c r="AD64" s="12">
        <v>873.51079597056014</v>
      </c>
      <c r="AE64" s="12">
        <v>1164.6810612940803</v>
      </c>
      <c r="AF64" s="12">
        <v>1455.8513266176003</v>
      </c>
      <c r="AG64" s="12">
        <v>1747.0215919411203</v>
      </c>
      <c r="AH64" s="12">
        <v>2038.1918572646407</v>
      </c>
      <c r="AI64" s="12">
        <v>2329.3621225881607</v>
      </c>
      <c r="AJ64" s="12">
        <v>2620.5323879116804</v>
      </c>
      <c r="AK64" s="12">
        <v>2911.7026532352006</v>
      </c>
      <c r="AL64" s="12">
        <v>3202.8729185587208</v>
      </c>
      <c r="AM64" s="12">
        <v>3494.0431838822406</v>
      </c>
      <c r="AN64" s="12">
        <v>3785.2134492057612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1770.8074248550399</v>
      </c>
      <c r="AC65" s="12">
        <v>3541.6148497100799</v>
      </c>
      <c r="AD65" s="12">
        <v>5312.4222745651196</v>
      </c>
      <c r="AE65" s="12">
        <v>7083.2296994201597</v>
      </c>
      <c r="AF65" s="12">
        <v>8854.0371242752008</v>
      </c>
      <c r="AG65" s="12">
        <v>10624.844549130239</v>
      </c>
      <c r="AH65" s="12">
        <v>12395.651973985277</v>
      </c>
      <c r="AI65" s="12">
        <v>14166.459398840319</v>
      </c>
      <c r="AJ65" s="12">
        <v>15937.266823695358</v>
      </c>
      <c r="AK65" s="12">
        <v>17708.074248550402</v>
      </c>
      <c r="AL65" s="12">
        <v>19478.881673405438</v>
      </c>
      <c r="AM65" s="12">
        <v>21249.689098260478</v>
      </c>
      <c r="AN65" s="12">
        <v>23020.496523115518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4241.0700916531196</v>
      </c>
      <c r="AC67" s="13">
        <v>8482.1401833062391</v>
      </c>
      <c r="AD67" s="13">
        <v>12723.210274959358</v>
      </c>
      <c r="AE67" s="13">
        <v>16964.280366612478</v>
      </c>
      <c r="AF67" s="13">
        <v>21205.350458265602</v>
      </c>
      <c r="AG67" s="13">
        <v>25446.420549918716</v>
      </c>
      <c r="AH67" s="13">
        <v>29687.490641571832</v>
      </c>
      <c r="AI67" s="13">
        <v>33928.560733224956</v>
      </c>
      <c r="AJ67" s="13">
        <v>38169.63082487807</v>
      </c>
      <c r="AK67" s="13">
        <v>42410.700916531205</v>
      </c>
      <c r="AL67" s="13">
        <v>46651.771008184311</v>
      </c>
      <c r="AM67" s="13">
        <v>50892.841099837431</v>
      </c>
      <c r="AN67" s="13">
        <v>55133.911191490552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692.29180973695384</v>
      </c>
      <c r="AC72" s="12">
        <v>1523.0419814212987</v>
      </c>
      <c r="AD72" s="12">
        <v>2284.5629721319478</v>
      </c>
      <c r="AE72" s="12">
        <v>3046.0839628425974</v>
      </c>
      <c r="AF72" s="12">
        <v>3807.604953553247</v>
      </c>
      <c r="AG72" s="12">
        <v>4569.1259442638957</v>
      </c>
      <c r="AH72" s="12">
        <v>22033.486934974546</v>
      </c>
      <c r="AI72" s="12">
        <v>39497.847925685193</v>
      </c>
      <c r="AJ72" s="12">
        <v>40259.368916395848</v>
      </c>
      <c r="AK72" s="12">
        <v>41020.889907106495</v>
      </c>
      <c r="AL72" s="12">
        <v>41782.410897817143</v>
      </c>
      <c r="AM72" s="12">
        <v>42543.93188852779</v>
      </c>
      <c r="AN72" s="12">
        <v>43305.452879238444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3548.7782819161657</v>
      </c>
      <c r="AC75" s="74">
        <v>6959.0982018849409</v>
      </c>
      <c r="AD75" s="74">
        <v>10438.64730282741</v>
      </c>
      <c r="AE75" s="74">
        <v>13918.196403769882</v>
      </c>
      <c r="AF75" s="74">
        <v>17397.745504712355</v>
      </c>
      <c r="AG75" s="74">
        <v>20877.294605654821</v>
      </c>
      <c r="AH75" s="74">
        <v>7654.0037065972865</v>
      </c>
      <c r="AI75" s="74">
        <v>-5569.2871924602368</v>
      </c>
      <c r="AJ75" s="74">
        <v>-2089.7380915177782</v>
      </c>
      <c r="AK75" s="74">
        <v>1389.8110094247095</v>
      </c>
      <c r="AL75" s="74">
        <v>4869.3601103671681</v>
      </c>
      <c r="AM75" s="74">
        <v>8348.9092113096413</v>
      </c>
      <c r="AN75" s="74">
        <v>11828.458312252107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9F99-E092-47BB-9131-050926FD9B6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75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1</v>
      </c>
      <c r="AF1" s="69">
        <v>3</v>
      </c>
      <c r="AG1" s="69">
        <v>5</v>
      </c>
      <c r="AH1" s="69">
        <v>6</v>
      </c>
      <c r="AI1" s="69">
        <v>8</v>
      </c>
      <c r="AJ1" s="69">
        <v>10</v>
      </c>
      <c r="AK1" s="69">
        <v>12</v>
      </c>
      <c r="AL1" s="69">
        <v>13</v>
      </c>
      <c r="AM1" s="69">
        <v>15</v>
      </c>
      <c r="AN1" s="69">
        <v>17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1.8809523809523809</v>
      </c>
      <c r="AG2" s="69">
        <v>2.0476190476190474</v>
      </c>
      <c r="AH2" s="69">
        <v>2.2142857142857144</v>
      </c>
      <c r="AI2" s="69">
        <v>2.3809523809523809</v>
      </c>
      <c r="AJ2" s="69">
        <v>2.5476190476190474</v>
      </c>
      <c r="AK2" s="69">
        <v>2.7142857142857144</v>
      </c>
      <c r="AL2" s="69">
        <v>2.8809523809523809</v>
      </c>
      <c r="AM2" s="69">
        <v>3.0476190476190474</v>
      </c>
      <c r="AN2" s="69">
        <v>3.2142857142857144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0.16666666666666666</v>
      </c>
      <c r="AG3" s="69">
        <v>0.33333333333333331</v>
      </c>
      <c r="AH3" s="69">
        <v>0.5</v>
      </c>
      <c r="AI3" s="69">
        <v>0.66666666666666663</v>
      </c>
      <c r="AJ3" s="69">
        <v>0.83333333333333337</v>
      </c>
      <c r="AK3" s="69">
        <v>1</v>
      </c>
      <c r="AL3" s="69">
        <v>1.1666666666666667</v>
      </c>
      <c r="AM3" s="69">
        <v>1.3333333333333333</v>
      </c>
      <c r="AN3" s="69">
        <v>1.5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1</v>
      </c>
      <c r="AF4" s="69">
        <v>4.8809523809523814</v>
      </c>
      <c r="AG4" s="69">
        <v>7.0476190476190474</v>
      </c>
      <c r="AH4" s="69">
        <v>8.2142857142857153</v>
      </c>
      <c r="AI4" s="69">
        <v>10.380952380952381</v>
      </c>
      <c r="AJ4" s="69">
        <v>12.547619047619047</v>
      </c>
      <c r="AK4" s="69">
        <v>14.714285714285715</v>
      </c>
      <c r="AL4" s="69">
        <v>15.880952380952381</v>
      </c>
      <c r="AM4" s="69">
        <v>18.047619047619047</v>
      </c>
      <c r="AN4" s="69">
        <v>20.214285714285715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2</v>
      </c>
      <c r="AF6" s="66">
        <v>4</v>
      </c>
      <c r="AG6" s="66">
        <v>5</v>
      </c>
      <c r="AH6" s="66">
        <v>6</v>
      </c>
      <c r="AI6" s="66">
        <v>7</v>
      </c>
      <c r="AJ6" s="66">
        <v>8</v>
      </c>
      <c r="AK6" s="66">
        <v>9</v>
      </c>
      <c r="AL6" s="66">
        <v>10</v>
      </c>
      <c r="AM6" s="66">
        <v>11</v>
      </c>
      <c r="AN6" s="66">
        <v>12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0.46</v>
      </c>
      <c r="AF7" s="108">
        <v>1.36</v>
      </c>
      <c r="AG7" s="108">
        <v>2.2599999999999998</v>
      </c>
      <c r="AH7" s="108">
        <v>2.71</v>
      </c>
      <c r="AI7" s="108">
        <v>3.61</v>
      </c>
      <c r="AJ7" s="108">
        <v>4.51</v>
      </c>
      <c r="AK7" s="108">
        <v>5.42</v>
      </c>
      <c r="AL7" s="108">
        <v>5.87</v>
      </c>
      <c r="AM7" s="108">
        <v>6.77</v>
      </c>
      <c r="AN7" s="108">
        <v>7.67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9.9999999999999992E-2</v>
      </c>
      <c r="AF8" s="108">
        <v>0.28000000000000003</v>
      </c>
      <c r="AG8" s="108">
        <v>0.46</v>
      </c>
      <c r="AH8" s="108">
        <v>0.55000000000000004</v>
      </c>
      <c r="AI8" s="108">
        <v>0.73</v>
      </c>
      <c r="AJ8" s="108">
        <v>0.91</v>
      </c>
      <c r="AK8" s="108">
        <v>1.1000000000000001</v>
      </c>
      <c r="AL8" s="108">
        <v>1.19</v>
      </c>
      <c r="AM8" s="108">
        <v>1.37</v>
      </c>
      <c r="AN8" s="108">
        <v>1.55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0.15000000000000002</v>
      </c>
      <c r="AG12" s="108">
        <v>0.16</v>
      </c>
      <c r="AH12" s="108">
        <v>0.18000000000000002</v>
      </c>
      <c r="AI12" s="108">
        <v>0.19</v>
      </c>
      <c r="AJ12" s="108">
        <v>0.2</v>
      </c>
      <c r="AK12" s="108">
        <v>0.21000000000000002</v>
      </c>
      <c r="AL12" s="108">
        <v>0.23</v>
      </c>
      <c r="AM12" s="108">
        <v>0.24000000000000002</v>
      </c>
      <c r="AN12" s="108">
        <v>0.25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0.01</v>
      </c>
      <c r="AF13" s="108">
        <v>0.21000000000000002</v>
      </c>
      <c r="AG13" s="108">
        <v>0.24000000000000002</v>
      </c>
      <c r="AH13" s="108">
        <v>0.26</v>
      </c>
      <c r="AI13" s="108">
        <v>0.29000000000000004</v>
      </c>
      <c r="AJ13" s="108">
        <v>0.31</v>
      </c>
      <c r="AK13" s="108">
        <v>0.34</v>
      </c>
      <c r="AL13" s="108">
        <v>0.36</v>
      </c>
      <c r="AM13" s="108">
        <v>0.39</v>
      </c>
      <c r="AN13" s="108">
        <v>0.42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0.01</v>
      </c>
      <c r="AF14" s="108">
        <v>0.12</v>
      </c>
      <c r="AG14" s="108">
        <v>0.13</v>
      </c>
      <c r="AH14" s="108">
        <v>0.15000000000000002</v>
      </c>
      <c r="AI14" s="108">
        <v>0.17</v>
      </c>
      <c r="AJ14" s="108">
        <v>0.19</v>
      </c>
      <c r="AK14" s="108">
        <v>0.21000000000000002</v>
      </c>
      <c r="AL14" s="108">
        <v>0.22</v>
      </c>
      <c r="AM14" s="108">
        <v>0.24000000000000002</v>
      </c>
      <c r="AN14" s="108">
        <v>0.26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0.01</v>
      </c>
      <c r="AF15" s="108">
        <v>0.02</v>
      </c>
      <c r="AG15" s="108">
        <v>0.02</v>
      </c>
      <c r="AH15" s="108">
        <v>0.03</v>
      </c>
      <c r="AI15" s="108">
        <v>0.04</v>
      </c>
      <c r="AJ15" s="108">
        <v>0.04</v>
      </c>
      <c r="AK15" s="108">
        <v>0.05</v>
      </c>
      <c r="AL15" s="108">
        <v>6.0000000000000005E-2</v>
      </c>
      <c r="AM15" s="108">
        <v>0.06</v>
      </c>
      <c r="AN15" s="108">
        <v>6.9999999999999993E-2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0.01</v>
      </c>
      <c r="AF16" s="108">
        <v>0.02</v>
      </c>
      <c r="AG16" s="108">
        <v>0.02</v>
      </c>
      <c r="AH16" s="108">
        <v>0.03</v>
      </c>
      <c r="AI16" s="108">
        <v>0.04</v>
      </c>
      <c r="AJ16" s="108">
        <v>0.04</v>
      </c>
      <c r="AK16" s="108">
        <v>0.05</v>
      </c>
      <c r="AL16" s="108">
        <v>6.0000000000000005E-2</v>
      </c>
      <c r="AM16" s="108">
        <v>0.06</v>
      </c>
      <c r="AN16" s="108">
        <v>6.9999999999999993E-2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1</v>
      </c>
      <c r="AF21" s="120">
        <v>2</v>
      </c>
      <c r="AG21" s="120">
        <v>3</v>
      </c>
      <c r="AH21" s="120">
        <v>3</v>
      </c>
      <c r="AI21" s="120">
        <v>4</v>
      </c>
      <c r="AJ21" s="120">
        <v>5</v>
      </c>
      <c r="AK21" s="120">
        <v>7</v>
      </c>
      <c r="AL21" s="120">
        <v>7</v>
      </c>
      <c r="AM21" s="120">
        <v>8</v>
      </c>
      <c r="AN21" s="120">
        <v>9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174.55720170454555</v>
      </c>
      <c r="AF22" s="78">
        <v>174.55720170454543</v>
      </c>
      <c r="AG22" s="78">
        <v>174.55720170454541</v>
      </c>
      <c r="AH22" s="78">
        <v>174.55720170454543</v>
      </c>
      <c r="AI22" s="78">
        <v>174.55720170454555</v>
      </c>
      <c r="AJ22" s="78">
        <v>174.55720170454541</v>
      </c>
      <c r="AK22" s="78">
        <v>174.55720170454543</v>
      </c>
      <c r="AL22" s="78">
        <v>174.55720170454546</v>
      </c>
      <c r="AM22" s="78">
        <v>174.55720170454546</v>
      </c>
      <c r="AN22" s="78">
        <v>174.55720170454549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51.626666666666658</v>
      </c>
      <c r="AF23" s="52">
        <v>154.88</v>
      </c>
      <c r="AG23" s="52">
        <v>258.13333333333333</v>
      </c>
      <c r="AH23" s="52">
        <v>309.76</v>
      </c>
      <c r="AI23" s="52">
        <v>413.01333333333326</v>
      </c>
      <c r="AJ23" s="52">
        <v>516.26666666666665</v>
      </c>
      <c r="AK23" s="52">
        <v>619.52</v>
      </c>
      <c r="AL23" s="52">
        <v>671.14666666666665</v>
      </c>
      <c r="AM23" s="52">
        <v>774.39999999999986</v>
      </c>
      <c r="AN23" s="52">
        <v>877.65333333333331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8154.019033333333</v>
      </c>
      <c r="AF26" s="12">
        <v>24462.057099999998</v>
      </c>
      <c r="AG26" s="12">
        <v>40770.095166666659</v>
      </c>
      <c r="AH26" s="12">
        <v>48924.114199999996</v>
      </c>
      <c r="AI26" s="12">
        <v>65232.152266666664</v>
      </c>
      <c r="AJ26" s="12">
        <v>81540.190333333318</v>
      </c>
      <c r="AK26" s="12">
        <v>97848.228399999993</v>
      </c>
      <c r="AL26" s="12">
        <v>106002.24743333334</v>
      </c>
      <c r="AM26" s="12">
        <v>122310.28549999998</v>
      </c>
      <c r="AN26" s="12">
        <v>138618.32356666666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1086.8529099999998</v>
      </c>
      <c r="AF28" s="12">
        <v>3260.5587299999988</v>
      </c>
      <c r="AG28" s="12">
        <v>5434.2645499999981</v>
      </c>
      <c r="AH28" s="12">
        <v>6521.1174599999977</v>
      </c>
      <c r="AI28" s="12">
        <v>8694.8232799999987</v>
      </c>
      <c r="AJ28" s="12">
        <v>10868.529099999996</v>
      </c>
      <c r="AK28" s="12">
        <v>13042.234919999995</v>
      </c>
      <c r="AL28" s="12">
        <v>14129.087829999997</v>
      </c>
      <c r="AM28" s="12">
        <v>16302.793649999996</v>
      </c>
      <c r="AN28" s="12">
        <v>18476.499469999999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167.20813999999999</v>
      </c>
      <c r="AF29" s="12">
        <v>501.62441999999999</v>
      </c>
      <c r="AG29" s="12">
        <v>836.04070000000002</v>
      </c>
      <c r="AH29" s="12">
        <v>1003.24884</v>
      </c>
      <c r="AI29" s="12">
        <v>1337.6651199999999</v>
      </c>
      <c r="AJ29" s="12">
        <v>1672.0814</v>
      </c>
      <c r="AK29" s="12">
        <v>2006.4976799999999</v>
      </c>
      <c r="AL29" s="12">
        <v>2173.7058200000001</v>
      </c>
      <c r="AM29" s="12">
        <v>2508.1221</v>
      </c>
      <c r="AN29" s="12">
        <v>2842.5383799999995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218.1677333333333</v>
      </c>
      <c r="AF30" s="12">
        <v>654.50319999999988</v>
      </c>
      <c r="AG30" s="12">
        <v>1090.8386666666665</v>
      </c>
      <c r="AH30" s="12">
        <v>1309.0063999999998</v>
      </c>
      <c r="AI30" s="12">
        <v>1745.3418666666664</v>
      </c>
      <c r="AJ30" s="12">
        <v>2181.6773333333331</v>
      </c>
      <c r="AK30" s="12">
        <v>2618.0127999999995</v>
      </c>
      <c r="AL30" s="12">
        <v>2836.1805333333332</v>
      </c>
      <c r="AM30" s="12">
        <v>3272.5159999999996</v>
      </c>
      <c r="AN30" s="12">
        <v>3708.8514666666661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-1155.1497380000001</v>
      </c>
      <c r="AF35" s="12">
        <v>-3465.4492139999993</v>
      </c>
      <c r="AG35" s="12">
        <v>-5775.7486899999985</v>
      </c>
      <c r="AH35" s="12">
        <v>-6930.8984279999986</v>
      </c>
      <c r="AI35" s="12">
        <v>-9241.1979040000006</v>
      </c>
      <c r="AJ35" s="12">
        <v>-11551.497379999997</v>
      </c>
      <c r="AK35" s="12">
        <v>-13861.796855999997</v>
      </c>
      <c r="AL35" s="12">
        <v>-15016.946594000001</v>
      </c>
      <c r="AM35" s="12">
        <v>-17327.246069999997</v>
      </c>
      <c r="AN35" s="12">
        <v>-19637.545546000001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8471.0980786666678</v>
      </c>
      <c r="AF37" s="13">
        <v>25413.294235999994</v>
      </c>
      <c r="AG37" s="13">
        <v>42355.490393333319</v>
      </c>
      <c r="AH37" s="13">
        <v>50826.588471999989</v>
      </c>
      <c r="AI37" s="13">
        <v>67768.784629333342</v>
      </c>
      <c r="AJ37" s="13">
        <v>84710.980786666638</v>
      </c>
      <c r="AK37" s="13">
        <v>101653.17694399998</v>
      </c>
      <c r="AL37" s="13">
        <v>110124.27502266667</v>
      </c>
      <c r="AM37" s="13">
        <v>127066.47117999999</v>
      </c>
      <c r="AN37" s="13">
        <v>144008.66733733335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14500.139038435716</v>
      </c>
      <c r="AF40" s="12">
        <v>30954.988849973819</v>
      </c>
      <c r="AG40" s="12">
        <v>35899.148994845244</v>
      </c>
      <c r="AH40" s="12">
        <v>38944.950567280961</v>
      </c>
      <c r="AI40" s="12">
        <v>44211.938712152398</v>
      </c>
      <c r="AJ40" s="12">
        <v>49159.607857023817</v>
      </c>
      <c r="AK40" s="12">
        <v>54569.087134561916</v>
      </c>
      <c r="AL40" s="12">
        <v>57537.69070699763</v>
      </c>
      <c r="AM40" s="12">
        <v>62559.048851869062</v>
      </c>
      <c r="AN40" s="12">
        <v>67826.036996740484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379.01167616000009</v>
      </c>
      <c r="AF44" s="12">
        <v>918.3744460800001</v>
      </c>
      <c r="AG44" s="12">
        <v>936.59616128000027</v>
      </c>
      <c r="AH44" s="12">
        <v>965.75090560000012</v>
      </c>
      <c r="AI44" s="12">
        <v>994.90564992000009</v>
      </c>
      <c r="AJ44" s="12">
        <v>1013.1273651200003</v>
      </c>
      <c r="AK44" s="12">
        <v>1042.2821094399999</v>
      </c>
      <c r="AL44" s="12">
        <v>1067.7925107200001</v>
      </c>
      <c r="AM44" s="12">
        <v>1089.6585689600004</v>
      </c>
      <c r="AN44" s="12">
        <v>1118.8133132799999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2247.2640000000001</v>
      </c>
      <c r="AF46" s="12">
        <v>3578.9759999999997</v>
      </c>
      <c r="AG46" s="12">
        <v>4166.8019999999997</v>
      </c>
      <c r="AH46" s="12">
        <v>4489.3260000000009</v>
      </c>
      <c r="AI46" s="12">
        <v>5092.7579999999998</v>
      </c>
      <c r="AJ46" s="12">
        <v>5680.5839999999989</v>
      </c>
      <c r="AK46" s="12">
        <v>6294.4200000000019</v>
      </c>
      <c r="AL46" s="12">
        <v>6611.742000000002</v>
      </c>
      <c r="AM46" s="12">
        <v>7204.7700000000023</v>
      </c>
      <c r="AN46" s="12">
        <v>7808.2020000000011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733.45650791796106</v>
      </c>
      <c r="AF49" s="12">
        <f>'Corp.'!AF$50*(AF$37-(AF31-AF32-AF34)*$C$35)/(SUM('MDA1:NCA9'!AF$37)-SUM('MDA1:NCA9'!AF$31)-SUM('MDA1:NCA9'!AF$32)-SUM('MDA1:NCA9'!AF$34))</f>
        <v>2169.3659763630699</v>
      </c>
      <c r="AG49" s="12">
        <f>'Corp.'!AG$50*(AG$37-(AG31-AG32-AG34)*$C$35)/(SUM('MDA1:NCA9'!AG$37)-SUM('MDA1:NCA9'!AG$31)-SUM('MDA1:NCA9'!AG$32)-SUM('MDA1:NCA9'!AG$34))</f>
        <v>3574.4601377649906</v>
      </c>
      <c r="AH49" s="12">
        <f>'Corp.'!AH$50*(AH$37-(AH31-AH32-AH34)*$C$35)/(SUM('MDA1:NCA9'!AH$37)-SUM('MDA1:NCA9'!AH$31)-SUM('MDA1:NCA9'!AH$32)-SUM('MDA1:NCA9'!AH$34))</f>
        <v>4223.8869708796874</v>
      </c>
      <c r="AI49" s="12">
        <f>'Corp.'!AI$50*(AI$37-(AI31-AI32-AI34)*$C$35)/(SUM('MDA1:NCA9'!AI$37)-SUM('MDA1:NCA9'!AI$31)-SUM('MDA1:NCA9'!AI$32)-SUM('MDA1:NCA9'!AI$34))</f>
        <v>5541.3533150360699</v>
      </c>
      <c r="AJ49" s="12">
        <f>'Corp.'!AJ$50*(AJ$37-(AJ31-AJ32-AJ34)*$C$35)/(SUM('MDA1:NCA9'!AJ$37)-SUM('MDA1:NCA9'!AJ$31)-SUM('MDA1:NCA9'!AJ$32)-SUM('MDA1:NCA9'!AJ$34))</f>
        <v>6809.91468980431</v>
      </c>
      <c r="AK49" s="12">
        <f>'Corp.'!AK$50*(AK$37-(AK31-AK32-AK34)*$C$35)/(SUM('MDA1:NCA9'!AK$37)-SUM('MDA1:NCA9'!AK$31)-SUM('MDA1:NCA9'!AK$32)-SUM('MDA1:NCA9'!AK$34))</f>
        <v>8042.4577344824884</v>
      </c>
      <c r="AL49" s="12">
        <f>'Corp.'!AL$50*(AL$37-(AL31-AL32-AL34)*$C$35)/(SUM('MDA1:NCA9'!AL$37)-SUM('MDA1:NCA9'!AL$31)-SUM('MDA1:NCA9'!AL$32)-SUM('MDA1:NCA9'!AL$34))</f>
        <v>8583.7662383423594</v>
      </c>
      <c r="AM49" s="12">
        <f>'Corp.'!AM$50*(AM$37-(AM31-AM32-AM34)*$C$35)/(SUM('MDA1:NCA9'!AM$37)-SUM('MDA1:NCA9'!AM$31)-SUM('MDA1:NCA9'!AM$32)-SUM('MDA1:NCA9'!AM$34))</f>
        <v>9743.987442472464</v>
      </c>
      <c r="AN49" s="12">
        <f>'Corp.'!AN$50*(AN$37-(AN31-AN32-AN34)*$C$35)/(SUM('MDA1:NCA9'!AN$37)-SUM('MDA1:NCA9'!AN$31)-SUM('MDA1:NCA9'!AN$32)-SUM('MDA1:NCA9'!AN$34))</f>
        <v>10888.507755694196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17480.859546353677</v>
      </c>
      <c r="AF50" s="13">
        <v>36703.330826336889</v>
      </c>
      <c r="AG50" s="13">
        <v>43640.411132610236</v>
      </c>
      <c r="AH50" s="13">
        <v>47658.163538160647</v>
      </c>
      <c r="AI50" s="13">
        <v>54846.050027188467</v>
      </c>
      <c r="AJ50" s="13">
        <v>61650.10654682813</v>
      </c>
      <c r="AK50" s="13">
        <v>68905.964869044416</v>
      </c>
      <c r="AL50" s="13">
        <v>72733.198945339987</v>
      </c>
      <c r="AM50" s="13">
        <v>79507.806294341528</v>
      </c>
      <c r="AN50" s="13">
        <v>86522.746752434687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-9009.7614676870089</v>
      </c>
      <c r="AF52" s="74">
        <f t="shared" si="0"/>
        <v>-11290.036590336895</v>
      </c>
      <c r="AG52" s="74">
        <f t="shared" si="0"/>
        <v>-1284.9207392769167</v>
      </c>
      <c r="AH52" s="74">
        <f t="shared" si="0"/>
        <v>3168.424933839342</v>
      </c>
      <c r="AI52" s="74">
        <f t="shared" si="0"/>
        <v>12922.734602144876</v>
      </c>
      <c r="AJ52" s="74">
        <f t="shared" si="0"/>
        <v>23060.874239838507</v>
      </c>
      <c r="AK52" s="74">
        <f t="shared" si="0"/>
        <v>32747.212074955562</v>
      </c>
      <c r="AL52" s="74">
        <f t="shared" si="0"/>
        <v>37391.076077326681</v>
      </c>
      <c r="AM52" s="74">
        <f t="shared" si="0"/>
        <v>47558.664885658465</v>
      </c>
      <c r="AN52" s="74">
        <f t="shared" si="0"/>
        <v>57485.92058489866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>
        <f t="shared" si="1"/>
        <v>-1.0635883782737556</v>
      </c>
      <c r="AF53" s="107">
        <f t="shared" si="1"/>
        <v>-0.44425710753955078</v>
      </c>
      <c r="AG53" s="107">
        <f t="shared" si="1"/>
        <v>-3.0336580390039846E-2</v>
      </c>
      <c r="AH53" s="107">
        <f t="shared" si="1"/>
        <v>6.233794218915175E-2</v>
      </c>
      <c r="AI53" s="107">
        <f t="shared" si="1"/>
        <v>0.19068859907738911</v>
      </c>
      <c r="AJ53" s="107">
        <f t="shared" si="1"/>
        <v>0.27223004651444488</v>
      </c>
      <c r="AK53" s="107">
        <f t="shared" si="1"/>
        <v>0.32214646958841014</v>
      </c>
      <c r="AL53" s="107">
        <f t="shared" si="1"/>
        <v>0.33953527566588337</v>
      </c>
      <c r="AM53" s="107">
        <f t="shared" si="1"/>
        <v>0.37428177900909632</v>
      </c>
      <c r="AN53" s="107">
        <f t="shared" si="1"/>
        <v>0.39918375503219311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-9009.7614676870089</v>
      </c>
      <c r="AF58" s="13">
        <f t="shared" si="2"/>
        <v>-11290.036590336895</v>
      </c>
      <c r="AG58" s="13">
        <f t="shared" si="2"/>
        <v>-1284.9207392769167</v>
      </c>
      <c r="AH58" s="13">
        <f t="shared" si="2"/>
        <v>3168.424933839342</v>
      </c>
      <c r="AI58" s="13">
        <f t="shared" si="2"/>
        <v>12922.734602144876</v>
      </c>
      <c r="AJ58" s="13">
        <f t="shared" si="2"/>
        <v>21790.209528038507</v>
      </c>
      <c r="AK58" s="13">
        <f t="shared" si="2"/>
        <v>28935.217939555561</v>
      </c>
      <c r="AL58" s="13">
        <f t="shared" si="2"/>
        <v>31037.752518326684</v>
      </c>
      <c r="AM58" s="13">
        <f t="shared" si="2"/>
        <v>39934.676614858465</v>
      </c>
      <c r="AN58" s="13">
        <f t="shared" si="2"/>
        <v>47320.60289049866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-9009.7614676870089</v>
      </c>
      <c r="AF59" s="12">
        <v>-20299.798058023902</v>
      </c>
      <c r="AG59" s="12">
        <v>-21584.718797300819</v>
      </c>
      <c r="AH59" s="12">
        <v>-18416.293863461477</v>
      </c>
      <c r="AI59" s="12">
        <v>-5493.5592613166009</v>
      </c>
      <c r="AJ59" s="12">
        <v>16296.650266721907</v>
      </c>
      <c r="AK59" s="12">
        <v>45231.868206277468</v>
      </c>
      <c r="AL59" s="12">
        <v>76269.620724604145</v>
      </c>
      <c r="AM59" s="12">
        <v>116204.29733946262</v>
      </c>
      <c r="AN59" s="12">
        <v>163524.90022996126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1.2691023820243568E-3</v>
      </c>
      <c r="AF72" s="12">
        <v>3.8073071460730718E-3</v>
      </c>
      <c r="AG72" s="12">
        <v>6.3455119101217868E-3</v>
      </c>
      <c r="AH72" s="12">
        <v>7.6146142921461437E-3</v>
      </c>
      <c r="AI72" s="12">
        <v>1.0152819056194855E-2</v>
      </c>
      <c r="AJ72" s="12">
        <v>1.2691023820243574E-2</v>
      </c>
      <c r="AK72" s="12">
        <v>1.5229228584292287E-2</v>
      </c>
      <c r="AL72" s="12">
        <v>1.6498330966316647E-2</v>
      </c>
      <c r="AM72" s="12">
        <v>1.9036535730365362E-2</v>
      </c>
      <c r="AN72" s="12">
        <v>2.1574740494414067E-2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-1.2691023820243568E-3</v>
      </c>
      <c r="AF75" s="74">
        <v>-3.8073071460730718E-3</v>
      </c>
      <c r="AG75" s="74">
        <v>-6.3455119101217868E-3</v>
      </c>
      <c r="AH75" s="74">
        <v>-7.6146142921461437E-3</v>
      </c>
      <c r="AI75" s="74">
        <v>-1.0152819056194855E-2</v>
      </c>
      <c r="AJ75" s="74">
        <v>-1.2691023820243574E-2</v>
      </c>
      <c r="AK75" s="74">
        <v>-1.5229228584292287E-2</v>
      </c>
      <c r="AL75" s="74">
        <v>-1.6498330966316647E-2</v>
      </c>
      <c r="AM75" s="74">
        <v>-1.9036535730365362E-2</v>
      </c>
      <c r="AN75" s="74">
        <v>-2.1574740494414067E-2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315F8-4AF5-494F-83ED-819B29B8E25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76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2.8299999999999996</v>
      </c>
      <c r="X7" s="108">
        <v>5.6499999999999995</v>
      </c>
      <c r="Y7" s="108">
        <v>8.48</v>
      </c>
      <c r="Z7" s="108">
        <v>11.299999999999999</v>
      </c>
      <c r="AA7" s="108">
        <v>14.12</v>
      </c>
      <c r="AB7" s="108">
        <v>16.950000000000003</v>
      </c>
      <c r="AC7" s="108">
        <v>19.770000000000003</v>
      </c>
      <c r="AD7" s="108">
        <v>22.59</v>
      </c>
      <c r="AE7" s="108">
        <v>25.42</v>
      </c>
      <c r="AF7" s="108">
        <v>28.240000000000002</v>
      </c>
      <c r="AG7" s="108">
        <v>31.060000000000002</v>
      </c>
      <c r="AH7" s="108">
        <v>33.89</v>
      </c>
      <c r="AI7" s="108">
        <v>36.71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0.43</v>
      </c>
      <c r="X8" s="108">
        <v>0.86</v>
      </c>
      <c r="Y8" s="108">
        <v>1.29</v>
      </c>
      <c r="Z8" s="108">
        <v>1.72</v>
      </c>
      <c r="AA8" s="108">
        <v>2.15</v>
      </c>
      <c r="AB8" s="108">
        <v>2.5799999999999996</v>
      </c>
      <c r="AC8" s="108">
        <v>3</v>
      </c>
      <c r="AD8" s="108">
        <v>3.4299999999999997</v>
      </c>
      <c r="AE8" s="108">
        <v>3.86</v>
      </c>
      <c r="AF8" s="108">
        <v>4.29</v>
      </c>
      <c r="AG8" s="108">
        <v>4.72</v>
      </c>
      <c r="AH8" s="108">
        <v>5.1499999999999995</v>
      </c>
      <c r="AI8" s="108">
        <v>5.58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0.25</v>
      </c>
      <c r="Y12" s="108">
        <v>0.26</v>
      </c>
      <c r="Z12" s="108">
        <v>0.27</v>
      </c>
      <c r="AA12" s="108">
        <v>0.29000000000000004</v>
      </c>
      <c r="AB12" s="108">
        <v>0.3</v>
      </c>
      <c r="AC12" s="108">
        <v>0.31</v>
      </c>
      <c r="AD12" s="108">
        <v>0.33</v>
      </c>
      <c r="AE12" s="108">
        <v>0.34</v>
      </c>
      <c r="AF12" s="108">
        <v>0.35000000000000003</v>
      </c>
      <c r="AG12" s="108">
        <v>0.36</v>
      </c>
      <c r="AH12" s="108">
        <v>0.38</v>
      </c>
      <c r="AI12" s="108">
        <v>0.39</v>
      </c>
      <c r="AJ12" s="108">
        <v>0.17</v>
      </c>
      <c r="AK12" s="108">
        <v>0.18000000000000002</v>
      </c>
      <c r="AL12" s="108">
        <v>0.2</v>
      </c>
      <c r="AM12" s="108">
        <v>0.21000000000000002</v>
      </c>
      <c r="AN12" s="108">
        <v>0.22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0.02</v>
      </c>
      <c r="X13" s="108">
        <v>0.35000000000000003</v>
      </c>
      <c r="Y13" s="108">
        <v>0.39</v>
      </c>
      <c r="Z13" s="108">
        <v>0.42</v>
      </c>
      <c r="AA13" s="108">
        <v>0.45</v>
      </c>
      <c r="AB13" s="108">
        <v>0.49</v>
      </c>
      <c r="AC13" s="108">
        <v>0.52</v>
      </c>
      <c r="AD13" s="108">
        <v>0.55000000000000004</v>
      </c>
      <c r="AE13" s="108">
        <v>0.59</v>
      </c>
      <c r="AF13" s="108">
        <v>0.62</v>
      </c>
      <c r="AG13" s="108">
        <v>0.65</v>
      </c>
      <c r="AH13" s="108">
        <v>0.69000000000000006</v>
      </c>
      <c r="AI13" s="108">
        <v>0.72</v>
      </c>
      <c r="AJ13" s="108">
        <v>0.45</v>
      </c>
      <c r="AK13" s="108">
        <v>0.47000000000000003</v>
      </c>
      <c r="AL13" s="108">
        <v>0.49</v>
      </c>
      <c r="AM13" s="108">
        <v>0.5</v>
      </c>
      <c r="AN13" s="108">
        <v>0.52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0.02</v>
      </c>
      <c r="X14" s="108">
        <v>0.2</v>
      </c>
      <c r="Y14" s="108">
        <v>0.22</v>
      </c>
      <c r="Z14" s="108">
        <v>0.25</v>
      </c>
      <c r="AA14" s="108">
        <v>0.27</v>
      </c>
      <c r="AB14" s="108">
        <v>0.3</v>
      </c>
      <c r="AC14" s="108">
        <v>0.32</v>
      </c>
      <c r="AD14" s="108">
        <v>0.35000000000000003</v>
      </c>
      <c r="AE14" s="108">
        <v>0.37</v>
      </c>
      <c r="AF14" s="108">
        <v>0.39</v>
      </c>
      <c r="AG14" s="108">
        <v>0.42</v>
      </c>
      <c r="AH14" s="108">
        <v>0.44</v>
      </c>
      <c r="AI14" s="108">
        <v>0.47000000000000003</v>
      </c>
      <c r="AJ14" s="108">
        <v>0.34</v>
      </c>
      <c r="AK14" s="108">
        <v>0.35000000000000003</v>
      </c>
      <c r="AL14" s="108">
        <v>0.36</v>
      </c>
      <c r="AM14" s="108">
        <v>0.37</v>
      </c>
      <c r="AN14" s="108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0.02</v>
      </c>
      <c r="X15" s="108">
        <v>0.03</v>
      </c>
      <c r="Y15" s="108">
        <v>0.04</v>
      </c>
      <c r="Z15" s="108">
        <v>0.05</v>
      </c>
      <c r="AA15" s="108">
        <v>0.06</v>
      </c>
      <c r="AB15" s="108">
        <v>0.08</v>
      </c>
      <c r="AC15" s="108">
        <v>0.09</v>
      </c>
      <c r="AD15" s="108">
        <v>9.9999999999999992E-2</v>
      </c>
      <c r="AE15" s="108">
        <v>0.11</v>
      </c>
      <c r="AF15" s="108">
        <v>0.12</v>
      </c>
      <c r="AG15" s="108">
        <v>0.14000000000000001</v>
      </c>
      <c r="AH15" s="108">
        <v>0.15000000000000002</v>
      </c>
      <c r="AI15" s="108">
        <v>0.16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0.02</v>
      </c>
      <c r="X16" s="108">
        <v>0.03</v>
      </c>
      <c r="Y16" s="108">
        <v>0.04</v>
      </c>
      <c r="Z16" s="108">
        <v>0.05</v>
      </c>
      <c r="AA16" s="108">
        <v>0.06</v>
      </c>
      <c r="AB16" s="108">
        <v>0.08</v>
      </c>
      <c r="AC16" s="108">
        <v>0.09</v>
      </c>
      <c r="AD16" s="108">
        <v>9.9999999999999992E-2</v>
      </c>
      <c r="AE16" s="108">
        <v>0.11</v>
      </c>
      <c r="AF16" s="108">
        <v>0.12</v>
      </c>
      <c r="AG16" s="108">
        <v>0.14000000000000001</v>
      </c>
      <c r="AH16" s="108">
        <v>0.15000000000000002</v>
      </c>
      <c r="AI16" s="108">
        <v>0.16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0.3</v>
      </c>
      <c r="X17" s="108">
        <v>0.6</v>
      </c>
      <c r="Y17" s="108">
        <v>0.9</v>
      </c>
      <c r="Z17" s="108">
        <v>1.2</v>
      </c>
      <c r="AA17" s="108">
        <v>1.5</v>
      </c>
      <c r="AB17" s="108">
        <v>1.8</v>
      </c>
      <c r="AC17" s="108">
        <v>2.1</v>
      </c>
      <c r="AD17" s="108">
        <v>2.4</v>
      </c>
      <c r="AE17" s="108">
        <v>2.7</v>
      </c>
      <c r="AF17" s="108">
        <v>3</v>
      </c>
      <c r="AG17" s="108">
        <v>3.3</v>
      </c>
      <c r="AH17" s="108">
        <v>3.6</v>
      </c>
      <c r="AI17" s="108">
        <v>3.9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3</v>
      </c>
      <c r="X21" s="120">
        <v>7</v>
      </c>
      <c r="Y21" s="120">
        <v>10</v>
      </c>
      <c r="Z21" s="120">
        <v>13</v>
      </c>
      <c r="AA21" s="120">
        <v>16</v>
      </c>
      <c r="AB21" s="120">
        <v>20</v>
      </c>
      <c r="AC21" s="120">
        <v>23</v>
      </c>
      <c r="AD21" s="120">
        <v>26</v>
      </c>
      <c r="AE21" s="120">
        <v>29</v>
      </c>
      <c r="AF21" s="120">
        <v>33</v>
      </c>
      <c r="AG21" s="120">
        <v>36</v>
      </c>
      <c r="AH21" s="120">
        <v>39</v>
      </c>
      <c r="AI21" s="120">
        <v>42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170.02883240223466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170.02883240223463</v>
      </c>
      <c r="AD22" s="78">
        <v>170.02883240223466</v>
      </c>
      <c r="AE22" s="78">
        <v>170.02883240223468</v>
      </c>
      <c r="AF22" s="78">
        <v>170.02883240223466</v>
      </c>
      <c r="AG22" s="78">
        <v>170.02883240223468</v>
      </c>
      <c r="AH22" s="78">
        <v>170.02883240223466</v>
      </c>
      <c r="AI22" s="78">
        <v>170.02883240223466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46796.978800000004</v>
      </c>
      <c r="X26" s="12">
        <v>93593.957600000009</v>
      </c>
      <c r="Y26" s="12">
        <v>140390.93640000001</v>
      </c>
      <c r="Z26" s="12">
        <v>187187.91520000002</v>
      </c>
      <c r="AA26" s="12">
        <v>233984.89399999997</v>
      </c>
      <c r="AB26" s="12">
        <v>280781.87280000001</v>
      </c>
      <c r="AC26" s="12">
        <v>327578.85159999994</v>
      </c>
      <c r="AD26" s="12">
        <v>374375.83040000004</v>
      </c>
      <c r="AE26" s="12">
        <v>421172.80919999996</v>
      </c>
      <c r="AF26" s="12">
        <v>467969.78799999994</v>
      </c>
      <c r="AG26" s="12">
        <v>514766.76679999998</v>
      </c>
      <c r="AH26" s="12">
        <v>561563.74560000002</v>
      </c>
      <c r="AI26" s="12">
        <v>608360.72439999995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2743.8788</v>
      </c>
      <c r="X27" s="12">
        <v>5487.7575999999999</v>
      </c>
      <c r="Y27" s="12">
        <v>8231.6363999999994</v>
      </c>
      <c r="Z27" s="12">
        <v>10975.5152</v>
      </c>
      <c r="AA27" s="12">
        <v>13719.393999999998</v>
      </c>
      <c r="AB27" s="12">
        <v>16463.272799999999</v>
      </c>
      <c r="AC27" s="12">
        <v>19207.151600000001</v>
      </c>
      <c r="AD27" s="12">
        <v>21951.0304</v>
      </c>
      <c r="AE27" s="12">
        <v>24694.909199999995</v>
      </c>
      <c r="AF27" s="12">
        <v>27438.787999999997</v>
      </c>
      <c r="AG27" s="12">
        <v>30182.666799999999</v>
      </c>
      <c r="AH27" s="12">
        <v>32926.545599999998</v>
      </c>
      <c r="AI27" s="12">
        <v>35670.424399999996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6521.1174599999977</v>
      </c>
      <c r="X28" s="12">
        <v>13042.234919999995</v>
      </c>
      <c r="Y28" s="12">
        <v>19563.352379999993</v>
      </c>
      <c r="Z28" s="12">
        <v>26084.469839999991</v>
      </c>
      <c r="AA28" s="12">
        <v>32605.587299999992</v>
      </c>
      <c r="AB28" s="12">
        <v>39126.704759999986</v>
      </c>
      <c r="AC28" s="12">
        <v>45647.822219999987</v>
      </c>
      <c r="AD28" s="12">
        <v>52168.939679999981</v>
      </c>
      <c r="AE28" s="12">
        <v>58690.057139999983</v>
      </c>
      <c r="AF28" s="12">
        <v>65211.174599999984</v>
      </c>
      <c r="AG28" s="12">
        <v>71732.292059999978</v>
      </c>
      <c r="AH28" s="12">
        <v>78253.409519999972</v>
      </c>
      <c r="AI28" s="12">
        <v>84774.526979999995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501.62441999999999</v>
      </c>
      <c r="X29" s="12">
        <v>1003.24884</v>
      </c>
      <c r="Y29" s="12">
        <v>1504.8732600000001</v>
      </c>
      <c r="Z29" s="12">
        <v>2006.4976799999999</v>
      </c>
      <c r="AA29" s="12">
        <v>2508.1221</v>
      </c>
      <c r="AB29" s="12">
        <v>3009.7465200000001</v>
      </c>
      <c r="AC29" s="12">
        <v>3511.3709400000002</v>
      </c>
      <c r="AD29" s="12">
        <v>4012.9953599999999</v>
      </c>
      <c r="AE29" s="12">
        <v>4514.61978</v>
      </c>
      <c r="AF29" s="12">
        <v>5016.2442000000001</v>
      </c>
      <c r="AG29" s="12">
        <v>5517.8686199999993</v>
      </c>
      <c r="AH29" s="12">
        <v>6019.4930400000003</v>
      </c>
      <c r="AI29" s="12">
        <v>6521.1174600000013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654.50319999999988</v>
      </c>
      <c r="X30" s="12">
        <v>1309.0063999999998</v>
      </c>
      <c r="Y30" s="12">
        <v>1963.5095999999999</v>
      </c>
      <c r="Z30" s="12">
        <v>2618.0127999999995</v>
      </c>
      <c r="AA30" s="12">
        <v>3272.5159999999996</v>
      </c>
      <c r="AB30" s="12">
        <v>3927.0191999999997</v>
      </c>
      <c r="AC30" s="12">
        <v>4581.5223999999998</v>
      </c>
      <c r="AD30" s="12">
        <v>5236.025599999999</v>
      </c>
      <c r="AE30" s="12">
        <v>5890.5288</v>
      </c>
      <c r="AF30" s="12">
        <v>6545.0319999999992</v>
      </c>
      <c r="AG30" s="12">
        <v>7199.5351999999993</v>
      </c>
      <c r="AH30" s="12">
        <v>7854.0383999999995</v>
      </c>
      <c r="AI30" s="12">
        <v>8508.5416000000005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-10068.832691599999</v>
      </c>
      <c r="X35" s="12">
        <v>-16935.005013199996</v>
      </c>
      <c r="Y35" s="12">
        <v>-23801.177334799995</v>
      </c>
      <c r="Z35" s="12">
        <v>-30667.349656399994</v>
      </c>
      <c r="AA35" s="12">
        <v>-37533.521977999997</v>
      </c>
      <c r="AB35" s="12">
        <v>-44399.694299599993</v>
      </c>
      <c r="AC35" s="12">
        <v>-51265.866621199988</v>
      </c>
      <c r="AD35" s="12">
        <v>-58132.038942799998</v>
      </c>
      <c r="AE35" s="12">
        <v>-64998.211264399994</v>
      </c>
      <c r="AF35" s="12">
        <v>-71864.383585999982</v>
      </c>
      <c r="AG35" s="12">
        <v>-78730.555907599992</v>
      </c>
      <c r="AH35" s="12">
        <v>-85596.728229199987</v>
      </c>
      <c r="AI35" s="12">
        <v>-92462.900550799983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71094.22760506667</v>
      </c>
      <c r="X37" s="13">
        <v>118702.27916346668</v>
      </c>
      <c r="Y37" s="13">
        <v>166310.33072186666</v>
      </c>
      <c r="Z37" s="13">
        <v>213918.38228026667</v>
      </c>
      <c r="AA37" s="13">
        <v>261526.43383866665</v>
      </c>
      <c r="AB37" s="13">
        <v>309134.48539706669</v>
      </c>
      <c r="AC37" s="13">
        <v>356742.53695546661</v>
      </c>
      <c r="AD37" s="13">
        <v>404350.58851386671</v>
      </c>
      <c r="AE37" s="13">
        <v>451958.64007226669</v>
      </c>
      <c r="AF37" s="13">
        <v>499566.69163066661</v>
      </c>
      <c r="AG37" s="13">
        <v>547174.74318906665</v>
      </c>
      <c r="AH37" s="13">
        <v>594782.79474746657</v>
      </c>
      <c r="AI37" s="13">
        <v>642390.84630586649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47974.288916403617</v>
      </c>
      <c r="X40" s="12">
        <v>81864.072819473891</v>
      </c>
      <c r="Y40" s="12">
        <v>103272.04173587752</v>
      </c>
      <c r="Z40" s="12">
        <v>124635.75897228114</v>
      </c>
      <c r="AA40" s="12">
        <v>146035.62954201808</v>
      </c>
      <c r="AB40" s="12">
        <v>167737.07845842175</v>
      </c>
      <c r="AC40" s="12">
        <v>207818.46509764122</v>
      </c>
      <c r="AD40" s="12">
        <v>231435.52072435187</v>
      </c>
      <c r="AE40" s="12">
        <v>254984.28653239587</v>
      </c>
      <c r="AF40" s="12">
        <v>278407.17749243981</v>
      </c>
      <c r="AG40" s="12">
        <v>302152.89645248384</v>
      </c>
      <c r="AH40" s="12">
        <v>325818.6289271944</v>
      </c>
      <c r="AI40" s="12">
        <v>349318.71788723842</v>
      </c>
      <c r="AJ40" s="12">
        <v>366567.52334728243</v>
      </c>
      <c r="AK40" s="12">
        <v>366909.06601394911</v>
      </c>
      <c r="AL40" s="12">
        <v>367367.57534728246</v>
      </c>
      <c r="AM40" s="12">
        <v>367635.42901394906</v>
      </c>
      <c r="AN40" s="12">
        <v>367976.9716806158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8008</v>
      </c>
      <c r="X43" s="12">
        <v>8008</v>
      </c>
      <c r="Y43" s="12">
        <v>8008</v>
      </c>
      <c r="Z43" s="12">
        <v>8008</v>
      </c>
      <c r="AA43" s="12">
        <v>8008</v>
      </c>
      <c r="AB43" s="12">
        <v>8008</v>
      </c>
      <c r="AC43" s="12">
        <v>8328.3200000000015</v>
      </c>
      <c r="AD43" s="12">
        <v>8328.3200000000015</v>
      </c>
      <c r="AE43" s="12">
        <v>8328.3200000000015</v>
      </c>
      <c r="AF43" s="12">
        <v>8328.3200000000015</v>
      </c>
      <c r="AG43" s="12">
        <v>8328.3200000000015</v>
      </c>
      <c r="AH43" s="12">
        <v>8328.3200000000015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6630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151234.47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6571.8159482668616</v>
      </c>
      <c r="X49" s="12">
        <f>'Corp.'!X$50*(X$37-(X31-X32-X34)*$C$35)/(SUM('MDA1:NCA9'!X$37)-SUM('MDA1:NCA9'!X$31)-SUM('MDA1:NCA9'!X$32)-SUM('MDA1:NCA9'!X$34))</f>
        <v>10646.494317505978</v>
      </c>
      <c r="Y49" s="12">
        <f>'Corp.'!Y$50*(Y$37-(Y31-Y32-Y34)*$C$35)/(SUM('MDA1:NCA9'!Y$37)-SUM('MDA1:NCA9'!Y$31)-SUM('MDA1:NCA9'!Y$32)-SUM('MDA1:NCA9'!Y$34))</f>
        <v>14620.440930948494</v>
      </c>
      <c r="Z49" s="12">
        <f>'Corp.'!Z$50*(Z$37-(Z31-Z32-Z34)*$C$35)/(SUM('MDA1:NCA9'!Z$37)-SUM('MDA1:NCA9'!Z$31)-SUM('MDA1:NCA9'!Z$32)-SUM('MDA1:NCA9'!Z$34))</f>
        <v>18424.679491895116</v>
      </c>
      <c r="AA49" s="12">
        <f>'Corp.'!AA$50*(AA$37-(AA31-AA32-AA34)*$C$35)/(SUM('MDA1:NCA9'!AA$37)-SUM('MDA1:NCA9'!AA$31)-SUM('MDA1:NCA9'!AA$32)-SUM('MDA1:NCA9'!AA$34))</f>
        <v>22042.033730084862</v>
      </c>
      <c r="AB49" s="12">
        <f>'Corp.'!AB$50*(AB$37-(AB31-AB32-AB34)*$C$35)/(SUM('MDA1:NCA9'!AB$37)-SUM('MDA1:NCA9'!AB$31)-SUM('MDA1:NCA9'!AB$32)-SUM('MDA1:NCA9'!AB$34))</f>
        <v>25496.381706521915</v>
      </c>
      <c r="AC49" s="12">
        <f>'Corp.'!AC$50*(AC$37-(AC31-AC32-AC34)*$C$35)/(SUM('MDA1:NCA9'!AC$37)-SUM('MDA1:NCA9'!AC$31)-SUM('MDA1:NCA9'!AC$32)-SUM('MDA1:NCA9'!AC$34))</f>
        <v>31839.671268689395</v>
      </c>
      <c r="AD49" s="12">
        <f>'Corp.'!AD$50*(AD$37-(AD31-AD32-AD34)*$C$35)/(SUM('MDA1:NCA9'!AD$37)-SUM('MDA1:NCA9'!AD$31)-SUM('MDA1:NCA9'!AD$32)-SUM('MDA1:NCA9'!AD$34))</f>
        <v>35534.633634709346</v>
      </c>
      <c r="AE49" s="12">
        <f>'Corp.'!AE$50*(AE$37-(AE31-AE32-AE34)*$C$35)/(SUM('MDA1:NCA9'!AE$37)-SUM('MDA1:NCA9'!AE$31)-SUM('MDA1:NCA9'!AE$32)-SUM('MDA1:NCA9'!AE$34))</f>
        <v>39132.117559301296</v>
      </c>
      <c r="AF49" s="12">
        <f>'Corp.'!AF$50*(AF$37-(AF31-AF32-AF34)*$C$35)/(SUM('MDA1:NCA9'!AF$37)-SUM('MDA1:NCA9'!AF$31)-SUM('MDA1:NCA9'!AF$32)-SUM('MDA1:NCA9'!AF$34))</f>
        <v>42644.726562549287</v>
      </c>
      <c r="AG49" s="12">
        <f>'Corp.'!AG$50*(AG$37-(AG31-AG32-AG34)*$C$35)/(SUM('MDA1:NCA9'!AG$37)-SUM('MDA1:NCA9'!AG$31)-SUM('MDA1:NCA9'!AG$32)-SUM('MDA1:NCA9'!AG$34))</f>
        <v>46177.113988248442</v>
      </c>
      <c r="AH49" s="12">
        <f>'Corp.'!AH$50*(AH$37-(AH31-AH32-AH34)*$C$35)/(SUM('MDA1:NCA9'!AH$37)-SUM('MDA1:NCA9'!AH$31)-SUM('MDA1:NCA9'!AH$32)-SUM('MDA1:NCA9'!AH$34))</f>
        <v>49428.761063143902</v>
      </c>
      <c r="AI49" s="12">
        <f>'Corp.'!AI$50*(AI$37-(AI31-AI32-AI34)*$C$35)/(SUM('MDA1:NCA9'!AI$37)-SUM('MDA1:NCA9'!AI$31)-SUM('MDA1:NCA9'!AI$32)-SUM('MDA1:NCA9'!AI$34))</f>
        <v>52527.349652144076</v>
      </c>
      <c r="AJ49" s="12">
        <f>'Corp.'!AJ$50*(AJ$37-(AJ31-AJ32-AJ34)*$C$35)/(SUM('MDA1:NCA9'!AJ$37)-SUM('MDA1:NCA9'!AJ$31)-SUM('MDA1:NCA9'!AJ$32)-SUM('MDA1:NCA9'!AJ$34))</f>
        <v>55469.002800806207</v>
      </c>
      <c r="AK49" s="12">
        <f>'Corp.'!AK$50*(AK$37-(AK31-AK32-AK34)*$C$35)/(SUM('MDA1:NCA9'!AK$37)-SUM('MDA1:NCA9'!AK$31)-SUM('MDA1:NCA9'!AK$32)-SUM('MDA1:NCA9'!AK$34))</f>
        <v>54590.393923152311</v>
      </c>
      <c r="AL49" s="12">
        <f>'Corp.'!AL$50*(AL$37-(AL31-AL32-AL34)*$C$35)/(SUM('MDA1:NCA9'!AL$37)-SUM('MDA1:NCA9'!AL$31)-SUM('MDA1:NCA9'!AL$32)-SUM('MDA1:NCA9'!AL$34))</f>
        <v>53782.776256748599</v>
      </c>
      <c r="AM49" s="12">
        <f>'Corp.'!AM$50*(AM$37-(AM31-AM32-AM34)*$C$35)/(SUM('MDA1:NCA9'!AM$37)-SUM('MDA1:NCA9'!AM$31)-SUM('MDA1:NCA9'!AM$32)-SUM('MDA1:NCA9'!AM$34))</f>
        <v>52911.99585282489</v>
      </c>
      <c r="AN49" s="12">
        <f>'Corp.'!AN$50*(AN$37-(AN31-AN32-AN34)*$C$35)/(SUM('MDA1:NCA9'!AN$37)-SUM('MDA1:NCA9'!AN$31)-SUM('MDA1:NCA9'!AN$32)-SUM('MDA1:NCA9'!AN$34))</f>
        <v>52170.876168283241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151234.47</v>
      </c>
      <c r="V50" s="13">
        <v>0</v>
      </c>
      <c r="W50" s="13">
        <v>94538.784864670466</v>
      </c>
      <c r="X50" s="13">
        <v>134406.05713697989</v>
      </c>
      <c r="Y50" s="13">
        <v>161091.02266682603</v>
      </c>
      <c r="Z50" s="13">
        <v>187558.45846417622</v>
      </c>
      <c r="AA50" s="13">
        <v>213875.16327210295</v>
      </c>
      <c r="AB50" s="13">
        <v>240344.72016494366</v>
      </c>
      <c r="AC50" s="13">
        <v>289533.46836633066</v>
      </c>
      <c r="AD50" s="13">
        <v>318174.59735906118</v>
      </c>
      <c r="AE50" s="13">
        <v>346649.95809169719</v>
      </c>
      <c r="AF50" s="13">
        <v>374907.2862549891</v>
      </c>
      <c r="AG50" s="13">
        <v>403518.14504073228</v>
      </c>
      <c r="AH50" s="13">
        <v>431768.27699033829</v>
      </c>
      <c r="AI50" s="13">
        <v>459692.42413938249</v>
      </c>
      <c r="AJ50" s="13">
        <v>480953.45434808859</v>
      </c>
      <c r="AK50" s="13">
        <v>480430.9537371014</v>
      </c>
      <c r="AL50" s="13">
        <v>480100.05240403104</v>
      </c>
      <c r="AM50" s="13">
        <v>479508.04986677394</v>
      </c>
      <c r="AN50" s="13">
        <v>479123.03844889899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-151234.47</v>
      </c>
      <c r="V52" s="74">
        <f t="shared" si="0"/>
        <v>0</v>
      </c>
      <c r="W52" s="74">
        <f t="shared" si="0"/>
        <v>-23444.557259603796</v>
      </c>
      <c r="X52" s="74">
        <f t="shared" si="0"/>
        <v>-15703.777973513206</v>
      </c>
      <c r="Y52" s="74">
        <f t="shared" si="0"/>
        <v>5219.3080550406303</v>
      </c>
      <c r="Z52" s="74">
        <f t="shared" si="0"/>
        <v>26359.92381609045</v>
      </c>
      <c r="AA52" s="74">
        <f t="shared" si="0"/>
        <v>47651.270566563704</v>
      </c>
      <c r="AB52" s="74">
        <f t="shared" si="0"/>
        <v>68789.765232123027</v>
      </c>
      <c r="AC52" s="74">
        <f t="shared" si="0"/>
        <v>67209.068589135946</v>
      </c>
      <c r="AD52" s="74">
        <f t="shared" si="0"/>
        <v>86175.991154805524</v>
      </c>
      <c r="AE52" s="74">
        <f t="shared" si="0"/>
        <v>105308.6819805695</v>
      </c>
      <c r="AF52" s="74">
        <f t="shared" si="0"/>
        <v>124659.40537567751</v>
      </c>
      <c r="AG52" s="74">
        <f t="shared" si="0"/>
        <v>143656.59814833436</v>
      </c>
      <c r="AH52" s="74">
        <f t="shared" si="0"/>
        <v>163014.51775712828</v>
      </c>
      <c r="AI52" s="74">
        <f t="shared" si="0"/>
        <v>182698.422166484</v>
      </c>
      <c r="AJ52" s="74">
        <f t="shared" si="0"/>
        <v>209045.44351617794</v>
      </c>
      <c r="AK52" s="74">
        <f t="shared" si="0"/>
        <v>209567.94412716513</v>
      </c>
      <c r="AL52" s="74">
        <f t="shared" si="0"/>
        <v>209898.84546023549</v>
      </c>
      <c r="AM52" s="74">
        <f t="shared" si="0"/>
        <v>210490.84799749259</v>
      </c>
      <c r="AN52" s="74">
        <f t="shared" si="0"/>
        <v>210875.85941536754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>
        <f t="shared" si="1"/>
        <v>-0.32976738125407207</v>
      </c>
      <c r="X53" s="107">
        <f t="shared" si="1"/>
        <v>-0.13229550505839319</v>
      </c>
      <c r="Y53" s="107">
        <f t="shared" si="1"/>
        <v>3.1382945559583271E-2</v>
      </c>
      <c r="Z53" s="107">
        <f t="shared" si="1"/>
        <v>0.12322421072516718</v>
      </c>
      <c r="AA53" s="107">
        <f t="shared" si="1"/>
        <v>0.18220441378388294</v>
      </c>
      <c r="AB53" s="107">
        <f t="shared" si="1"/>
        <v>0.22252375092919918</v>
      </c>
      <c r="AC53" s="107">
        <f t="shared" si="1"/>
        <v>0.18839656510467068</v>
      </c>
      <c r="AD53" s="107">
        <f t="shared" si="1"/>
        <v>0.21312196297656735</v>
      </c>
      <c r="AE53" s="107">
        <f t="shared" si="1"/>
        <v>0.23300513065472317</v>
      </c>
      <c r="AF53" s="107">
        <f t="shared" si="1"/>
        <v>0.24953506201297973</v>
      </c>
      <c r="AG53" s="107">
        <f t="shared" si="1"/>
        <v>0.26254245090164247</v>
      </c>
      <c r="AH53" s="107">
        <f t="shared" si="1"/>
        <v>0.27407403038001654</v>
      </c>
      <c r="AI53" s="107">
        <f t="shared" si="1"/>
        <v>0.2844038379704657</v>
      </c>
      <c r="AJ53" s="107">
        <f t="shared" si="1"/>
        <v>0.30296489481828187</v>
      </c>
      <c r="AK53" s="107">
        <f t="shared" si="1"/>
        <v>0.30372214329013375</v>
      </c>
      <c r="AL53" s="107">
        <f t="shared" si="1"/>
        <v>0.30420171120552403</v>
      </c>
      <c r="AM53" s="107">
        <f t="shared" si="1"/>
        <v>0.3050596872676446</v>
      </c>
      <c r="AN53" s="107">
        <f t="shared" si="1"/>
        <v>0.30561767572105614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235166.66666666666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-65914.901927106621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-69247.465536194708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-72580.029145282679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-386401.13666666666</v>
      </c>
      <c r="V58" s="13">
        <f t="shared" si="2"/>
        <v>-235166.66666666666</v>
      </c>
      <c r="W58" s="13">
        <f t="shared" si="2"/>
        <v>-258611.22392627044</v>
      </c>
      <c r="X58" s="13">
        <f t="shared" si="2"/>
        <v>-250870.44464017986</v>
      </c>
      <c r="Y58" s="13">
        <f t="shared" si="2"/>
        <v>-229947.35861162603</v>
      </c>
      <c r="Z58" s="13">
        <f t="shared" si="2"/>
        <v>-264711.23996111756</v>
      </c>
      <c r="AA58" s="13">
        <f t="shared" si="2"/>
        <v>-12068.227663300284</v>
      </c>
      <c r="AB58" s="13">
        <f t="shared" si="2"/>
        <v>6207.4269141043333</v>
      </c>
      <c r="AC58" s="13">
        <f t="shared" si="2"/>
        <v>1294.1666620293254</v>
      </c>
      <c r="AD58" s="13">
        <f t="shared" si="2"/>
        <v>16928.525618610816</v>
      </c>
      <c r="AE58" s="13">
        <f t="shared" si="2"/>
        <v>32728.652835286819</v>
      </c>
      <c r="AF58" s="13">
        <f t="shared" si="2"/>
        <v>85430.440299877519</v>
      </c>
      <c r="AG58" s="13">
        <f t="shared" si="2"/>
        <v>97286.425338774367</v>
      </c>
      <c r="AH58" s="13">
        <f t="shared" si="2"/>
        <v>109503.1372138083</v>
      </c>
      <c r="AI58" s="13">
        <f t="shared" si="2"/>
        <v>122045.83388940399</v>
      </c>
      <c r="AJ58" s="13">
        <f t="shared" si="2"/>
        <v>141251.64750533795</v>
      </c>
      <c r="AK58" s="13">
        <f t="shared" si="2"/>
        <v>134632.94038256514</v>
      </c>
      <c r="AL58" s="13">
        <f t="shared" si="2"/>
        <v>127822.63398187549</v>
      </c>
      <c r="AM58" s="13">
        <f t="shared" si="2"/>
        <v>121273.4287853726</v>
      </c>
      <c r="AN58" s="13">
        <f t="shared" si="2"/>
        <v>114517.23246948757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-386401.13666666666</v>
      </c>
      <c r="V59" s="12">
        <v>-621567.80333333334</v>
      </c>
      <c r="W59" s="12">
        <v>-880179.02725960384</v>
      </c>
      <c r="X59" s="12">
        <v>-1131049.4718997837</v>
      </c>
      <c r="Y59" s="12">
        <v>-1360996.8305114098</v>
      </c>
      <c r="Z59" s="12">
        <v>-1625708.0704725273</v>
      </c>
      <c r="AA59" s="12">
        <v>-1637776.2981358275</v>
      </c>
      <c r="AB59" s="12">
        <v>-1631568.8712217233</v>
      </c>
      <c r="AC59" s="12">
        <v>-1630274.704559694</v>
      </c>
      <c r="AD59" s="12">
        <v>-1613346.1789410831</v>
      </c>
      <c r="AE59" s="12">
        <v>-1580617.5261057962</v>
      </c>
      <c r="AF59" s="12">
        <v>-1495187.0858059188</v>
      </c>
      <c r="AG59" s="12">
        <v>-1397900.6604671443</v>
      </c>
      <c r="AH59" s="12">
        <v>-1288397.5232533361</v>
      </c>
      <c r="AI59" s="12">
        <v>-1166351.689363932</v>
      </c>
      <c r="AJ59" s="12">
        <v>-1025100.041858594</v>
      </c>
      <c r="AK59" s="12">
        <v>-890467.10147602891</v>
      </c>
      <c r="AL59" s="12">
        <v>-762644.46749415342</v>
      </c>
      <c r="AM59" s="12">
        <v>-641371.03870878078</v>
      </c>
      <c r="AN59" s="12">
        <v>-526853.80623929319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2179.0924014745592</v>
      </c>
      <c r="X63" s="12">
        <v>4358.1848029491184</v>
      </c>
      <c r="Y63" s="12">
        <v>6537.2772044236781</v>
      </c>
      <c r="Z63" s="12">
        <v>8716.3696058982368</v>
      </c>
      <c r="AA63" s="12">
        <v>10895.4620073728</v>
      </c>
      <c r="AB63" s="12">
        <v>13074.554408847356</v>
      </c>
      <c r="AC63" s="12">
        <v>15253.646810321916</v>
      </c>
      <c r="AD63" s="12">
        <v>17432.739211796474</v>
      </c>
      <c r="AE63" s="12">
        <v>19611.831613271035</v>
      </c>
      <c r="AF63" s="12">
        <v>21790.9240147456</v>
      </c>
      <c r="AG63" s="12">
        <v>23970.016416220154</v>
      </c>
      <c r="AH63" s="12">
        <v>26149.108817694712</v>
      </c>
      <c r="AI63" s="12">
        <v>28328.201219169274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291.17026532352008</v>
      </c>
      <c r="X64" s="12">
        <v>582.34053064704017</v>
      </c>
      <c r="Y64" s="12">
        <v>873.51079597056014</v>
      </c>
      <c r="Z64" s="12">
        <v>1164.6810612940803</v>
      </c>
      <c r="AA64" s="12">
        <v>1455.8513266176003</v>
      </c>
      <c r="AB64" s="12">
        <v>1747.0215919411203</v>
      </c>
      <c r="AC64" s="12">
        <v>2038.1918572646407</v>
      </c>
      <c r="AD64" s="12">
        <v>2329.3621225881607</v>
      </c>
      <c r="AE64" s="12">
        <v>2620.5323879116804</v>
      </c>
      <c r="AF64" s="12">
        <v>2911.7026532352006</v>
      </c>
      <c r="AG64" s="12">
        <v>3202.8729185587208</v>
      </c>
      <c r="AH64" s="12">
        <v>3494.0431838822406</v>
      </c>
      <c r="AI64" s="12">
        <v>3785.2134492057612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1770.8074248550399</v>
      </c>
      <c r="X65" s="12">
        <v>3541.6148497100799</v>
      </c>
      <c r="Y65" s="12">
        <v>5312.4222745651196</v>
      </c>
      <c r="Z65" s="12">
        <v>7083.2296994201597</v>
      </c>
      <c r="AA65" s="12">
        <v>8854.0371242752008</v>
      </c>
      <c r="AB65" s="12">
        <v>10624.844549130239</v>
      </c>
      <c r="AC65" s="12">
        <v>12395.651973985277</v>
      </c>
      <c r="AD65" s="12">
        <v>14166.459398840319</v>
      </c>
      <c r="AE65" s="12">
        <v>15937.266823695358</v>
      </c>
      <c r="AF65" s="12">
        <v>17708.074248550402</v>
      </c>
      <c r="AG65" s="12">
        <v>19478.881673405438</v>
      </c>
      <c r="AH65" s="12">
        <v>21249.689098260478</v>
      </c>
      <c r="AI65" s="12">
        <v>23020.496523115518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4241.0700916531196</v>
      </c>
      <c r="X67" s="13">
        <v>8482.1401833062391</v>
      </c>
      <c r="Y67" s="13">
        <v>12723.210274959358</v>
      </c>
      <c r="Z67" s="13">
        <v>16964.280366612478</v>
      </c>
      <c r="AA67" s="13">
        <v>21205.350458265602</v>
      </c>
      <c r="AB67" s="13">
        <v>25446.420549918716</v>
      </c>
      <c r="AC67" s="13">
        <v>29687.490641571832</v>
      </c>
      <c r="AD67" s="13">
        <v>33928.560733224956</v>
      </c>
      <c r="AE67" s="13">
        <v>38169.63082487807</v>
      </c>
      <c r="AF67" s="13">
        <v>42410.700916531205</v>
      </c>
      <c r="AG67" s="13">
        <v>46651.771008184311</v>
      </c>
      <c r="AH67" s="13">
        <v>50892.841099837431</v>
      </c>
      <c r="AI67" s="13">
        <v>55133.911191490552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3548.7782819161657</v>
      </c>
      <c r="X75" s="74">
        <v>7097.5565638323314</v>
      </c>
      <c r="Y75" s="74">
        <v>10646.334845748495</v>
      </c>
      <c r="Z75" s="74">
        <v>14195.113127664663</v>
      </c>
      <c r="AA75" s="74">
        <v>17743.891409580832</v>
      </c>
      <c r="AB75" s="74">
        <v>21292.669691496991</v>
      </c>
      <c r="AC75" s="74">
        <v>7654.0037065972865</v>
      </c>
      <c r="AD75" s="74">
        <v>-5569.2871924602368</v>
      </c>
      <c r="AE75" s="74">
        <v>-2089.7380915177782</v>
      </c>
      <c r="AF75" s="74">
        <v>1389.8110094247095</v>
      </c>
      <c r="AG75" s="74">
        <v>4869.3601103671681</v>
      </c>
      <c r="AH75" s="74">
        <v>8348.9092113096413</v>
      </c>
      <c r="AI75" s="74">
        <v>11828.458312252107</v>
      </c>
      <c r="AJ75" s="74">
        <v>15308.007413194573</v>
      </c>
      <c r="AK75" s="74">
        <v>15308.007413194573</v>
      </c>
      <c r="AL75" s="74">
        <v>15308.007413194573</v>
      </c>
      <c r="AM75" s="74">
        <v>15308.007413194573</v>
      </c>
      <c r="AN75" s="74">
        <v>15308.007413194573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048ED-F2B8-40E8-9BCC-319521DC54D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77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3</v>
      </c>
      <c r="AJ1" s="69">
        <v>6</v>
      </c>
      <c r="AK1" s="69">
        <v>9</v>
      </c>
      <c r="AL1" s="69">
        <v>12</v>
      </c>
      <c r="AM1" s="69">
        <v>15</v>
      </c>
      <c r="AN1" s="69">
        <v>18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3.1666666666666665</v>
      </c>
      <c r="AK2" s="69">
        <v>3.3333333333333335</v>
      </c>
      <c r="AL2" s="69">
        <v>3.5</v>
      </c>
      <c r="AM2" s="69">
        <v>3.6666666666666665</v>
      </c>
      <c r="AN2" s="69">
        <v>3.8333333333333335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0.16666666666666666</v>
      </c>
      <c r="AK3" s="69">
        <v>0.33333333333333331</v>
      </c>
      <c r="AL3" s="69">
        <v>0.5</v>
      </c>
      <c r="AM3" s="69">
        <v>0.66666666666666663</v>
      </c>
      <c r="AN3" s="69">
        <v>0.83333333333333337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3</v>
      </c>
      <c r="AJ4" s="69">
        <v>9.1666666666666661</v>
      </c>
      <c r="AK4" s="69">
        <v>12.333333333333334</v>
      </c>
      <c r="AL4" s="69">
        <v>15.5</v>
      </c>
      <c r="AM4" s="69">
        <v>18.666666666666668</v>
      </c>
      <c r="AN4" s="69">
        <v>21.833333333333332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6</v>
      </c>
      <c r="AJ6" s="66">
        <v>11</v>
      </c>
      <c r="AK6" s="66">
        <v>15</v>
      </c>
      <c r="AL6" s="66">
        <v>18</v>
      </c>
      <c r="AM6" s="66">
        <v>22</v>
      </c>
      <c r="AN6" s="66">
        <v>26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2.8299999999999996</v>
      </c>
      <c r="AJ7" s="108">
        <v>5.6499999999999995</v>
      </c>
      <c r="AK7" s="108">
        <v>8.48</v>
      </c>
      <c r="AL7" s="108">
        <v>11.299999999999999</v>
      </c>
      <c r="AM7" s="108">
        <v>14.12</v>
      </c>
      <c r="AN7" s="108">
        <v>16.950000000000003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0.43</v>
      </c>
      <c r="AJ8" s="108">
        <v>0.86</v>
      </c>
      <c r="AK8" s="108">
        <v>1.29</v>
      </c>
      <c r="AL8" s="108">
        <v>1.72</v>
      </c>
      <c r="AM8" s="108">
        <v>2.15</v>
      </c>
      <c r="AN8" s="108">
        <v>2.5799999999999996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0.25</v>
      </c>
      <c r="AK12" s="108">
        <v>0.26</v>
      </c>
      <c r="AL12" s="108">
        <v>0.27</v>
      </c>
      <c r="AM12" s="108">
        <v>0.29000000000000004</v>
      </c>
      <c r="AN12" s="108">
        <v>0.3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0.02</v>
      </c>
      <c r="AJ13" s="108">
        <v>0.35000000000000003</v>
      </c>
      <c r="AK13" s="108">
        <v>0.39</v>
      </c>
      <c r="AL13" s="108">
        <v>0.42</v>
      </c>
      <c r="AM13" s="108">
        <v>0.45</v>
      </c>
      <c r="AN13" s="108">
        <v>0.49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0.02</v>
      </c>
      <c r="AJ14" s="108">
        <v>0.2</v>
      </c>
      <c r="AK14" s="108">
        <v>0.22</v>
      </c>
      <c r="AL14" s="108">
        <v>0.25</v>
      </c>
      <c r="AM14" s="108">
        <v>0.27</v>
      </c>
      <c r="AN14" s="108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0.02</v>
      </c>
      <c r="AJ15" s="108">
        <v>0.03</v>
      </c>
      <c r="AK15" s="108">
        <v>0.04</v>
      </c>
      <c r="AL15" s="108">
        <v>0.05</v>
      </c>
      <c r="AM15" s="108">
        <v>0.06</v>
      </c>
      <c r="AN15" s="108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0.02</v>
      </c>
      <c r="AJ16" s="108">
        <v>0.03</v>
      </c>
      <c r="AK16" s="108">
        <v>0.04</v>
      </c>
      <c r="AL16" s="108">
        <v>0.05</v>
      </c>
      <c r="AM16" s="108">
        <v>0.06</v>
      </c>
      <c r="AN16" s="108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0.3</v>
      </c>
      <c r="AJ17" s="108">
        <v>0.6</v>
      </c>
      <c r="AK17" s="108">
        <v>0.9</v>
      </c>
      <c r="AL17" s="108">
        <v>1.2</v>
      </c>
      <c r="AM17" s="108">
        <v>1.5</v>
      </c>
      <c r="AN17" s="108">
        <v>1.8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3</v>
      </c>
      <c r="AJ21" s="120">
        <v>7</v>
      </c>
      <c r="AK21" s="120">
        <v>10</v>
      </c>
      <c r="AL21" s="120">
        <v>13</v>
      </c>
      <c r="AM21" s="120">
        <v>16</v>
      </c>
      <c r="AN21" s="120">
        <v>20</v>
      </c>
    </row>
    <row r="22" spans="2:50" x14ac:dyDescent="0.25">
      <c r="B22" s="2" t="s">
        <v>464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170.02883240223466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315.03999999999996</v>
      </c>
      <c r="AJ23" s="52">
        <v>630.07999999999993</v>
      </c>
      <c r="AK23" s="52">
        <v>945.11999999999989</v>
      </c>
      <c r="AL23" s="52">
        <v>1260.1599999999999</v>
      </c>
      <c r="AM23" s="52">
        <v>1575.1999999999996</v>
      </c>
      <c r="AN23" s="52">
        <v>1890.2399999999998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46796.978800000004</v>
      </c>
      <c r="AJ26" s="12">
        <v>93593.957600000009</v>
      </c>
      <c r="AK26" s="12">
        <v>140390.93640000001</v>
      </c>
      <c r="AL26" s="12">
        <v>187187.91520000002</v>
      </c>
      <c r="AM26" s="12">
        <v>233984.89399999997</v>
      </c>
      <c r="AN26" s="12">
        <v>280781.87280000001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2743.8788</v>
      </c>
      <c r="AJ27" s="12">
        <v>5487.7575999999999</v>
      </c>
      <c r="AK27" s="12">
        <v>8231.6363999999994</v>
      </c>
      <c r="AL27" s="12">
        <v>10975.5152</v>
      </c>
      <c r="AM27" s="12">
        <v>13719.393999999998</v>
      </c>
      <c r="AN27" s="12">
        <v>16463.272799999999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6521.1174599999977</v>
      </c>
      <c r="AJ28" s="12">
        <v>13042.234919999995</v>
      </c>
      <c r="AK28" s="12">
        <v>19563.352379999993</v>
      </c>
      <c r="AL28" s="12">
        <v>26084.469839999991</v>
      </c>
      <c r="AM28" s="12">
        <v>32605.587299999992</v>
      </c>
      <c r="AN28" s="12">
        <v>39126.704759999986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501.62441999999999</v>
      </c>
      <c r="AJ29" s="12">
        <v>1003.24884</v>
      </c>
      <c r="AK29" s="12">
        <v>1504.8732600000001</v>
      </c>
      <c r="AL29" s="12">
        <v>2006.4976799999999</v>
      </c>
      <c r="AM29" s="12">
        <v>2508.1221</v>
      </c>
      <c r="AN29" s="12">
        <v>3009.7465200000001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654.50319999999988</v>
      </c>
      <c r="AJ30" s="12">
        <v>1309.0063999999998</v>
      </c>
      <c r="AK30" s="12">
        <v>1963.5095999999999</v>
      </c>
      <c r="AL30" s="12">
        <v>2618.0127999999995</v>
      </c>
      <c r="AM30" s="12">
        <v>3272.5159999999996</v>
      </c>
      <c r="AN30" s="12">
        <v>3927.0191999999997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-10068.832691599999</v>
      </c>
      <c r="AJ35" s="12">
        <v>-16935.005013199996</v>
      </c>
      <c r="AK35" s="12">
        <v>-23801.177334799995</v>
      </c>
      <c r="AL35" s="12">
        <v>-30667.349656399994</v>
      </c>
      <c r="AM35" s="12">
        <v>-37533.521977999997</v>
      </c>
      <c r="AN35" s="12">
        <v>-44399.694299599993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71094.22760506667</v>
      </c>
      <c r="AJ37" s="13">
        <v>118702.27916346668</v>
      </c>
      <c r="AK37" s="13">
        <v>166310.33072186666</v>
      </c>
      <c r="AL37" s="13">
        <v>213918.38228026667</v>
      </c>
      <c r="AM37" s="13">
        <v>261526.43383866665</v>
      </c>
      <c r="AN37" s="13">
        <v>309134.48539706669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64468.384474710649</v>
      </c>
      <c r="AJ40" s="12">
        <v>101747.14676808797</v>
      </c>
      <c r="AK40" s="12">
        <v>125295.91257613194</v>
      </c>
      <c r="AL40" s="12">
        <v>148796.0015361759</v>
      </c>
      <c r="AM40" s="12">
        <v>172335.85916288654</v>
      </c>
      <c r="AN40" s="12">
        <v>196207.45297093058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393.58904832000007</v>
      </c>
      <c r="AJ44" s="12">
        <v>1042.2821094400001</v>
      </c>
      <c r="AK44" s="12">
        <v>1075.0811968000003</v>
      </c>
      <c r="AL44" s="12">
        <v>1107.88028416</v>
      </c>
      <c r="AM44" s="12">
        <v>1140.6793715200004</v>
      </c>
      <c r="AN44" s="12">
        <v>1184.4114880000002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3676.7735999999991</v>
      </c>
      <c r="AJ46" s="12">
        <v>5617.639799999999</v>
      </c>
      <c r="AK46" s="12">
        <v>6946.7507999999998</v>
      </c>
      <c r="AL46" s="12">
        <v>8272.2203999999983</v>
      </c>
      <c r="AM46" s="12">
        <v>9597.6899999999969</v>
      </c>
      <c r="AN46" s="12">
        <v>10937.725199999999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151234.47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5813.269870103918</v>
      </c>
      <c r="AJ49" s="12">
        <f>'Corp.'!AJ$50*(AJ$37-(AJ31-AJ32-AJ34)*$C$35)/(SUM('MDA1:NCA9'!AJ$37)-SUM('MDA1:NCA9'!AJ$31)-SUM('MDA1:NCA9'!AJ$32)-SUM('MDA1:NCA9'!AJ$34))</f>
        <v>9542.4747427287148</v>
      </c>
      <c r="AK49" s="12">
        <f>'Corp.'!AK$50*(AK$37-(AK31-AK32-AK34)*$C$35)/(SUM('MDA1:NCA9'!AK$37)-SUM('MDA1:NCA9'!AK$31)-SUM('MDA1:NCA9'!AK$32)-SUM('MDA1:NCA9'!AK$34))</f>
        <v>13157.914448411786</v>
      </c>
      <c r="AL49" s="12">
        <f>'Corp.'!AL$50*(AL$37-(AL31-AL32-AL34)*$C$35)/(SUM('MDA1:NCA9'!AL$37)-SUM('MDA1:NCA9'!AL$31)-SUM('MDA1:NCA9'!AL$32)-SUM('MDA1:NCA9'!AL$34))</f>
        <v>16674.120099317075</v>
      </c>
      <c r="AM49" s="12">
        <f>'Corp.'!AM$50*(AM$37-(AM31-AM32-AM34)*$C$35)/(SUM('MDA1:NCA9'!AM$37)-SUM('MDA1:NCA9'!AM$31)-SUM('MDA1:NCA9'!AM$32)-SUM('MDA1:NCA9'!AM$34))</f>
        <v>20054.938675275596</v>
      </c>
      <c r="AN49" s="12">
        <f>'Corp.'!AN$50*(AN$37-(AN31-AN32-AN34)*$C$35)/(SUM('MDA1:NCA9'!AN$37)-SUM('MDA1:NCA9'!AN$31)-SUM('MDA1:NCA9'!AN$32)-SUM('MDA1:NCA9'!AN$34))</f>
        <v>23373.685098507103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11696.666666666668</v>
      </c>
      <c r="AD50" s="13">
        <v>11696.666666666668</v>
      </c>
      <c r="AE50" s="13">
        <v>11696.666666666668</v>
      </c>
      <c r="AF50" s="13">
        <v>11696.666666666668</v>
      </c>
      <c r="AG50" s="13">
        <v>162931.13666666666</v>
      </c>
      <c r="AH50" s="13">
        <v>11696.666666666668</v>
      </c>
      <c r="AI50" s="13">
        <v>111577.84794481458</v>
      </c>
      <c r="AJ50" s="13">
        <v>154526.6813108167</v>
      </c>
      <c r="AK50" s="13">
        <v>183019.99782454374</v>
      </c>
      <c r="AL50" s="13">
        <v>211361.76203549298</v>
      </c>
      <c r="AM50" s="13">
        <v>239607.90783816215</v>
      </c>
      <c r="AN50" s="13">
        <v>268138.28326943767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-11696.666666666668</v>
      </c>
      <c r="AD52" s="74">
        <f t="shared" si="0"/>
        <v>-11696.666666666668</v>
      </c>
      <c r="AE52" s="74">
        <f t="shared" si="0"/>
        <v>-11696.666666666668</v>
      </c>
      <c r="AF52" s="74">
        <f t="shared" si="0"/>
        <v>-11696.666666666668</v>
      </c>
      <c r="AG52" s="74">
        <f t="shared" si="0"/>
        <v>-162931.13666666666</v>
      </c>
      <c r="AH52" s="74">
        <f t="shared" si="0"/>
        <v>-11696.666666666668</v>
      </c>
      <c r="AI52" s="74">
        <f t="shared" si="0"/>
        <v>-40483.620339747911</v>
      </c>
      <c r="AJ52" s="74">
        <f t="shared" si="0"/>
        <v>-35824.402147350018</v>
      </c>
      <c r="AK52" s="74">
        <f t="shared" si="0"/>
        <v>-16709.667102677078</v>
      </c>
      <c r="AL52" s="74">
        <f t="shared" si="0"/>
        <v>2556.6202447736869</v>
      </c>
      <c r="AM52" s="74">
        <f t="shared" si="0"/>
        <v>21918.526000504498</v>
      </c>
      <c r="AN52" s="74">
        <f t="shared" si="0"/>
        <v>40996.202127629018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>
        <f t="shared" si="1"/>
        <v>-0.56943610899941433</v>
      </c>
      <c r="AJ53" s="107">
        <f t="shared" si="1"/>
        <v>-0.30180045741173767</v>
      </c>
      <c r="AK53" s="107">
        <f t="shared" si="1"/>
        <v>-0.10047281506896837</v>
      </c>
      <c r="AL53" s="107">
        <f t="shared" si="1"/>
        <v>1.1951381725690656E-2</v>
      </c>
      <c r="AM53" s="107">
        <f t="shared" si="1"/>
        <v>8.3809983101080496E-2</v>
      </c>
      <c r="AN53" s="107">
        <f t="shared" si="1"/>
        <v>0.13261607508774567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235166.66666666666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-62582.338318018694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-11696.666666666668</v>
      </c>
      <c r="AD58" s="13">
        <f t="shared" si="2"/>
        <v>-11696.666666666668</v>
      </c>
      <c r="AE58" s="13">
        <f t="shared" si="2"/>
        <v>-11696.666666666668</v>
      </c>
      <c r="AF58" s="13">
        <f t="shared" si="2"/>
        <v>-11696.666666666668</v>
      </c>
      <c r="AG58" s="13">
        <f t="shared" si="2"/>
        <v>-398097.80333333334</v>
      </c>
      <c r="AH58" s="13">
        <f t="shared" si="2"/>
        <v>-246863.33333333331</v>
      </c>
      <c r="AI58" s="13">
        <f t="shared" si="2"/>
        <v>-275650.28700641455</v>
      </c>
      <c r="AJ58" s="13">
        <f t="shared" si="2"/>
        <v>-270991.06881401665</v>
      </c>
      <c r="AK58" s="13">
        <f t="shared" si="2"/>
        <v>-251876.33376934374</v>
      </c>
      <c r="AL58" s="13">
        <f t="shared" si="2"/>
        <v>-288514.54353243433</v>
      </c>
      <c r="AM58" s="13">
        <f t="shared" si="2"/>
        <v>-37800.97222935949</v>
      </c>
      <c r="AN58" s="13">
        <f t="shared" si="2"/>
        <v>-21586.136190389676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-11696.666666666668</v>
      </c>
      <c r="AD59" s="12">
        <v>-23393.333333333336</v>
      </c>
      <c r="AE59" s="12">
        <v>-35090</v>
      </c>
      <c r="AF59" s="12">
        <v>-46786.666666666672</v>
      </c>
      <c r="AG59" s="12">
        <v>-444884.47000000003</v>
      </c>
      <c r="AH59" s="12">
        <v>-691747.80333333334</v>
      </c>
      <c r="AI59" s="12">
        <v>-967398.09033974796</v>
      </c>
      <c r="AJ59" s="12">
        <v>-1238389.1591537646</v>
      </c>
      <c r="AK59" s="12">
        <v>-1490265.4929231084</v>
      </c>
      <c r="AL59" s="12">
        <v>-1778780.0364555428</v>
      </c>
      <c r="AM59" s="12">
        <v>-1816581.0086849022</v>
      </c>
      <c r="AN59" s="12">
        <v>-1838167.144875292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2179.0924014745592</v>
      </c>
      <c r="AJ63" s="12">
        <v>4358.1848029491184</v>
      </c>
      <c r="AK63" s="12">
        <v>6537.2772044236781</v>
      </c>
      <c r="AL63" s="12">
        <v>8716.3696058982368</v>
      </c>
      <c r="AM63" s="12">
        <v>10895.4620073728</v>
      </c>
      <c r="AN63" s="12">
        <v>13074.554408847356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291.17026532352008</v>
      </c>
      <c r="AJ64" s="12">
        <v>582.34053064704017</v>
      </c>
      <c r="AK64" s="12">
        <v>873.51079597056014</v>
      </c>
      <c r="AL64" s="12">
        <v>1164.6810612940803</v>
      </c>
      <c r="AM64" s="12">
        <v>1455.8513266176003</v>
      </c>
      <c r="AN64" s="12">
        <v>1747.0215919411203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1770.8074248550399</v>
      </c>
      <c r="AJ65" s="12">
        <v>3541.6148497100799</v>
      </c>
      <c r="AK65" s="12">
        <v>5312.4222745651196</v>
      </c>
      <c r="AL65" s="12">
        <v>7083.2296994201597</v>
      </c>
      <c r="AM65" s="12">
        <v>8854.0371242752008</v>
      </c>
      <c r="AN65" s="12">
        <v>10624.844549130239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4241.0700916531196</v>
      </c>
      <c r="AJ67" s="13">
        <v>8482.1401833062391</v>
      </c>
      <c r="AK67" s="13">
        <v>12723.210274959358</v>
      </c>
      <c r="AL67" s="13">
        <v>16964.280366612478</v>
      </c>
      <c r="AM67" s="13">
        <v>21205.350458265602</v>
      </c>
      <c r="AN67" s="13">
        <v>25446.420549918716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761.52099071064936</v>
      </c>
      <c r="AJ72" s="12">
        <v>1523.0419814212987</v>
      </c>
      <c r="AK72" s="12">
        <v>2284.5629721319478</v>
      </c>
      <c r="AL72" s="12">
        <v>3046.0839628425974</v>
      </c>
      <c r="AM72" s="12">
        <v>3807.604953553247</v>
      </c>
      <c r="AN72" s="12">
        <v>4569.1259442638957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3479.5491009424704</v>
      </c>
      <c r="AJ75" s="74">
        <v>6959.0982018849409</v>
      </c>
      <c r="AK75" s="74">
        <v>10438.64730282741</v>
      </c>
      <c r="AL75" s="74">
        <v>13918.196403769882</v>
      </c>
      <c r="AM75" s="74">
        <v>17397.745504712355</v>
      </c>
      <c r="AN75" s="74">
        <v>20877.294605654821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C1EA9-ABC4-4224-B176-71590C8FE55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77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1</v>
      </c>
      <c r="AI1" s="69">
        <v>3</v>
      </c>
      <c r="AJ1" s="69">
        <v>5</v>
      </c>
      <c r="AK1" s="69">
        <v>6</v>
      </c>
      <c r="AL1" s="69">
        <v>8</v>
      </c>
      <c r="AM1" s="69">
        <v>10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1.8809523809523809</v>
      </c>
      <c r="AJ2" s="69">
        <v>2.0476190476190474</v>
      </c>
      <c r="AK2" s="69">
        <v>2.2142857142857144</v>
      </c>
      <c r="AL2" s="69">
        <v>2.3809523809523809</v>
      </c>
      <c r="AM2" s="69">
        <v>2.5476190476190474</v>
      </c>
      <c r="AN2" s="69">
        <v>2.7142857142857144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1</v>
      </c>
      <c r="AI4" s="69">
        <v>4.8809523809523814</v>
      </c>
      <c r="AJ4" s="69">
        <v>7.0476190476190474</v>
      </c>
      <c r="AK4" s="69">
        <v>8.2142857142857153</v>
      </c>
      <c r="AL4" s="69">
        <v>10.380952380952381</v>
      </c>
      <c r="AM4" s="69">
        <v>12.547619047619047</v>
      </c>
      <c r="AN4" s="69">
        <v>14.714285714285715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2</v>
      </c>
      <c r="AI6" s="66">
        <v>4</v>
      </c>
      <c r="AJ6" s="66">
        <v>5</v>
      </c>
      <c r="AK6" s="66">
        <v>6</v>
      </c>
      <c r="AL6" s="66">
        <v>7</v>
      </c>
      <c r="AM6" s="66">
        <v>8</v>
      </c>
      <c r="AN6" s="66">
        <v>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0.46</v>
      </c>
      <c r="AI7" s="108">
        <v>1.36</v>
      </c>
      <c r="AJ7" s="108">
        <v>2.2599999999999998</v>
      </c>
      <c r="AK7" s="108">
        <v>2.71</v>
      </c>
      <c r="AL7" s="108">
        <v>3.61</v>
      </c>
      <c r="AM7" s="108">
        <v>4.51</v>
      </c>
      <c r="AN7" s="108">
        <v>5.42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9.9999999999999992E-2</v>
      </c>
      <c r="AI8" s="108">
        <v>0.28000000000000003</v>
      </c>
      <c r="AJ8" s="108">
        <v>0.46</v>
      </c>
      <c r="AK8" s="108">
        <v>0.55000000000000004</v>
      </c>
      <c r="AL8" s="108">
        <v>0.73</v>
      </c>
      <c r="AM8" s="108">
        <v>0.91</v>
      </c>
      <c r="AN8" s="108">
        <v>1.1000000000000001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0.15000000000000002</v>
      </c>
      <c r="AJ12" s="108">
        <v>0.16</v>
      </c>
      <c r="AK12" s="108">
        <v>0.18000000000000002</v>
      </c>
      <c r="AL12" s="108">
        <v>0.19</v>
      </c>
      <c r="AM12" s="108">
        <v>0.2</v>
      </c>
      <c r="AN12" s="108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0.01</v>
      </c>
      <c r="AI13" s="108">
        <v>0.21000000000000002</v>
      </c>
      <c r="AJ13" s="108">
        <v>0.24000000000000002</v>
      </c>
      <c r="AK13" s="108">
        <v>0.26</v>
      </c>
      <c r="AL13" s="108">
        <v>0.29000000000000004</v>
      </c>
      <c r="AM13" s="108">
        <v>0.31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0.01</v>
      </c>
      <c r="AI14" s="108">
        <v>0.12</v>
      </c>
      <c r="AJ14" s="108">
        <v>0.13</v>
      </c>
      <c r="AK14" s="108">
        <v>0.15000000000000002</v>
      </c>
      <c r="AL14" s="108">
        <v>0.17</v>
      </c>
      <c r="AM14" s="108">
        <v>0.19</v>
      </c>
      <c r="AN14" s="108">
        <v>0.21000000000000002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0.01</v>
      </c>
      <c r="AI15" s="108">
        <v>0.02</v>
      </c>
      <c r="AJ15" s="108">
        <v>0.02</v>
      </c>
      <c r="AK15" s="108">
        <v>0.03</v>
      </c>
      <c r="AL15" s="108">
        <v>0.04</v>
      </c>
      <c r="AM15" s="108">
        <v>0.04</v>
      </c>
      <c r="AN15" s="108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0.01</v>
      </c>
      <c r="AI16" s="108">
        <v>0.02</v>
      </c>
      <c r="AJ16" s="108">
        <v>0.02</v>
      </c>
      <c r="AK16" s="108">
        <v>0.03</v>
      </c>
      <c r="AL16" s="108">
        <v>0.04</v>
      </c>
      <c r="AM16" s="108">
        <v>0.04</v>
      </c>
      <c r="AN16" s="108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1</v>
      </c>
      <c r="AI21" s="120">
        <v>2</v>
      </c>
      <c r="AJ21" s="120">
        <v>3</v>
      </c>
      <c r="AK21" s="120">
        <v>3</v>
      </c>
      <c r="AL21" s="120">
        <v>4</v>
      </c>
      <c r="AM21" s="120">
        <v>5</v>
      </c>
      <c r="AN21" s="120">
        <v>7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174.55720170454555</v>
      </c>
      <c r="AI22" s="78">
        <v>174.55720170454543</v>
      </c>
      <c r="AJ22" s="78">
        <v>174.55720170454541</v>
      </c>
      <c r="AK22" s="78">
        <v>174.55720170454543</v>
      </c>
      <c r="AL22" s="78">
        <v>174.55720170454555</v>
      </c>
      <c r="AM22" s="78">
        <v>174.55720170454541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51.626666666666658</v>
      </c>
      <c r="AI23" s="52">
        <v>154.88</v>
      </c>
      <c r="AJ23" s="52">
        <v>258.13333333333333</v>
      </c>
      <c r="AK23" s="52">
        <v>309.76</v>
      </c>
      <c r="AL23" s="52">
        <v>413.01333333333326</v>
      </c>
      <c r="AM23" s="52">
        <v>516.26666666666665</v>
      </c>
      <c r="AN23" s="52">
        <v>619.52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8154.019033333333</v>
      </c>
      <c r="AI26" s="12">
        <v>24462.057099999998</v>
      </c>
      <c r="AJ26" s="12">
        <v>40770.095166666659</v>
      </c>
      <c r="AK26" s="12">
        <v>48924.114199999996</v>
      </c>
      <c r="AL26" s="12">
        <v>65232.152266666664</v>
      </c>
      <c r="AM26" s="12">
        <v>81540.190333333318</v>
      </c>
      <c r="AN26" s="12">
        <v>97848.228399999993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1086.8529099999998</v>
      </c>
      <c r="AI28" s="12">
        <v>3260.5587299999988</v>
      </c>
      <c r="AJ28" s="12">
        <v>5434.2645499999981</v>
      </c>
      <c r="AK28" s="12">
        <v>6521.1174599999977</v>
      </c>
      <c r="AL28" s="12">
        <v>8694.8232799999987</v>
      </c>
      <c r="AM28" s="12">
        <v>10868.529099999996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167.20813999999999</v>
      </c>
      <c r="AI29" s="12">
        <v>501.62441999999999</v>
      </c>
      <c r="AJ29" s="12">
        <v>836.04070000000002</v>
      </c>
      <c r="AK29" s="12">
        <v>1003.24884</v>
      </c>
      <c r="AL29" s="12">
        <v>1337.6651199999999</v>
      </c>
      <c r="AM29" s="12">
        <v>1672.0814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218.1677333333333</v>
      </c>
      <c r="AI30" s="12">
        <v>654.50319999999988</v>
      </c>
      <c r="AJ30" s="12">
        <v>1090.8386666666665</v>
      </c>
      <c r="AK30" s="12">
        <v>1309.0063999999998</v>
      </c>
      <c r="AL30" s="12">
        <v>1745.3418666666664</v>
      </c>
      <c r="AM30" s="12">
        <v>2181.6773333333331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-1155.1497380000001</v>
      </c>
      <c r="AI35" s="12">
        <v>-3465.4492139999993</v>
      </c>
      <c r="AJ35" s="12">
        <v>-5775.7486899999985</v>
      </c>
      <c r="AK35" s="12">
        <v>-6930.8984279999986</v>
      </c>
      <c r="AL35" s="12">
        <v>-9241.1979040000006</v>
      </c>
      <c r="AM35" s="12">
        <v>-11551.497379999997</v>
      </c>
      <c r="AN35" s="12">
        <v>-13861.796855999997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8471.0980786666678</v>
      </c>
      <c r="AI37" s="13">
        <v>25413.294235999994</v>
      </c>
      <c r="AJ37" s="13">
        <v>42355.490393333319</v>
      </c>
      <c r="AK37" s="13">
        <v>50826.588471999989</v>
      </c>
      <c r="AL37" s="13">
        <v>67768.784629333342</v>
      </c>
      <c r="AM37" s="13">
        <v>84710.980786666638</v>
      </c>
      <c r="AN37" s="13">
        <v>101653.17694399998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14500.139038435716</v>
      </c>
      <c r="AI40" s="12">
        <v>30954.988849973819</v>
      </c>
      <c r="AJ40" s="12">
        <v>35899.148994845244</v>
      </c>
      <c r="AK40" s="12">
        <v>38944.950567280961</v>
      </c>
      <c r="AL40" s="12">
        <v>44211.938712152398</v>
      </c>
      <c r="AM40" s="12">
        <v>49159.607857023817</v>
      </c>
      <c r="AN40" s="12">
        <v>54569.087134561916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379.01167616000009</v>
      </c>
      <c r="AI44" s="12">
        <v>918.3744460800001</v>
      </c>
      <c r="AJ44" s="12">
        <v>936.59616128000027</v>
      </c>
      <c r="AK44" s="12">
        <v>965.75090560000012</v>
      </c>
      <c r="AL44" s="12">
        <v>994.90564992000009</v>
      </c>
      <c r="AM44" s="12">
        <v>1013.1273651200003</v>
      </c>
      <c r="AN44" s="12">
        <v>1042.2821094399999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2247.2640000000001</v>
      </c>
      <c r="AI46" s="12">
        <v>3578.9759999999997</v>
      </c>
      <c r="AJ46" s="12">
        <v>4166.8019999999997</v>
      </c>
      <c r="AK46" s="12">
        <v>4489.3260000000009</v>
      </c>
      <c r="AL46" s="12">
        <v>5092.7579999999998</v>
      </c>
      <c r="AM46" s="12">
        <v>5680.5839999999989</v>
      </c>
      <c r="AN46" s="12">
        <v>6294.4200000000019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703.98116181328146</v>
      </c>
      <c r="AI49" s="12">
        <f>'Corp.'!AI$50*(AI$37-(AI31-AI32-AI34)*$C$35)/(SUM('MDA1:NCA9'!AI$37)-SUM('MDA1:NCA9'!AI$31)-SUM('MDA1:NCA9'!AI$32)-SUM('MDA1:NCA9'!AI$34))</f>
        <v>2078.0074931385257</v>
      </c>
      <c r="AJ49" s="12">
        <f>'Corp.'!AJ$50*(AJ$37-(AJ31-AJ32-AJ34)*$C$35)/(SUM('MDA1:NCA9'!AJ$37)-SUM('MDA1:NCA9'!AJ$31)-SUM('MDA1:NCA9'!AJ$32)-SUM('MDA1:NCA9'!AJ$34))</f>
        <v>3404.957344902155</v>
      </c>
      <c r="AK49" s="12">
        <f>'Corp.'!AK$50*(AK$37-(AK31-AK32-AK34)*$C$35)/(SUM('MDA1:NCA9'!AK$37)-SUM('MDA1:NCA9'!AK$31)-SUM('MDA1:NCA9'!AK$32)-SUM('MDA1:NCA9'!AK$34))</f>
        <v>4021.2288672412442</v>
      </c>
      <c r="AL49" s="12">
        <f>'Corp.'!AL$50*(AL$37-(AL31-AL32-AL34)*$C$35)/(SUM('MDA1:NCA9'!AL$37)-SUM('MDA1:NCA9'!AL$31)-SUM('MDA1:NCA9'!AL$32)-SUM('MDA1:NCA9'!AL$34))</f>
        <v>5282.3176851337603</v>
      </c>
      <c r="AM49" s="12">
        <f>'Corp.'!AM$50*(AM$37-(AM31-AM32-AM34)*$C$35)/(SUM('MDA1:NCA9'!AM$37)-SUM('MDA1:NCA9'!AM$31)-SUM('MDA1:NCA9'!AM$32)-SUM('MDA1:NCA9'!AM$34))</f>
        <v>6495.9916283149742</v>
      </c>
      <c r="AN49" s="12">
        <f>'Corp.'!AN$50*(AN$37-(AN31-AN32-AN34)*$C$35)/(SUM('MDA1:NCA9'!AN$37)-SUM('MDA1:NCA9'!AN$31)-SUM('MDA1:NCA9'!AN$32)-SUM('MDA1:NCA9'!AN$34))</f>
        <v>7686.0054746076657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17451.384200248998</v>
      </c>
      <c r="AI50" s="13">
        <v>36611.972343112342</v>
      </c>
      <c r="AJ50" s="13">
        <v>43470.908339747402</v>
      </c>
      <c r="AK50" s="13">
        <v>47455.505434522209</v>
      </c>
      <c r="AL50" s="13">
        <v>54587.014397286162</v>
      </c>
      <c r="AM50" s="13">
        <v>61336.183485338792</v>
      </c>
      <c r="AN50" s="13">
        <v>68549.512609169586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-8980.2861215823305</v>
      </c>
      <c r="AI52" s="74">
        <f t="shared" si="0"/>
        <v>-11198.678107112348</v>
      </c>
      <c r="AJ52" s="74">
        <f t="shared" si="0"/>
        <v>-1115.4179464140834</v>
      </c>
      <c r="AK52" s="74">
        <f t="shared" si="0"/>
        <v>3371.0830374777797</v>
      </c>
      <c r="AL52" s="74">
        <f t="shared" si="0"/>
        <v>13181.77023204718</v>
      </c>
      <c r="AM52" s="74">
        <f t="shared" si="0"/>
        <v>23374.797301327846</v>
      </c>
      <c r="AN52" s="74">
        <f t="shared" si="0"/>
        <v>33103.664334830391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>
        <f t="shared" si="1"/>
        <v>-1.0601088593458721</v>
      </c>
      <c r="AI53" s="107">
        <f t="shared" si="1"/>
        <v>-0.4406621984193026</v>
      </c>
      <c r="AJ53" s="107">
        <f t="shared" si="1"/>
        <v>-2.6334671988348605E-2</v>
      </c>
      <c r="AK53" s="107">
        <f t="shared" si="1"/>
        <v>6.6325188032930554E-2</v>
      </c>
      <c r="AL53" s="107">
        <f t="shared" si="1"/>
        <v>0.19451094341068534</v>
      </c>
      <c r="AM53" s="107">
        <f t="shared" si="1"/>
        <v>0.27593585960472078</v>
      </c>
      <c r="AN53" s="107">
        <f t="shared" si="1"/>
        <v>0.32565302266024571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-8980.2861215823305</v>
      </c>
      <c r="AI58" s="13">
        <f t="shared" si="2"/>
        <v>-11198.678107112348</v>
      </c>
      <c r="AJ58" s="13">
        <f t="shared" si="2"/>
        <v>-1115.4179464140834</v>
      </c>
      <c r="AK58" s="13">
        <f t="shared" si="2"/>
        <v>3371.0830374777797</v>
      </c>
      <c r="AL58" s="13">
        <f t="shared" si="2"/>
        <v>13181.77023204718</v>
      </c>
      <c r="AM58" s="13">
        <f t="shared" si="2"/>
        <v>22104.132589527846</v>
      </c>
      <c r="AN58" s="13">
        <f t="shared" si="2"/>
        <v>29291.670199430391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-8980.2861215823305</v>
      </c>
      <c r="AI59" s="12">
        <v>-20178.964228694676</v>
      </c>
      <c r="AJ59" s="12">
        <v>-21294.38217510876</v>
      </c>
      <c r="AK59" s="12">
        <v>-17923.29913763098</v>
      </c>
      <c r="AL59" s="12">
        <v>-4741.5289055838002</v>
      </c>
      <c r="AM59" s="12">
        <v>17362.603683944046</v>
      </c>
      <c r="AN59" s="12">
        <v>46654.273883374437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1.2691023820243568E-3</v>
      </c>
      <c r="AI72" s="12">
        <v>3.8073071460730718E-3</v>
      </c>
      <c r="AJ72" s="12">
        <v>6.3455119101217868E-3</v>
      </c>
      <c r="AK72" s="12">
        <v>7.6146142921461437E-3</v>
      </c>
      <c r="AL72" s="12">
        <v>1.0152819056194855E-2</v>
      </c>
      <c r="AM72" s="12">
        <v>1.2691023820243574E-2</v>
      </c>
      <c r="AN72" s="12">
        <v>1.5229228584292287E-2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-1.2691023820243568E-3</v>
      </c>
      <c r="AI75" s="74">
        <v>-3.8073071460730718E-3</v>
      </c>
      <c r="AJ75" s="74">
        <v>-6.3455119101217868E-3</v>
      </c>
      <c r="AK75" s="74">
        <v>-7.6146142921461437E-3</v>
      </c>
      <c r="AL75" s="74">
        <v>-1.0152819056194855E-2</v>
      </c>
      <c r="AM75" s="74">
        <v>-1.2691023820243574E-2</v>
      </c>
      <c r="AN75" s="74">
        <v>-1.5229228584292287E-2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9D7E-2E2B-4205-A9D7-247A95DE174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78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3</v>
      </c>
      <c r="AK1" s="69">
        <v>6</v>
      </c>
      <c r="AL1" s="69">
        <v>9</v>
      </c>
      <c r="AM1" s="69">
        <v>12</v>
      </c>
      <c r="AN1" s="69">
        <v>15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3.1666666666666665</v>
      </c>
      <c r="AL2" s="69">
        <v>3.3333333333333335</v>
      </c>
      <c r="AM2" s="69">
        <v>3.5</v>
      </c>
      <c r="AN2" s="69">
        <v>3.6666666666666665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0.16666666666666666</v>
      </c>
      <c r="AL3" s="69">
        <v>0.33333333333333331</v>
      </c>
      <c r="AM3" s="69">
        <v>0.5</v>
      </c>
      <c r="AN3" s="69">
        <v>0.66666666666666663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3</v>
      </c>
      <c r="AK4" s="69">
        <v>9.1666666666666661</v>
      </c>
      <c r="AL4" s="69">
        <v>12.333333333333334</v>
      </c>
      <c r="AM4" s="69">
        <v>15.5</v>
      </c>
      <c r="AN4" s="69">
        <v>18.666666666666668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6</v>
      </c>
      <c r="AK6" s="66">
        <v>11</v>
      </c>
      <c r="AL6" s="66">
        <v>15</v>
      </c>
      <c r="AM6" s="66">
        <v>18</v>
      </c>
      <c r="AN6" s="66">
        <v>22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2.8299999999999996</v>
      </c>
      <c r="AK7" s="108">
        <v>5.6499999999999995</v>
      </c>
      <c r="AL7" s="108">
        <v>8.48</v>
      </c>
      <c r="AM7" s="108">
        <v>11.299999999999999</v>
      </c>
      <c r="AN7" s="108">
        <v>14.12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0.43</v>
      </c>
      <c r="AK8" s="108">
        <v>0.86</v>
      </c>
      <c r="AL8" s="108">
        <v>1.29</v>
      </c>
      <c r="AM8" s="108">
        <v>1.72</v>
      </c>
      <c r="AN8" s="108">
        <v>2.15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0.25</v>
      </c>
      <c r="AL12" s="108">
        <v>0.26</v>
      </c>
      <c r="AM12" s="108">
        <v>0.27</v>
      </c>
      <c r="AN12" s="108">
        <v>0.29000000000000004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0.02</v>
      </c>
      <c r="AK13" s="108">
        <v>0.35000000000000003</v>
      </c>
      <c r="AL13" s="108">
        <v>0.39</v>
      </c>
      <c r="AM13" s="108">
        <v>0.42</v>
      </c>
      <c r="AN13" s="108">
        <v>0.45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0.02</v>
      </c>
      <c r="AK14" s="108">
        <v>0.2</v>
      </c>
      <c r="AL14" s="108">
        <v>0.22</v>
      </c>
      <c r="AM14" s="108">
        <v>0.25</v>
      </c>
      <c r="AN14" s="108">
        <v>0.27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0.02</v>
      </c>
      <c r="AK15" s="108">
        <v>0.03</v>
      </c>
      <c r="AL15" s="108">
        <v>0.04</v>
      </c>
      <c r="AM15" s="108">
        <v>0.05</v>
      </c>
      <c r="AN15" s="108">
        <v>0.06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0.02</v>
      </c>
      <c r="AK16" s="108">
        <v>0.03</v>
      </c>
      <c r="AL16" s="108">
        <v>0.04</v>
      </c>
      <c r="AM16" s="108">
        <v>0.05</v>
      </c>
      <c r="AN16" s="108">
        <v>0.06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0.3</v>
      </c>
      <c r="AK17" s="108">
        <v>0.6</v>
      </c>
      <c r="AL17" s="108">
        <v>0.9</v>
      </c>
      <c r="AM17" s="108">
        <v>1.2</v>
      </c>
      <c r="AN17" s="108">
        <v>1.5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3</v>
      </c>
      <c r="AK21" s="120">
        <v>7</v>
      </c>
      <c r="AL21" s="120">
        <v>10</v>
      </c>
      <c r="AM21" s="120">
        <v>13</v>
      </c>
      <c r="AN21" s="120">
        <v>16</v>
      </c>
    </row>
    <row r="22" spans="2:50" x14ac:dyDescent="0.25">
      <c r="B22" s="2" t="s">
        <v>464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315.03999999999996</v>
      </c>
      <c r="AK23" s="52">
        <v>630.07999999999993</v>
      </c>
      <c r="AL23" s="52">
        <v>945.11999999999989</v>
      </c>
      <c r="AM23" s="52">
        <v>1260.1599999999999</v>
      </c>
      <c r="AN23" s="52">
        <v>1575.1999999999996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46796.978800000004</v>
      </c>
      <c r="AK26" s="12">
        <v>93593.957600000009</v>
      </c>
      <c r="AL26" s="12">
        <v>140390.93640000001</v>
      </c>
      <c r="AM26" s="12">
        <v>187187.91520000002</v>
      </c>
      <c r="AN26" s="12">
        <v>233984.89399999997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2743.8788</v>
      </c>
      <c r="AK27" s="12">
        <v>5487.7575999999999</v>
      </c>
      <c r="AL27" s="12">
        <v>8231.6363999999994</v>
      </c>
      <c r="AM27" s="12">
        <v>10975.5152</v>
      </c>
      <c r="AN27" s="12">
        <v>13719.393999999998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6521.1174599999977</v>
      </c>
      <c r="AK28" s="12">
        <v>13042.234919999995</v>
      </c>
      <c r="AL28" s="12">
        <v>19563.352379999993</v>
      </c>
      <c r="AM28" s="12">
        <v>26084.469839999991</v>
      </c>
      <c r="AN28" s="12">
        <v>32605.587299999992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501.62441999999999</v>
      </c>
      <c r="AK29" s="12">
        <v>1003.24884</v>
      </c>
      <c r="AL29" s="12">
        <v>1504.8732600000001</v>
      </c>
      <c r="AM29" s="12">
        <v>2006.4976799999999</v>
      </c>
      <c r="AN29" s="12">
        <v>2508.1221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654.50319999999988</v>
      </c>
      <c r="AK30" s="12">
        <v>1309.0063999999998</v>
      </c>
      <c r="AL30" s="12">
        <v>1963.5095999999999</v>
      </c>
      <c r="AM30" s="12">
        <v>2618.0127999999995</v>
      </c>
      <c r="AN30" s="12">
        <v>3272.5159999999996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-10068.832691599999</v>
      </c>
      <c r="AK35" s="12">
        <v>-16935.005013199996</v>
      </c>
      <c r="AL35" s="12">
        <v>-23801.177334799995</v>
      </c>
      <c r="AM35" s="12">
        <v>-30667.349656399994</v>
      </c>
      <c r="AN35" s="12">
        <v>-37533.521977999997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71094.22760506667</v>
      </c>
      <c r="AK37" s="13">
        <v>118702.27916346668</v>
      </c>
      <c r="AL37" s="13">
        <v>166310.33072186666</v>
      </c>
      <c r="AM37" s="13">
        <v>213918.38228026667</v>
      </c>
      <c r="AN37" s="13">
        <v>261526.43383866665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52771.717808043984</v>
      </c>
      <c r="AK40" s="12">
        <v>90050.480101421301</v>
      </c>
      <c r="AL40" s="12">
        <v>113599.24590946527</v>
      </c>
      <c r="AM40" s="12">
        <v>137099.33486950924</v>
      </c>
      <c r="AN40" s="12">
        <v>160639.19249621988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393.58904832000007</v>
      </c>
      <c r="AK44" s="12">
        <v>1042.2821094400001</v>
      </c>
      <c r="AL44" s="12">
        <v>1075.0811968000003</v>
      </c>
      <c r="AM44" s="12">
        <v>1107.88028416</v>
      </c>
      <c r="AN44" s="12">
        <v>1140.6793715200004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3676.7735999999991</v>
      </c>
      <c r="AK46" s="12">
        <v>5617.639799999999</v>
      </c>
      <c r="AL46" s="12">
        <v>6946.7507999999998</v>
      </c>
      <c r="AM46" s="12">
        <v>8272.2203999999983</v>
      </c>
      <c r="AN46" s="12">
        <v>9597.6899999999969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151234.47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5715.2640712222546</v>
      </c>
      <c r="AK49" s="12">
        <f>'Corp.'!AK$50*(AK$37-(AK31-AK32-AK34)*$C$35)/(SUM('MDA1:NCA9'!AK$37)-SUM('MDA1:NCA9'!AK$31)-SUM('MDA1:NCA9'!AK$32)-SUM('MDA1:NCA9'!AK$34))</f>
        <v>9391.3254052535558</v>
      </c>
      <c r="AL49" s="12">
        <f>'Corp.'!AL$50*(AL$37-(AL31-AL32-AL34)*$C$35)/(SUM('MDA1:NCA9'!AL$37)-SUM('MDA1:NCA9'!AL$31)-SUM('MDA1:NCA9'!AL$32)-SUM('MDA1:NCA9'!AL$34))</f>
        <v>12963.254483573921</v>
      </c>
      <c r="AM49" s="12">
        <f>'Corp.'!AM$50*(AM$37-(AM31-AM32-AM34)*$C$35)/(SUM('MDA1:NCA9'!AM$37)-SUM('MDA1:NCA9'!AM$31)-SUM('MDA1:NCA9'!AM$32)-SUM('MDA1:NCA9'!AM$34))</f>
        <v>16404.154544436784</v>
      </c>
      <c r="AN49" s="12">
        <f>'Corp.'!AN$50*(AN$37-(AN31-AN32-AN34)*$C$35)/(SUM('MDA1:NCA9'!AN$37)-SUM('MDA1:NCA9'!AN$31)-SUM('MDA1:NCA9'!AN$32)-SUM('MDA1:NCA9'!AN$34))</f>
        <v>19774.036214785079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151234.47</v>
      </c>
      <c r="AI50" s="13">
        <v>0</v>
      </c>
      <c r="AJ50" s="13">
        <v>99783.175479266254</v>
      </c>
      <c r="AK50" s="13">
        <v>142678.86530667488</v>
      </c>
      <c r="AL50" s="13">
        <v>171128.67119303922</v>
      </c>
      <c r="AM50" s="13">
        <v>199395.12981394603</v>
      </c>
      <c r="AN50" s="13">
        <v>227630.33871100497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-151234.47</v>
      </c>
      <c r="AI52" s="74">
        <f t="shared" si="0"/>
        <v>0</v>
      </c>
      <c r="AJ52" s="74">
        <f t="shared" si="0"/>
        <v>-28688.947874199584</v>
      </c>
      <c r="AK52" s="74">
        <f t="shared" si="0"/>
        <v>-23976.586143208202</v>
      </c>
      <c r="AL52" s="74">
        <f t="shared" si="0"/>
        <v>-4818.3404711725598</v>
      </c>
      <c r="AM52" s="74">
        <f t="shared" si="0"/>
        <v>14523.252466320642</v>
      </c>
      <c r="AN52" s="74">
        <f t="shared" si="0"/>
        <v>33896.095127661683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>
        <f t="shared" si="1"/>
        <v>-0.40353413829275514</v>
      </c>
      <c r="AK53" s="107">
        <f t="shared" si="1"/>
        <v>-0.20198926517821691</v>
      </c>
      <c r="AL53" s="107">
        <f t="shared" si="1"/>
        <v>-2.8971985385746329E-2</v>
      </c>
      <c r="AM53" s="107">
        <f t="shared" si="1"/>
        <v>6.7891558974548058E-2</v>
      </c>
      <c r="AN53" s="107">
        <f t="shared" si="1"/>
        <v>0.12960867714263977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-59719.498229863988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-386401.13666666666</v>
      </c>
      <c r="AI58" s="13">
        <f t="shared" si="2"/>
        <v>-235166.66666666666</v>
      </c>
      <c r="AJ58" s="13">
        <f t="shared" si="2"/>
        <v>-263855.61454086623</v>
      </c>
      <c r="AK58" s="13">
        <f t="shared" si="2"/>
        <v>-259143.25280987486</v>
      </c>
      <c r="AL58" s="13">
        <f t="shared" si="2"/>
        <v>-239985.00713783922</v>
      </c>
      <c r="AM58" s="13">
        <f t="shared" si="2"/>
        <v>-276547.91131088737</v>
      </c>
      <c r="AN58" s="13">
        <f t="shared" si="2"/>
        <v>-25823.403102202305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-386401.13666666666</v>
      </c>
      <c r="AI59" s="12">
        <v>-621567.80333333334</v>
      </c>
      <c r="AJ59" s="12">
        <v>-885423.41787419957</v>
      </c>
      <c r="AK59" s="12">
        <v>-1144566.6706840745</v>
      </c>
      <c r="AL59" s="12">
        <v>-1384551.6778219137</v>
      </c>
      <c r="AM59" s="12">
        <v>-1661099.5891328012</v>
      </c>
      <c r="AN59" s="12">
        <v>-1686922.9922350035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2179.0924014745592</v>
      </c>
      <c r="AK63" s="12">
        <v>4358.1848029491184</v>
      </c>
      <c r="AL63" s="12">
        <v>6537.2772044236781</v>
      </c>
      <c r="AM63" s="12">
        <v>8716.3696058982368</v>
      </c>
      <c r="AN63" s="12">
        <v>10895.4620073728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291.17026532352008</v>
      </c>
      <c r="AK64" s="12">
        <v>582.34053064704017</v>
      </c>
      <c r="AL64" s="12">
        <v>873.51079597056014</v>
      </c>
      <c r="AM64" s="12">
        <v>1164.6810612940803</v>
      </c>
      <c r="AN64" s="12">
        <v>1455.8513266176003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1770.8074248550399</v>
      </c>
      <c r="AK65" s="12">
        <v>3541.6148497100799</v>
      </c>
      <c r="AL65" s="12">
        <v>5312.4222745651196</v>
      </c>
      <c r="AM65" s="12">
        <v>7083.2296994201597</v>
      </c>
      <c r="AN65" s="12">
        <v>8854.0371242752008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4241.0700916531196</v>
      </c>
      <c r="AK67" s="13">
        <v>8482.1401833062391</v>
      </c>
      <c r="AL67" s="13">
        <v>12723.210274959358</v>
      </c>
      <c r="AM67" s="13">
        <v>16964.280366612478</v>
      </c>
      <c r="AN67" s="13">
        <v>21205.350458265602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761.52099071064936</v>
      </c>
      <c r="AK72" s="12">
        <v>1523.0419814212987</v>
      </c>
      <c r="AL72" s="12">
        <v>2284.5629721319478</v>
      </c>
      <c r="AM72" s="12">
        <v>3046.0839628425974</v>
      </c>
      <c r="AN72" s="12">
        <v>3807.604953553247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3479.5491009424704</v>
      </c>
      <c r="AK75" s="74">
        <v>6959.0982018849409</v>
      </c>
      <c r="AL75" s="74">
        <v>10438.64730282741</v>
      </c>
      <c r="AM75" s="74">
        <v>13918.196403769882</v>
      </c>
      <c r="AN75" s="74">
        <v>17397.745504712355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4D00F-1A81-4B84-ADA8-AAE6BA496C5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78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1</v>
      </c>
      <c r="AL1" s="69">
        <v>3</v>
      </c>
      <c r="AM1" s="69">
        <v>5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1.8809523809523809</v>
      </c>
      <c r="AM2" s="69">
        <v>2.0476190476190474</v>
      </c>
      <c r="AN2" s="69">
        <v>2.2142857142857144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1</v>
      </c>
      <c r="AL4" s="69">
        <v>4.8809523809523814</v>
      </c>
      <c r="AM4" s="69">
        <v>7.0476190476190474</v>
      </c>
      <c r="AN4" s="69">
        <v>8.2142857142857153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2</v>
      </c>
      <c r="AL6" s="66">
        <v>4</v>
      </c>
      <c r="AM6" s="66">
        <v>5</v>
      </c>
      <c r="AN6" s="66">
        <v>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0.46</v>
      </c>
      <c r="AL7" s="108">
        <v>1.36</v>
      </c>
      <c r="AM7" s="108">
        <v>2.2599999999999998</v>
      </c>
      <c r="AN7" s="108">
        <v>2.71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9.9999999999999992E-2</v>
      </c>
      <c r="AL8" s="108">
        <v>0.28000000000000003</v>
      </c>
      <c r="AM8" s="108">
        <v>0.46</v>
      </c>
      <c r="AN8" s="108">
        <v>0.55000000000000004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0.15000000000000002</v>
      </c>
      <c r="AM12" s="108">
        <v>0.16</v>
      </c>
      <c r="AN12" s="108">
        <v>0.18000000000000002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0.01</v>
      </c>
      <c r="AL13" s="108">
        <v>0.21000000000000002</v>
      </c>
      <c r="AM13" s="108">
        <v>0.24000000000000002</v>
      </c>
      <c r="AN13" s="108">
        <v>0.26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0.01</v>
      </c>
      <c r="AL14" s="108">
        <v>0.12</v>
      </c>
      <c r="AM14" s="108">
        <v>0.13</v>
      </c>
      <c r="AN14" s="108">
        <v>0.15000000000000002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0.01</v>
      </c>
      <c r="AL15" s="108">
        <v>0.02</v>
      </c>
      <c r="AM15" s="108">
        <v>0.02</v>
      </c>
      <c r="AN15" s="108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0.01</v>
      </c>
      <c r="AL16" s="108">
        <v>0.02</v>
      </c>
      <c r="AM16" s="108">
        <v>0.02</v>
      </c>
      <c r="AN16" s="108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1</v>
      </c>
      <c r="AL21" s="120">
        <v>2</v>
      </c>
      <c r="AM21" s="120">
        <v>3</v>
      </c>
      <c r="AN21" s="120">
        <v>3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174.55720170454555</v>
      </c>
      <c r="AL22" s="78">
        <v>174.55720170454543</v>
      </c>
      <c r="AM22" s="78">
        <v>174.55720170454541</v>
      </c>
      <c r="AN22" s="78">
        <v>174.55720170454543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51.626666666666658</v>
      </c>
      <c r="AL23" s="52">
        <v>154.88</v>
      </c>
      <c r="AM23" s="52">
        <v>258.13333333333333</v>
      </c>
      <c r="AN23" s="52">
        <v>309.76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8154.019033333333</v>
      </c>
      <c r="AL26" s="12">
        <v>24462.057099999998</v>
      </c>
      <c r="AM26" s="12">
        <v>40770.095166666659</v>
      </c>
      <c r="AN26" s="12">
        <v>48924.114199999996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1086.8529099999998</v>
      </c>
      <c r="AL28" s="12">
        <v>3260.5587299999988</v>
      </c>
      <c r="AM28" s="12">
        <v>5434.2645499999981</v>
      </c>
      <c r="AN28" s="12">
        <v>6521.1174599999977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167.20813999999999</v>
      </c>
      <c r="AL29" s="12">
        <v>501.62441999999999</v>
      </c>
      <c r="AM29" s="12">
        <v>836.04070000000002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218.1677333333333</v>
      </c>
      <c r="AL30" s="12">
        <v>654.50319999999988</v>
      </c>
      <c r="AM30" s="12">
        <v>1090.8386666666665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-1155.1497380000001</v>
      </c>
      <c r="AL35" s="12">
        <v>-3465.4492139999993</v>
      </c>
      <c r="AM35" s="12">
        <v>-5775.7486899999985</v>
      </c>
      <c r="AN35" s="12">
        <v>-6930.8984279999986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8471.0980786666678</v>
      </c>
      <c r="AL37" s="13">
        <v>25413.294235999994</v>
      </c>
      <c r="AM37" s="13">
        <v>42355.490393333319</v>
      </c>
      <c r="AN37" s="13">
        <v>50826.588471999989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14500.139038435716</v>
      </c>
      <c r="AL40" s="12">
        <v>30954.988849973819</v>
      </c>
      <c r="AM40" s="12">
        <v>35899.148994845244</v>
      </c>
      <c r="AN40" s="12">
        <v>38944.950567280961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379.01167616000009</v>
      </c>
      <c r="AL44" s="12">
        <v>918.3744460800001</v>
      </c>
      <c r="AM44" s="12">
        <v>936.59616128000027</v>
      </c>
      <c r="AN44" s="12">
        <v>965.75090560000012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2247.2640000000001</v>
      </c>
      <c r="AL46" s="12">
        <v>3578.9759999999997</v>
      </c>
      <c r="AM46" s="12">
        <v>4166.8019999999997</v>
      </c>
      <c r="AN46" s="12">
        <v>4489.3260000000009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670.2048112068743</v>
      </c>
      <c r="AL49" s="12">
        <f>'Corp.'!AL$50*(AL$37-(AL31-AL32-AL34)*$C$35)/(SUM('MDA1:NCA9'!AL$37)-SUM('MDA1:NCA9'!AL$31)-SUM('MDA1:NCA9'!AL$32)-SUM('MDA1:NCA9'!AL$34))</f>
        <v>1980.8691319251598</v>
      </c>
      <c r="AM49" s="12">
        <f>'Corp.'!AM$50*(AM$37-(AM31-AM32-AM34)*$C$35)/(SUM('MDA1:NCA9'!AM$37)-SUM('MDA1:NCA9'!AM$31)-SUM('MDA1:NCA9'!AM$32)-SUM('MDA1:NCA9'!AM$34))</f>
        <v>3247.9958141574871</v>
      </c>
      <c r="AN49" s="12">
        <f>'Corp.'!AN$50*(AN$37-(AN31-AN32-AN34)*$C$35)/(SUM('MDA1:NCA9'!AN$37)-SUM('MDA1:NCA9'!AN$31)-SUM('MDA1:NCA9'!AN$32)-SUM('MDA1:NCA9'!AN$34))</f>
        <v>3843.0027373038329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17417.607849642591</v>
      </c>
      <c r="AL50" s="13">
        <v>36514.833981898977</v>
      </c>
      <c r="AM50" s="13">
        <v>43313.946809002737</v>
      </c>
      <c r="AN50" s="13">
        <v>47277.279304584794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-8946.5097709759229</v>
      </c>
      <c r="AL52" s="74">
        <f t="shared" si="0"/>
        <v>-11101.539745898983</v>
      </c>
      <c r="AM52" s="74">
        <f t="shared" si="0"/>
        <v>-958.45641566941777</v>
      </c>
      <c r="AN52" s="74">
        <f t="shared" si="0"/>
        <v>3549.3091674151947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 t="str">
        <f t="shared" si="1"/>
        <v/>
      </c>
      <c r="AK53" s="107">
        <f t="shared" si="1"/>
        <v>-1.0561216135020932</v>
      </c>
      <c r="AL53" s="107">
        <f t="shared" si="1"/>
        <v>-0.43683985408600634</v>
      </c>
      <c r="AM53" s="107">
        <f t="shared" si="1"/>
        <v>-2.2628858898072802E-2</v>
      </c>
      <c r="AN53" s="107">
        <f t="shared" si="1"/>
        <v>6.9831741104766143E-2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-8946.5097709759229</v>
      </c>
      <c r="AL58" s="13">
        <f t="shared" si="2"/>
        <v>-11101.539745898983</v>
      </c>
      <c r="AM58" s="13">
        <f t="shared" si="2"/>
        <v>-958.45641566941777</v>
      </c>
      <c r="AN58" s="13">
        <f t="shared" si="2"/>
        <v>3549.3091674151947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-8946.5097709759229</v>
      </c>
      <c r="AL59" s="12">
        <v>-20048.049516874904</v>
      </c>
      <c r="AM59" s="12">
        <v>-21006.505932544322</v>
      </c>
      <c r="AN59" s="12">
        <v>-17457.196765129127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1.2691023820243568E-3</v>
      </c>
      <c r="AL72" s="12">
        <v>3.8073071460730718E-3</v>
      </c>
      <c r="AM72" s="12">
        <v>6.3455119101217868E-3</v>
      </c>
      <c r="AN72" s="12">
        <v>7.6146142921461437E-3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-1.2691023820243568E-3</v>
      </c>
      <c r="AL75" s="74">
        <v>-3.8073071460730718E-3</v>
      </c>
      <c r="AM75" s="74">
        <v>-6.3455119101217868E-3</v>
      </c>
      <c r="AN75" s="74">
        <v>-7.6146142921461437E-3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7BEE-731C-4B74-9156-1FA0ED68F4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79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3</v>
      </c>
      <c r="AL1" s="69">
        <v>6</v>
      </c>
      <c r="AM1" s="69">
        <v>9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3</v>
      </c>
      <c r="AL4" s="69">
        <v>9.1666666666666661</v>
      </c>
      <c r="AM4" s="69">
        <v>12.333333333333334</v>
      </c>
      <c r="AN4" s="69">
        <v>15.5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6</v>
      </c>
      <c r="AL6" s="66">
        <v>11</v>
      </c>
      <c r="AM6" s="66">
        <v>15</v>
      </c>
      <c r="AN6" s="66">
        <v>18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2.8299999999999996</v>
      </c>
      <c r="AL7" s="108">
        <v>5.6499999999999995</v>
      </c>
      <c r="AM7" s="108">
        <v>8.48</v>
      </c>
      <c r="AN7" s="108">
        <v>11.299999999999999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0.43</v>
      </c>
      <c r="AL8" s="108">
        <v>0.86</v>
      </c>
      <c r="AM8" s="108">
        <v>1.29</v>
      </c>
      <c r="AN8" s="108">
        <v>1.72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0.25</v>
      </c>
      <c r="AM12" s="108">
        <v>0.26</v>
      </c>
      <c r="AN12" s="108">
        <v>0.27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0.02</v>
      </c>
      <c r="AL13" s="108">
        <v>0.35000000000000003</v>
      </c>
      <c r="AM13" s="108">
        <v>0.39</v>
      </c>
      <c r="AN13" s="108">
        <v>0.42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0.02</v>
      </c>
      <c r="AL14" s="108">
        <v>0.2</v>
      </c>
      <c r="AM14" s="108">
        <v>0.22</v>
      </c>
      <c r="AN14" s="108">
        <v>0.25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0.02</v>
      </c>
      <c r="AL15" s="108">
        <v>0.03</v>
      </c>
      <c r="AM15" s="108">
        <v>0.04</v>
      </c>
      <c r="AN15" s="108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0.02</v>
      </c>
      <c r="AL16" s="108">
        <v>0.03</v>
      </c>
      <c r="AM16" s="108">
        <v>0.04</v>
      </c>
      <c r="AN16" s="108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0.3</v>
      </c>
      <c r="AL17" s="108">
        <v>0.6</v>
      </c>
      <c r="AM17" s="108">
        <v>0.9</v>
      </c>
      <c r="AN17" s="108">
        <v>1.2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3</v>
      </c>
      <c r="AL21" s="120">
        <v>7</v>
      </c>
      <c r="AM21" s="120">
        <v>10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315.03999999999996</v>
      </c>
      <c r="AL23" s="52">
        <v>630.07999999999993</v>
      </c>
      <c r="AM23" s="52">
        <v>945.11999999999989</v>
      </c>
      <c r="AN23" s="52">
        <v>1260.1599999999999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46796.978800000004</v>
      </c>
      <c r="AL26" s="12">
        <v>93593.957600000009</v>
      </c>
      <c r="AM26" s="12">
        <v>140390.93640000001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2743.8788</v>
      </c>
      <c r="AL27" s="12">
        <v>5487.7575999999999</v>
      </c>
      <c r="AM27" s="12">
        <v>8231.6363999999994</v>
      </c>
      <c r="AN27" s="12">
        <v>10975.5152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6521.1174599999977</v>
      </c>
      <c r="AL28" s="12">
        <v>13042.234919999995</v>
      </c>
      <c r="AM28" s="12">
        <v>19563.352379999993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501.62441999999999</v>
      </c>
      <c r="AL29" s="12">
        <v>1003.24884</v>
      </c>
      <c r="AM29" s="12">
        <v>1504.8732600000001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654.50319999999988</v>
      </c>
      <c r="AL30" s="12">
        <v>1309.0063999999998</v>
      </c>
      <c r="AM30" s="12">
        <v>1963.5095999999999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-10068.832691599999</v>
      </c>
      <c r="AL35" s="12">
        <v>-16935.005013199996</v>
      </c>
      <c r="AM35" s="12">
        <v>-23801.177334799995</v>
      </c>
      <c r="AN35" s="12">
        <v>-30667.349656399994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71094.22760506667</v>
      </c>
      <c r="AL37" s="13">
        <v>118702.27916346668</v>
      </c>
      <c r="AM37" s="13">
        <v>166310.33072186666</v>
      </c>
      <c r="AN37" s="13">
        <v>213918.38228026667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52771.717808043984</v>
      </c>
      <c r="AL40" s="12">
        <v>90050.480101421301</v>
      </c>
      <c r="AM40" s="12">
        <v>113599.24590946527</v>
      </c>
      <c r="AN40" s="12">
        <v>137099.33486950924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393.58904832000007</v>
      </c>
      <c r="AL44" s="12">
        <v>1042.2821094400001</v>
      </c>
      <c r="AM44" s="12">
        <v>1075.0811968000003</v>
      </c>
      <c r="AN44" s="12">
        <v>1107.88028416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3676.7735999999991</v>
      </c>
      <c r="AL46" s="12">
        <v>5617.639799999999</v>
      </c>
      <c r="AM46" s="12">
        <v>6946.7507999999998</v>
      </c>
      <c r="AN46" s="12">
        <v>8272.2203999999983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151234.47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5624.7363620953256</v>
      </c>
      <c r="AL49" s="12">
        <f>'Corp.'!AL$50*(AL$37-(AL31-AL32-AL34)*$C$35)/(SUM('MDA1:NCA9'!AL$37)-SUM('MDA1:NCA9'!AL$31)-SUM('MDA1:NCA9'!AL$32)-SUM('MDA1:NCA9'!AL$34))</f>
        <v>9252.3888678307703</v>
      </c>
      <c r="AM49" s="12">
        <f>'Corp.'!AM$50*(AM$37-(AM31-AM32-AM34)*$C$35)/(SUM('MDA1:NCA9'!AM$37)-SUM('MDA1:NCA9'!AM$31)-SUM('MDA1:NCA9'!AM$32)-SUM('MDA1:NCA9'!AM$34))</f>
        <v>12753.370413597971</v>
      </c>
      <c r="AN49" s="12">
        <f>'Corp.'!AN$50*(AN$37-(AN31-AN32-AN34)*$C$35)/(SUM('MDA1:NCA9'!AN$37)-SUM('MDA1:NCA9'!AN$31)-SUM('MDA1:NCA9'!AN$32)-SUM('MDA1:NCA9'!AN$34))</f>
        <v>16174.387331063064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151234.47</v>
      </c>
      <c r="AJ50" s="13">
        <v>0</v>
      </c>
      <c r="AK50" s="13">
        <v>99692.647770139331</v>
      </c>
      <c r="AL50" s="13">
        <v>142539.92876925209</v>
      </c>
      <c r="AM50" s="13">
        <v>170918.78712306326</v>
      </c>
      <c r="AN50" s="13">
        <v>199165.36260057232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-151234.47</v>
      </c>
      <c r="AJ52" s="74">
        <f t="shared" si="0"/>
        <v>0</v>
      </c>
      <c r="AK52" s="74">
        <f t="shared" si="0"/>
        <v>-28598.420165072661</v>
      </c>
      <c r="AL52" s="74">
        <f t="shared" si="0"/>
        <v>-23837.649605785409</v>
      </c>
      <c r="AM52" s="74">
        <f t="shared" si="0"/>
        <v>-4608.4564011965995</v>
      </c>
      <c r="AN52" s="74">
        <f t="shared" si="0"/>
        <v>14753.019679694349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 t="str">
        <f t="shared" si="1"/>
        <v/>
      </c>
      <c r="AK53" s="107">
        <f t="shared" si="1"/>
        <v>-0.40226079005934007</v>
      </c>
      <c r="AL53" s="107">
        <f t="shared" si="1"/>
        <v>-0.20081880292254731</v>
      </c>
      <c r="AM53" s="107">
        <f t="shared" si="1"/>
        <v>-2.7709982784555155E-2</v>
      </c>
      <c r="AN53" s="107">
        <f t="shared" si="1"/>
        <v>6.8965647189522861E-2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-55904.497110541342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-386401.13666666666</v>
      </c>
      <c r="AJ58" s="13">
        <f t="shared" si="2"/>
        <v>-235166.66666666666</v>
      </c>
      <c r="AK58" s="13">
        <f t="shared" si="2"/>
        <v>-263765.08683173929</v>
      </c>
      <c r="AL58" s="13">
        <f t="shared" si="2"/>
        <v>-259004.31627245207</v>
      </c>
      <c r="AM58" s="13">
        <f t="shared" si="2"/>
        <v>-239775.12306786326</v>
      </c>
      <c r="AN58" s="13">
        <f t="shared" si="2"/>
        <v>-276318.14409751364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-386401.13666666666</v>
      </c>
      <c r="AJ59" s="12">
        <v>-621567.80333333334</v>
      </c>
      <c r="AK59" s="12">
        <v>-885332.89016507263</v>
      </c>
      <c r="AL59" s="12">
        <v>-1144337.2064375246</v>
      </c>
      <c r="AM59" s="12">
        <v>-1384112.3295053879</v>
      </c>
      <c r="AN59" s="12">
        <v>-1660430.4736029017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2179.0924014745592</v>
      </c>
      <c r="AL63" s="12">
        <v>4358.1848029491184</v>
      </c>
      <c r="AM63" s="12">
        <v>6537.2772044236781</v>
      </c>
      <c r="AN63" s="12">
        <v>8716.3696058982368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291.17026532352008</v>
      </c>
      <c r="AL64" s="12">
        <v>582.34053064704017</v>
      </c>
      <c r="AM64" s="12">
        <v>873.51079597056014</v>
      </c>
      <c r="AN64" s="12">
        <v>1164.6810612940803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1770.8074248550399</v>
      </c>
      <c r="AL65" s="12">
        <v>3541.6148497100799</v>
      </c>
      <c r="AM65" s="12">
        <v>5312.4222745651196</v>
      </c>
      <c r="AN65" s="12">
        <v>7083.2296994201597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4241.0700916531196</v>
      </c>
      <c r="AL67" s="13">
        <v>8482.1401833062391</v>
      </c>
      <c r="AM67" s="13">
        <v>12723.210274959358</v>
      </c>
      <c r="AN67" s="13">
        <v>16964.280366612478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761.52099071064936</v>
      </c>
      <c r="AL72" s="12">
        <v>1523.0419814212987</v>
      </c>
      <c r="AM72" s="12">
        <v>2284.5629721319478</v>
      </c>
      <c r="AN72" s="12">
        <v>3046.0839628425974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3479.5491009424704</v>
      </c>
      <c r="AL75" s="74">
        <v>6959.0982018849409</v>
      </c>
      <c r="AM75" s="74">
        <v>10438.64730282741</v>
      </c>
      <c r="AN75" s="74">
        <v>13918.196403769882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8448-E802-4F97-88C8-A19E53E3059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80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3</v>
      </c>
      <c r="AM1" s="69">
        <v>6</v>
      </c>
      <c r="AN1" s="69">
        <v>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3.1666666666666665</v>
      </c>
      <c r="AN2" s="69">
        <v>3.3333333333333335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0.16666666666666666</v>
      </c>
      <c r="AN3" s="69">
        <v>0.33333333333333331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3</v>
      </c>
      <c r="AM4" s="69">
        <v>9.1666666666666661</v>
      </c>
      <c r="AN4" s="69">
        <v>12.333333333333334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6</v>
      </c>
      <c r="AM6" s="66">
        <v>11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2.8299999999999996</v>
      </c>
      <c r="AM7" s="108">
        <v>5.6499999999999995</v>
      </c>
      <c r="AN7" s="108">
        <v>8.48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0.43</v>
      </c>
      <c r="AM8" s="108">
        <v>0.86</v>
      </c>
      <c r="AN8" s="108">
        <v>1.29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0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0.25</v>
      </c>
      <c r="AN12" s="108">
        <v>0.26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</v>
      </c>
      <c r="AL13" s="108">
        <v>0.02</v>
      </c>
      <c r="AM13" s="108">
        <v>0.35000000000000003</v>
      </c>
      <c r="AN13" s="108">
        <v>0.39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0.02</v>
      </c>
      <c r="AM14" s="108">
        <v>0.2</v>
      </c>
      <c r="AN14" s="108">
        <v>0.22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0.02</v>
      </c>
      <c r="AM15" s="108">
        <v>0.03</v>
      </c>
      <c r="AN15" s="108">
        <v>0.04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0.02</v>
      </c>
      <c r="AM16" s="108">
        <v>0.03</v>
      </c>
      <c r="AN16" s="108">
        <v>0.04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0.3</v>
      </c>
      <c r="AM17" s="108">
        <v>0.6</v>
      </c>
      <c r="AN17" s="108">
        <v>0.9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3</v>
      </c>
      <c r="AM21" s="120">
        <v>7</v>
      </c>
      <c r="AN21" s="120">
        <v>10</v>
      </c>
    </row>
    <row r="22" spans="2:50" x14ac:dyDescent="0.25">
      <c r="B22" s="2" t="s">
        <v>464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315.03999999999996</v>
      </c>
      <c r="AM23" s="52">
        <v>630.07999999999993</v>
      </c>
      <c r="AN23" s="52">
        <v>945.11999999999989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46796.978800000004</v>
      </c>
      <c r="AM26" s="12">
        <v>93593.957600000009</v>
      </c>
      <c r="AN26" s="12">
        <v>140390.93640000001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2743.8788</v>
      </c>
      <c r="AM27" s="12">
        <v>5487.7575999999999</v>
      </c>
      <c r="AN27" s="12">
        <v>8231.6363999999994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6521.1174599999977</v>
      </c>
      <c r="AM28" s="12">
        <v>13042.234919999995</v>
      </c>
      <c r="AN28" s="12">
        <v>19563.352379999993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501.62441999999999</v>
      </c>
      <c r="AM29" s="12">
        <v>1003.24884</v>
      </c>
      <c r="AN29" s="12">
        <v>1504.8732600000001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654.50319999999988</v>
      </c>
      <c r="AM30" s="12">
        <v>1309.0063999999998</v>
      </c>
      <c r="AN30" s="12">
        <v>1963.5095999999999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-10068.832691599999</v>
      </c>
      <c r="AM35" s="12">
        <v>-16935.005013199996</v>
      </c>
      <c r="AN35" s="12">
        <v>-23801.177334799995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71094.22760506667</v>
      </c>
      <c r="AM37" s="13">
        <v>118702.27916346668</v>
      </c>
      <c r="AN37" s="13">
        <v>166310.33072186666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52771.717808043984</v>
      </c>
      <c r="AM40" s="12">
        <v>90050.480101421301</v>
      </c>
      <c r="AN40" s="12">
        <v>113599.24590946527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393.58904832000007</v>
      </c>
      <c r="AM44" s="12">
        <v>1042.2821094400001</v>
      </c>
      <c r="AN44" s="12">
        <v>1075.0811968000003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3676.7735999999991</v>
      </c>
      <c r="AM46" s="12">
        <v>5617.639799999999</v>
      </c>
      <c r="AN46" s="12">
        <v>6946.7507999999998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151234.47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5541.5232520876152</v>
      </c>
      <c r="AM49" s="12">
        <f>'Corp.'!AM$50*(AM$37-(AM31-AM32-AM34)*$C$35)/(SUM('MDA1:NCA9'!AM$37)-SUM('MDA1:NCA9'!AM$31)-SUM('MDA1:NCA9'!AM$32)-SUM('MDA1:NCA9'!AM$34))</f>
        <v>9102.5862827591609</v>
      </c>
      <c r="AN49" s="12">
        <f>'Corp.'!AN$50*(AN$37-(AN31-AN32-AN34)*$C$35)/(SUM('MDA1:NCA9'!AN$37)-SUM('MDA1:NCA9'!AN$31)-SUM('MDA1:NCA9'!AN$32)-SUM('MDA1:NCA9'!AN$34))</f>
        <v>12574.738447341044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151234.47</v>
      </c>
      <c r="AK50" s="13">
        <v>0</v>
      </c>
      <c r="AL50" s="13">
        <v>99609.434660131621</v>
      </c>
      <c r="AM50" s="13">
        <v>142390.12618418047</v>
      </c>
      <c r="AN50" s="13">
        <v>170740.15515680634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-151234.47</v>
      </c>
      <c r="AK52" s="74">
        <f t="shared" si="0"/>
        <v>0</v>
      </c>
      <c r="AL52" s="74">
        <f t="shared" si="0"/>
        <v>-28515.207055064951</v>
      </c>
      <c r="AM52" s="74">
        <f t="shared" si="0"/>
        <v>-23687.847020713787</v>
      </c>
      <c r="AN52" s="74">
        <f t="shared" si="0"/>
        <v>-4429.8244349396846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 t="str">
        <f t="shared" si="1"/>
        <v/>
      </c>
      <c r="AK53" s="107" t="str">
        <f t="shared" si="1"/>
        <v/>
      </c>
      <c r="AL53" s="107">
        <f t="shared" si="1"/>
        <v>-0.40109032780367049</v>
      </c>
      <c r="AM53" s="107">
        <f t="shared" si="1"/>
        <v>-0.19955680032135609</v>
      </c>
      <c r="AN53" s="107">
        <f t="shared" si="1"/>
        <v>-2.6635894569580376E-2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235166.66666666674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-386401.13666666666</v>
      </c>
      <c r="AK58" s="13">
        <f t="shared" si="2"/>
        <v>-235166.66666666666</v>
      </c>
      <c r="AL58" s="13">
        <f t="shared" si="2"/>
        <v>-263681.87372173159</v>
      </c>
      <c r="AM58" s="13">
        <f t="shared" si="2"/>
        <v>-258854.51368738044</v>
      </c>
      <c r="AN58" s="13">
        <f t="shared" si="2"/>
        <v>-239596.49110160634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-235166.66666666674</v>
      </c>
      <c r="F59" s="12">
        <v>-235166.66666666674</v>
      </c>
      <c r="G59" s="12">
        <v>-235166.66666666674</v>
      </c>
      <c r="H59" s="12">
        <v>-235166.66666666674</v>
      </c>
      <c r="I59" s="12">
        <v>-235166.66666666674</v>
      </c>
      <c r="J59" s="12">
        <v>-235166.66666666674</v>
      </c>
      <c r="K59" s="12">
        <v>-235166.66666666674</v>
      </c>
      <c r="L59" s="12">
        <v>-235166.66666666674</v>
      </c>
      <c r="M59" s="12">
        <v>-235166.66666666674</v>
      </c>
      <c r="N59" s="12">
        <v>-235166.66666666674</v>
      </c>
      <c r="O59" s="12">
        <v>-235166.66666666674</v>
      </c>
      <c r="P59" s="12">
        <v>-235166.66666666674</v>
      </c>
      <c r="Q59" s="12">
        <v>-235166.66666666674</v>
      </c>
      <c r="R59" s="12">
        <v>-235166.66666666674</v>
      </c>
      <c r="S59" s="12">
        <v>-235166.66666666674</v>
      </c>
      <c r="T59" s="12">
        <v>-235166.66666666674</v>
      </c>
      <c r="U59" s="12">
        <v>-235166.66666666674</v>
      </c>
      <c r="V59" s="12">
        <v>-235166.66666666674</v>
      </c>
      <c r="W59" s="12">
        <v>-235166.66666666674</v>
      </c>
      <c r="X59" s="12">
        <v>-235166.66666666674</v>
      </c>
      <c r="Y59" s="12">
        <v>-235166.66666666674</v>
      </c>
      <c r="Z59" s="12">
        <v>-235166.66666666674</v>
      </c>
      <c r="AA59" s="12">
        <v>-235166.66666666674</v>
      </c>
      <c r="AB59" s="12">
        <v>-235166.66666666674</v>
      </c>
      <c r="AC59" s="12">
        <v>-235166.66666666674</v>
      </c>
      <c r="AD59" s="12">
        <v>-235166.66666666674</v>
      </c>
      <c r="AE59" s="12">
        <v>-235166.66666666674</v>
      </c>
      <c r="AF59" s="12">
        <v>-235166.66666666674</v>
      </c>
      <c r="AG59" s="12">
        <v>-235166.66666666674</v>
      </c>
      <c r="AH59" s="12">
        <v>-235166.66666666674</v>
      </c>
      <c r="AI59" s="12">
        <v>-235166.66666666674</v>
      </c>
      <c r="AJ59" s="12">
        <v>-621567.80333333346</v>
      </c>
      <c r="AK59" s="12">
        <v>-856734.47000000009</v>
      </c>
      <c r="AL59" s="12">
        <v>-1120416.3437217316</v>
      </c>
      <c r="AM59" s="12">
        <v>-1379270.8574091119</v>
      </c>
      <c r="AN59" s="12">
        <v>-1618867.3485107182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2179.0924014745592</v>
      </c>
      <c r="AM63" s="12">
        <v>4358.1848029491184</v>
      </c>
      <c r="AN63" s="12">
        <v>6537.2772044236781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291.17026532352008</v>
      </c>
      <c r="AM64" s="12">
        <v>582.34053064704017</v>
      </c>
      <c r="AN64" s="12">
        <v>873.51079597056014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1770.8074248550399</v>
      </c>
      <c r="AM65" s="12">
        <v>3541.6148497100799</v>
      </c>
      <c r="AN65" s="12">
        <v>5312.4222745651196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4241.0700916531196</v>
      </c>
      <c r="AM67" s="13">
        <v>8482.1401833062391</v>
      </c>
      <c r="AN67" s="13">
        <v>12723.210274959358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761.52099071064936</v>
      </c>
      <c r="AM72" s="12">
        <v>1523.0419814212987</v>
      </c>
      <c r="AN72" s="12">
        <v>2284.5629721319478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3479.5491009424704</v>
      </c>
      <c r="AM75" s="74">
        <v>6959.0982018849409</v>
      </c>
      <c r="AN75" s="74">
        <v>10438.64730282741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4A1B-E5AB-4AB6-9A89-942CB5B9C36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81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3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3.1666666666666665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0.16666666666666666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3</v>
      </c>
      <c r="AN4" s="69">
        <v>9.1666666666666661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6</v>
      </c>
      <c r="AN6" s="66">
        <v>11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2.8299999999999996</v>
      </c>
      <c r="AN7" s="108">
        <v>5.6499999999999995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0.43</v>
      </c>
      <c r="AN8" s="108">
        <v>0.86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0.25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</v>
      </c>
      <c r="AL13" s="108">
        <v>0</v>
      </c>
      <c r="AM13" s="108">
        <v>0.02</v>
      </c>
      <c r="AN13" s="108">
        <v>0.35000000000000003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0.02</v>
      </c>
      <c r="AN14" s="108">
        <v>0.2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0.02</v>
      </c>
      <c r="AN15" s="108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0.02</v>
      </c>
      <c r="AN16" s="108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0.3</v>
      </c>
      <c r="AN17" s="108">
        <v>0.6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3</v>
      </c>
      <c r="AN21" s="120">
        <v>7</v>
      </c>
    </row>
    <row r="22" spans="2:50" x14ac:dyDescent="0.25">
      <c r="B22" s="2" t="s">
        <v>464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170.02883240223466</v>
      </c>
      <c r="AN22" s="78">
        <v>170.02883240223466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315.03999999999996</v>
      </c>
      <c r="AN23" s="52">
        <v>630.07999999999993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46796.978800000004</v>
      </c>
      <c r="AN26" s="12">
        <v>93593.957600000009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2743.8788</v>
      </c>
      <c r="AN27" s="12">
        <v>5487.7575999999999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6521.1174599999977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501.62441999999999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654.50319999999988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-10068.832691599999</v>
      </c>
      <c r="AN35" s="12">
        <v>-16935.005013199996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71094.22760506667</v>
      </c>
      <c r="AN37" s="13">
        <v>118702.27916346668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52771.717808043984</v>
      </c>
      <c r="AN40" s="12">
        <v>90050.480101421301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393.58904832000007</v>
      </c>
      <c r="AN44" s="12">
        <v>1042.2821094400001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6762.6</v>
      </c>
      <c r="AN45" s="12">
        <v>6762.6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3676.7735999999991</v>
      </c>
      <c r="AN46" s="12">
        <v>5617.639799999999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6615</v>
      </c>
      <c r="AN47" s="12">
        <v>6615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151234.47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5451.8021519203476</v>
      </c>
      <c r="AN49" s="12">
        <f>'Corp.'!AN$50*(AN$37-(AN31-AN32-AN34)*$C$35)/(SUM('MDA1:NCA9'!AN$37)-SUM('MDA1:NCA9'!AN$31)-SUM('MDA1:NCA9'!AN$32)-SUM('MDA1:NCA9'!AN$34))</f>
        <v>8975.0895636190253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151234.47</v>
      </c>
      <c r="AL50" s="13">
        <v>0</v>
      </c>
      <c r="AM50" s="13">
        <v>99519.713559964352</v>
      </c>
      <c r="AN50" s="13">
        <v>142262.62946504034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-151234.47</v>
      </c>
      <c r="AL52" s="74">
        <f t="shared" si="0"/>
        <v>0</v>
      </c>
      <c r="AM52" s="74">
        <f t="shared" si="0"/>
        <v>-28425.485954897682</v>
      </c>
      <c r="AN52" s="74">
        <f t="shared" si="0"/>
        <v>-23560.350301573664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 t="str">
        <f t="shared" si="1"/>
        <v/>
      </c>
      <c r="AK53" s="107" t="str">
        <f t="shared" si="1"/>
        <v/>
      </c>
      <c r="AL53" s="107" t="str">
        <f t="shared" si="1"/>
        <v/>
      </c>
      <c r="AM53" s="107">
        <f t="shared" si="1"/>
        <v>-0.39982832520247935</v>
      </c>
      <c r="AN53" s="107">
        <f t="shared" si="1"/>
        <v>-0.19848271210638133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470333.33333333337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-386401.13666666666</v>
      </c>
      <c r="AL58" s="13">
        <f t="shared" si="2"/>
        <v>-235166.66666666666</v>
      </c>
      <c r="AM58" s="13">
        <f t="shared" si="2"/>
        <v>-263592.15262156434</v>
      </c>
      <c r="AN58" s="13">
        <f t="shared" si="2"/>
        <v>-258727.01696824032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-470333.33333333337</v>
      </c>
      <c r="F59" s="12">
        <v>-470333.33333333337</v>
      </c>
      <c r="G59" s="12">
        <v>-470333.33333333337</v>
      </c>
      <c r="H59" s="12">
        <v>-470333.33333333337</v>
      </c>
      <c r="I59" s="12">
        <v>-470333.33333333337</v>
      </c>
      <c r="J59" s="12">
        <v>-470333.33333333337</v>
      </c>
      <c r="K59" s="12">
        <v>-470333.33333333337</v>
      </c>
      <c r="L59" s="12">
        <v>-470333.33333333337</v>
      </c>
      <c r="M59" s="12">
        <v>-470333.33333333337</v>
      </c>
      <c r="N59" s="12">
        <v>-470333.33333333337</v>
      </c>
      <c r="O59" s="12">
        <v>-470333.33333333337</v>
      </c>
      <c r="P59" s="12">
        <v>-470333.33333333337</v>
      </c>
      <c r="Q59" s="12">
        <v>-470333.33333333337</v>
      </c>
      <c r="R59" s="12">
        <v>-470333.33333333337</v>
      </c>
      <c r="S59" s="12">
        <v>-470333.33333333337</v>
      </c>
      <c r="T59" s="12">
        <v>-470333.33333333337</v>
      </c>
      <c r="U59" s="12">
        <v>-470333.33333333337</v>
      </c>
      <c r="V59" s="12">
        <v>-470333.33333333337</v>
      </c>
      <c r="W59" s="12">
        <v>-470333.33333333337</v>
      </c>
      <c r="X59" s="12">
        <v>-470333.33333333337</v>
      </c>
      <c r="Y59" s="12">
        <v>-470333.33333333337</v>
      </c>
      <c r="Z59" s="12">
        <v>-470333.33333333337</v>
      </c>
      <c r="AA59" s="12">
        <v>-470333.33333333337</v>
      </c>
      <c r="AB59" s="12">
        <v>-470333.33333333337</v>
      </c>
      <c r="AC59" s="12">
        <v>-470333.33333333337</v>
      </c>
      <c r="AD59" s="12">
        <v>-470333.33333333337</v>
      </c>
      <c r="AE59" s="12">
        <v>-470333.33333333337</v>
      </c>
      <c r="AF59" s="12">
        <v>-470333.33333333337</v>
      </c>
      <c r="AG59" s="12">
        <v>-470333.33333333337</v>
      </c>
      <c r="AH59" s="12">
        <v>-470333.33333333337</v>
      </c>
      <c r="AI59" s="12">
        <v>-470333.33333333337</v>
      </c>
      <c r="AJ59" s="12">
        <v>-470333.33333333337</v>
      </c>
      <c r="AK59" s="12">
        <v>-856734.47</v>
      </c>
      <c r="AL59" s="12">
        <v>-1091901.1366666667</v>
      </c>
      <c r="AM59" s="12">
        <v>-1355493.2892882312</v>
      </c>
      <c r="AN59" s="12">
        <v>-1614220.3062564714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2179.0924014745592</v>
      </c>
      <c r="AN63" s="12">
        <v>4358.1848029491184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291.17026532352008</v>
      </c>
      <c r="AN64" s="12">
        <v>582.34053064704017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1770.8074248550399</v>
      </c>
      <c r="AN65" s="12">
        <v>3541.6148497100799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4241.0700916531196</v>
      </c>
      <c r="AN67" s="13">
        <v>8482.1401833062391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761.52099071064936</v>
      </c>
      <c r="AN72" s="12">
        <v>1523.0419814212987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3479.5491009424704</v>
      </c>
      <c r="AN75" s="74">
        <v>6959.0982018849409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D620-ADEB-4FFA-8CC8-3385E93A666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82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0</v>
      </c>
      <c r="AN1" s="69">
        <v>1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0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0</v>
      </c>
      <c r="AN4" s="69">
        <v>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0</v>
      </c>
      <c r="AN6" s="66">
        <v>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0.46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9.9999999999999992E-2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</v>
      </c>
      <c r="AL13" s="108">
        <v>0</v>
      </c>
      <c r="AM13" s="108">
        <v>0</v>
      </c>
      <c r="AN13" s="108">
        <v>0.01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0.01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0.01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0.01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1</v>
      </c>
    </row>
    <row r="22" spans="2:50" x14ac:dyDescent="0.25">
      <c r="B22" s="2" t="s">
        <v>464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0</v>
      </c>
      <c r="AN22" s="78">
        <v>174.55720170454555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0</v>
      </c>
      <c r="AN23" s="52">
        <v>51.626666666666658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8154.019033333333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1086.8529099999998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167.20813999999999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218.1677333333333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-1155.1497380000001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8471.0980786666678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14500.139038435716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379.01167616000009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2247.2640000000001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0</v>
      </c>
      <c r="AN49" s="12">
        <f>'Corp.'!AN$50*(AN$37-(AN31-AN32-AN34)*$C$35)/(SUM('MDA1:NCA9'!AN$37)-SUM('MDA1:NCA9'!AN$31)-SUM('MDA1:NCA9'!AN$32)-SUM('MDA1:NCA9'!AN$34))</f>
        <v>640.50045621730567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17387.903494653023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0</v>
      </c>
      <c r="AL52" s="74">
        <f t="shared" si="0"/>
        <v>0</v>
      </c>
      <c r="AM52" s="74">
        <f t="shared" si="0"/>
        <v>0</v>
      </c>
      <c r="AN52" s="74">
        <f t="shared" si="0"/>
        <v>-8916.805415986355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 t="str">
        <f t="shared" si="1"/>
        <v/>
      </c>
      <c r="AI53" s="107" t="str">
        <f t="shared" si="1"/>
        <v/>
      </c>
      <c r="AJ53" s="107" t="str">
        <f t="shared" si="1"/>
        <v/>
      </c>
      <c r="AK53" s="107" t="str">
        <f t="shared" si="1"/>
        <v/>
      </c>
      <c r="AL53" s="107" t="str">
        <f t="shared" si="1"/>
        <v/>
      </c>
      <c r="AM53" s="107" t="str">
        <f t="shared" si="1"/>
        <v/>
      </c>
      <c r="AN53" s="107">
        <f t="shared" si="1"/>
        <v>-1.0526150604302578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0</v>
      </c>
      <c r="AL58" s="13">
        <f t="shared" si="2"/>
        <v>0</v>
      </c>
      <c r="AM58" s="13">
        <f t="shared" si="2"/>
        <v>0</v>
      </c>
      <c r="AN58" s="13">
        <f t="shared" si="2"/>
        <v>-8916.805415986355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-8916.805415986355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1.2691023820243568E-3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-1.2691023820243568E-3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1837-6159-4724-BB12-54AAAFA50E93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83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IFERROR(_xlfn.BYCOL(_xlpm.kiddos,_xlfn.LAMBDA(_xlpm.a,MAX(_xlpm.a,9))),0))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9</v>
      </c>
      <c r="L1" s="69">
        <v>9</v>
      </c>
      <c r="M1" s="69">
        <v>9</v>
      </c>
      <c r="N1" s="69">
        <v>11</v>
      </c>
      <c r="O1" s="69">
        <v>14</v>
      </c>
      <c r="P1" s="69">
        <v>17</v>
      </c>
      <c r="Q1" s="69">
        <v>20</v>
      </c>
      <c r="R1" s="69">
        <v>22</v>
      </c>
      <c r="S1" s="69">
        <v>25</v>
      </c>
      <c r="T1" s="69">
        <v>28</v>
      </c>
      <c r="U1" s="69">
        <v>31</v>
      </c>
      <c r="V1" s="69">
        <v>34</v>
      </c>
      <c r="W1" s="69">
        <v>37</v>
      </c>
      <c r="X1" s="69">
        <v>40</v>
      </c>
      <c r="Y1" s="69">
        <v>40</v>
      </c>
      <c r="Z1" s="69">
        <v>40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</v>
      </c>
      <c r="L2" s="69">
        <v>6.0238095238095237</v>
      </c>
      <c r="M2" s="69">
        <v>6.1904761904761907</v>
      </c>
      <c r="N2" s="69">
        <v>6.3571428571428577</v>
      </c>
      <c r="O2" s="69">
        <v>6.5238095238095237</v>
      </c>
      <c r="P2" s="69">
        <v>6.6904761904761907</v>
      </c>
      <c r="Q2" s="69">
        <v>6.8571428571428577</v>
      </c>
      <c r="R2" s="69">
        <v>6.8571428571428577</v>
      </c>
      <c r="S2" s="69">
        <v>6.8571428571428577</v>
      </c>
      <c r="T2" s="69">
        <v>6.8571428571428577</v>
      </c>
      <c r="U2" s="69">
        <v>6.8571428571428577</v>
      </c>
      <c r="V2" s="69">
        <v>6.8571428571428577</v>
      </c>
      <c r="W2" s="69">
        <v>6.8571428571428577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_xlpm.months_since,DATEDIF(_xlpm.launchdate,_xlfn.ANCHORARRAY($E$25),"m"),_xlfn.BYCOL(_xlpm.months_since,_xlfn.LAMBDA(_xlpm.a,IFERROR(MIN((_xlpm.a+18)/6,_xlpm.max_kiddos),0))))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</v>
      </c>
      <c r="L3" s="69">
        <v>3.1666666666666665</v>
      </c>
      <c r="M3" s="69">
        <v>3.3333333333333335</v>
      </c>
      <c r="N3" s="69">
        <v>3.5</v>
      </c>
      <c r="O3" s="69">
        <v>3.6666666666666665</v>
      </c>
      <c r="P3" s="69">
        <v>3.8333333333333335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12</v>
      </c>
      <c r="L4" s="69">
        <v>15.023809523809524</v>
      </c>
      <c r="M4" s="69">
        <v>15.19047619047619</v>
      </c>
      <c r="N4" s="69">
        <v>17.357142857142858</v>
      </c>
      <c r="O4" s="69">
        <v>20.523809523809526</v>
      </c>
      <c r="P4" s="69">
        <v>23.69047619047619</v>
      </c>
      <c r="Q4" s="69">
        <v>26.857142857142858</v>
      </c>
      <c r="R4" s="69">
        <v>28.857142857142858</v>
      </c>
      <c r="S4" s="69">
        <v>31.857142857142858</v>
      </c>
      <c r="T4" s="69">
        <v>34.857142857142861</v>
      </c>
      <c r="U4" s="69">
        <v>37.857142857142861</v>
      </c>
      <c r="V4" s="69">
        <v>40.857142857142861</v>
      </c>
      <c r="W4" s="69">
        <v>43.857142857142861</v>
      </c>
      <c r="X4" s="69">
        <v>44</v>
      </c>
      <c r="Y4" s="69">
        <v>44</v>
      </c>
      <c r="Z4" s="69">
        <v>44</v>
      </c>
      <c r="AA4" s="69">
        <v>44</v>
      </c>
      <c r="AB4" s="69">
        <v>44</v>
      </c>
      <c r="AC4" s="69">
        <v>44</v>
      </c>
      <c r="AD4" s="69">
        <v>44</v>
      </c>
      <c r="AE4" s="69">
        <v>44</v>
      </c>
      <c r="AF4" s="69">
        <v>44</v>
      </c>
      <c r="AG4" s="69">
        <v>44</v>
      </c>
      <c r="AH4" s="69">
        <v>44</v>
      </c>
      <c r="AI4" s="69">
        <v>44</v>
      </c>
      <c r="AJ4" s="69">
        <v>44</v>
      </c>
      <c r="AK4" s="69">
        <v>44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15</v>
      </c>
      <c r="L6" s="66">
        <v>15</v>
      </c>
      <c r="M6" s="66">
        <v>15</v>
      </c>
      <c r="N6" s="66">
        <v>18</v>
      </c>
      <c r="O6" s="66">
        <v>21</v>
      </c>
      <c r="P6" s="66">
        <v>25</v>
      </c>
      <c r="Q6" s="66">
        <v>29</v>
      </c>
      <c r="R6" s="66">
        <v>31</v>
      </c>
      <c r="S6" s="66">
        <v>35</v>
      </c>
      <c r="T6" s="66">
        <v>38</v>
      </c>
      <c r="U6" s="66">
        <v>42</v>
      </c>
      <c r="V6" s="66">
        <v>45</v>
      </c>
      <c r="W6" s="66">
        <v>49</v>
      </c>
      <c r="X6" s="66">
        <v>52</v>
      </c>
      <c r="Y6" s="66">
        <v>52</v>
      </c>
      <c r="Z6" s="66">
        <v>52</v>
      </c>
      <c r="AA6" s="66">
        <v>52</v>
      </c>
      <c r="AB6" s="66">
        <v>52</v>
      </c>
      <c r="AC6" s="66">
        <v>52</v>
      </c>
      <c r="AD6" s="66">
        <v>52</v>
      </c>
      <c r="AE6" s="66">
        <v>52</v>
      </c>
      <c r="AF6" s="66">
        <v>52</v>
      </c>
      <c r="AG6" s="66">
        <v>52</v>
      </c>
      <c r="AH6" s="66">
        <v>52</v>
      </c>
      <c r="AI6" s="66">
        <v>52</v>
      </c>
      <c r="AJ6" s="66">
        <v>52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8.48</v>
      </c>
      <c r="L7" s="108">
        <v>8.48</v>
      </c>
      <c r="M7" s="108">
        <v>8.48</v>
      </c>
      <c r="N7" s="108">
        <v>10.36</v>
      </c>
      <c r="O7" s="108">
        <v>13.18</v>
      </c>
      <c r="P7" s="108">
        <v>16</v>
      </c>
      <c r="Q7" s="108">
        <v>18.830000000000002</v>
      </c>
      <c r="R7" s="108">
        <v>20.71</v>
      </c>
      <c r="S7" s="108">
        <v>23.53</v>
      </c>
      <c r="T7" s="108">
        <v>26.360000000000003</v>
      </c>
      <c r="U7" s="108">
        <v>29.180000000000003</v>
      </c>
      <c r="V7" s="108">
        <v>32</v>
      </c>
      <c r="W7" s="108">
        <v>34.83</v>
      </c>
      <c r="X7" s="108">
        <v>37.65</v>
      </c>
      <c r="Y7" s="108">
        <v>37.65</v>
      </c>
      <c r="Z7" s="108">
        <v>37.65</v>
      </c>
      <c r="AA7" s="108">
        <v>37.65</v>
      </c>
      <c r="AB7" s="108">
        <v>37.65</v>
      </c>
      <c r="AC7" s="108">
        <v>37.65</v>
      </c>
      <c r="AD7" s="108">
        <v>37.65</v>
      </c>
      <c r="AE7" s="108">
        <v>37.65</v>
      </c>
      <c r="AF7" s="108">
        <v>37.65</v>
      </c>
      <c r="AG7" s="108">
        <v>37.65</v>
      </c>
      <c r="AH7" s="108">
        <v>37.65</v>
      </c>
      <c r="AI7" s="108">
        <v>37.65</v>
      </c>
      <c r="AJ7" s="108">
        <v>37.65</v>
      </c>
      <c r="AK7" s="108">
        <v>37.65</v>
      </c>
      <c r="AL7" s="108">
        <v>37.65</v>
      </c>
      <c r="AM7" s="108">
        <v>37.65</v>
      </c>
      <c r="AN7" s="108">
        <v>37.65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1.29</v>
      </c>
      <c r="L8" s="108">
        <v>1.29</v>
      </c>
      <c r="M8" s="108">
        <v>1.29</v>
      </c>
      <c r="N8" s="108">
        <v>1.58</v>
      </c>
      <c r="O8" s="108">
        <v>2</v>
      </c>
      <c r="P8" s="108">
        <v>2.4299999999999997</v>
      </c>
      <c r="Q8" s="108">
        <v>2.86</v>
      </c>
      <c r="R8" s="108">
        <v>3.15</v>
      </c>
      <c r="S8" s="108">
        <v>3.5799999999999996</v>
      </c>
      <c r="T8" s="108">
        <v>4</v>
      </c>
      <c r="U8" s="108">
        <v>4.43</v>
      </c>
      <c r="V8" s="108">
        <v>4.8599999999999994</v>
      </c>
      <c r="W8" s="108">
        <v>5.29</v>
      </c>
      <c r="X8" s="108">
        <v>5.72</v>
      </c>
      <c r="Y8" s="108">
        <v>5.72</v>
      </c>
      <c r="Z8" s="108">
        <v>5.72</v>
      </c>
      <c r="AA8" s="108">
        <v>5.72</v>
      </c>
      <c r="AB8" s="108">
        <v>5.72</v>
      </c>
      <c r="AC8" s="108">
        <v>5.72</v>
      </c>
      <c r="AD8" s="108">
        <v>5.72</v>
      </c>
      <c r="AE8" s="108">
        <v>5.72</v>
      </c>
      <c r="AF8" s="108">
        <v>5.72</v>
      </c>
      <c r="AG8" s="108">
        <v>5.72</v>
      </c>
      <c r="AH8" s="108">
        <v>5.72</v>
      </c>
      <c r="AI8" s="108">
        <v>5.72</v>
      </c>
      <c r="AJ8" s="108">
        <v>5.72</v>
      </c>
      <c r="AK8" s="108">
        <v>5.72</v>
      </c>
      <c r="AL8" s="108">
        <v>5.72</v>
      </c>
      <c r="AM8" s="108">
        <v>5.72</v>
      </c>
      <c r="AN8" s="108">
        <v>5.72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0.24000000000000002</v>
      </c>
      <c r="L12" s="108">
        <v>0.47000000000000003</v>
      </c>
      <c r="M12" s="108">
        <v>0.48</v>
      </c>
      <c r="N12" s="108">
        <v>0.49</v>
      </c>
      <c r="O12" s="108">
        <v>0.51</v>
      </c>
      <c r="P12" s="108">
        <v>0.52</v>
      </c>
      <c r="Q12" s="108">
        <v>0.53</v>
      </c>
      <c r="R12" s="108">
        <v>0.53</v>
      </c>
      <c r="S12" s="108">
        <v>0.53</v>
      </c>
      <c r="T12" s="108">
        <v>0.53</v>
      </c>
      <c r="U12" s="108">
        <v>0.53</v>
      </c>
      <c r="V12" s="108">
        <v>0.53</v>
      </c>
      <c r="W12" s="108">
        <v>0.53</v>
      </c>
      <c r="X12" s="108">
        <v>0.31</v>
      </c>
      <c r="Y12" s="108">
        <v>0.31</v>
      </c>
      <c r="Z12" s="108">
        <v>0.31</v>
      </c>
      <c r="AA12" s="108">
        <v>0.31</v>
      </c>
      <c r="AB12" s="108">
        <v>0.31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0.35000000000000003</v>
      </c>
      <c r="L13" s="108">
        <v>0.66</v>
      </c>
      <c r="M13" s="108">
        <v>0.67</v>
      </c>
      <c r="N13" s="108">
        <v>0.7</v>
      </c>
      <c r="O13" s="108">
        <v>0.73</v>
      </c>
      <c r="P13" s="108">
        <v>0.77</v>
      </c>
      <c r="Q13" s="108">
        <v>0.8</v>
      </c>
      <c r="R13" s="108">
        <v>0.81</v>
      </c>
      <c r="S13" s="108">
        <v>0.83</v>
      </c>
      <c r="T13" s="108">
        <v>0.84</v>
      </c>
      <c r="U13" s="108">
        <v>0.86</v>
      </c>
      <c r="V13" s="108">
        <v>0.88</v>
      </c>
      <c r="W13" s="108">
        <v>0.89</v>
      </c>
      <c r="X13" s="108">
        <v>0.62</v>
      </c>
      <c r="Y13" s="108">
        <v>0.62</v>
      </c>
      <c r="Z13" s="108">
        <v>0.62</v>
      </c>
      <c r="AA13" s="108">
        <v>0.62</v>
      </c>
      <c r="AB13" s="108">
        <v>0.62</v>
      </c>
      <c r="AC13" s="108">
        <v>0.62</v>
      </c>
      <c r="AD13" s="108">
        <v>0.62</v>
      </c>
      <c r="AE13" s="108">
        <v>0.62</v>
      </c>
      <c r="AF13" s="108">
        <v>0.62</v>
      </c>
      <c r="AG13" s="108">
        <v>0.62</v>
      </c>
      <c r="AH13" s="108">
        <v>0.62</v>
      </c>
      <c r="AI13" s="108">
        <v>0.62</v>
      </c>
      <c r="AJ13" s="108">
        <v>0.62</v>
      </c>
      <c r="AK13" s="108">
        <v>0.62</v>
      </c>
      <c r="AL13" s="108">
        <v>0.62</v>
      </c>
      <c r="AM13" s="108">
        <v>0.62</v>
      </c>
      <c r="AN13" s="108">
        <v>0.62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0.2</v>
      </c>
      <c r="L14" s="108">
        <v>0.36</v>
      </c>
      <c r="M14" s="108">
        <v>0.36</v>
      </c>
      <c r="N14" s="108">
        <v>0.38</v>
      </c>
      <c r="O14" s="108">
        <v>0.41000000000000003</v>
      </c>
      <c r="P14" s="108">
        <v>0.43</v>
      </c>
      <c r="Q14" s="108">
        <v>0.46</v>
      </c>
      <c r="R14" s="108">
        <v>0.47000000000000003</v>
      </c>
      <c r="S14" s="108">
        <v>0.49</v>
      </c>
      <c r="T14" s="108">
        <v>0.5</v>
      </c>
      <c r="U14" s="108">
        <v>0.52</v>
      </c>
      <c r="V14" s="108">
        <v>0.53</v>
      </c>
      <c r="W14" s="108">
        <v>0.55000000000000004</v>
      </c>
      <c r="X14" s="108">
        <v>0.42</v>
      </c>
      <c r="Y14" s="108">
        <v>0.42</v>
      </c>
      <c r="Z14" s="108">
        <v>0.42</v>
      </c>
      <c r="AA14" s="108">
        <v>0.42</v>
      </c>
      <c r="AB14" s="108">
        <v>0.42</v>
      </c>
      <c r="AC14" s="108">
        <v>0.42</v>
      </c>
      <c r="AD14" s="108">
        <v>0.42</v>
      </c>
      <c r="AE14" s="108">
        <v>0.42</v>
      </c>
      <c r="AF14" s="108">
        <v>0.42</v>
      </c>
      <c r="AG14" s="108">
        <v>0.42</v>
      </c>
      <c r="AH14" s="108">
        <v>0.42</v>
      </c>
      <c r="AI14" s="108">
        <v>0.42</v>
      </c>
      <c r="AJ14" s="108">
        <v>0.42</v>
      </c>
      <c r="AK14" s="108">
        <v>0.42</v>
      </c>
      <c r="AL14" s="108">
        <v>0.42</v>
      </c>
      <c r="AM14" s="108">
        <v>0.42</v>
      </c>
      <c r="AN14" s="108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0.04</v>
      </c>
      <c r="L15" s="108">
        <v>0.04</v>
      </c>
      <c r="M15" s="108">
        <v>0.04</v>
      </c>
      <c r="N15" s="108">
        <v>0.05</v>
      </c>
      <c r="O15" s="108">
        <v>6.0000000000000005E-2</v>
      </c>
      <c r="P15" s="108">
        <v>6.9999999999999993E-2</v>
      </c>
      <c r="Q15" s="108">
        <v>0.08</v>
      </c>
      <c r="R15" s="108">
        <v>0.09</v>
      </c>
      <c r="S15" s="108">
        <v>0.1</v>
      </c>
      <c r="T15" s="108">
        <v>0.12</v>
      </c>
      <c r="U15" s="108">
        <v>0.13</v>
      </c>
      <c r="V15" s="108">
        <v>0.14000000000000001</v>
      </c>
      <c r="W15" s="108">
        <v>0.15000000000000002</v>
      </c>
      <c r="X15" s="108">
        <v>0.16</v>
      </c>
      <c r="Y15" s="108">
        <v>0.16</v>
      </c>
      <c r="Z15" s="108">
        <v>0.16</v>
      </c>
      <c r="AA15" s="108">
        <v>0.16</v>
      </c>
      <c r="AB15" s="108">
        <v>0.16</v>
      </c>
      <c r="AC15" s="108">
        <v>0.16</v>
      </c>
      <c r="AD15" s="108">
        <v>0.16</v>
      </c>
      <c r="AE15" s="108">
        <v>0.16</v>
      </c>
      <c r="AF15" s="108">
        <v>0.16</v>
      </c>
      <c r="AG15" s="108">
        <v>0.16</v>
      </c>
      <c r="AH15" s="108">
        <v>0.16</v>
      </c>
      <c r="AI15" s="108">
        <v>0.16</v>
      </c>
      <c r="AJ15" s="108">
        <v>0.16</v>
      </c>
      <c r="AK15" s="108">
        <v>0.16</v>
      </c>
      <c r="AL15" s="108">
        <v>0.16</v>
      </c>
      <c r="AM15" s="108">
        <v>0.16</v>
      </c>
      <c r="AN15" s="108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0.04</v>
      </c>
      <c r="L16" s="108">
        <v>0.04</v>
      </c>
      <c r="M16" s="108">
        <v>0.04</v>
      </c>
      <c r="N16" s="108">
        <v>0.05</v>
      </c>
      <c r="O16" s="108">
        <v>6.0000000000000005E-2</v>
      </c>
      <c r="P16" s="108">
        <v>6.9999999999999993E-2</v>
      </c>
      <c r="Q16" s="108">
        <v>0.08</v>
      </c>
      <c r="R16" s="108">
        <v>0.09</v>
      </c>
      <c r="S16" s="108">
        <v>0.1</v>
      </c>
      <c r="T16" s="108">
        <v>0.12</v>
      </c>
      <c r="U16" s="108">
        <v>0.13</v>
      </c>
      <c r="V16" s="108">
        <v>0.14000000000000001</v>
      </c>
      <c r="W16" s="108">
        <v>0.15000000000000002</v>
      </c>
      <c r="X16" s="108">
        <v>0.16</v>
      </c>
      <c r="Y16" s="108">
        <v>0.16</v>
      </c>
      <c r="Z16" s="108">
        <v>0.16</v>
      </c>
      <c r="AA16" s="108">
        <v>0.16</v>
      </c>
      <c r="AB16" s="108">
        <v>0.16</v>
      </c>
      <c r="AC16" s="108">
        <v>0.16</v>
      </c>
      <c r="AD16" s="108">
        <v>0.16</v>
      </c>
      <c r="AE16" s="108">
        <v>0.16</v>
      </c>
      <c r="AF16" s="108">
        <v>0.16</v>
      </c>
      <c r="AG16" s="108">
        <v>0.16</v>
      </c>
      <c r="AH16" s="108">
        <v>0.16</v>
      </c>
      <c r="AI16" s="108">
        <v>0.16</v>
      </c>
      <c r="AJ16" s="108">
        <v>0.16</v>
      </c>
      <c r="AK16" s="108">
        <v>0.16</v>
      </c>
      <c r="AL16" s="108">
        <v>0.16</v>
      </c>
      <c r="AM16" s="108">
        <v>0.16</v>
      </c>
      <c r="AN16" s="108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0.9</v>
      </c>
      <c r="L17" s="108">
        <v>0.9</v>
      </c>
      <c r="M17" s="108">
        <v>0.9</v>
      </c>
      <c r="N17" s="108">
        <v>1.1000000000000001</v>
      </c>
      <c r="O17" s="108">
        <v>1.4</v>
      </c>
      <c r="P17" s="108">
        <v>1.7</v>
      </c>
      <c r="Q17" s="108">
        <v>2</v>
      </c>
      <c r="R17" s="108">
        <v>2.2000000000000002</v>
      </c>
      <c r="S17" s="108">
        <v>2.5</v>
      </c>
      <c r="T17" s="108">
        <v>2.8</v>
      </c>
      <c r="U17" s="108">
        <v>3.1</v>
      </c>
      <c r="V17" s="108">
        <v>3.4</v>
      </c>
      <c r="W17" s="108">
        <v>3.7</v>
      </c>
      <c r="X17" s="108">
        <v>4</v>
      </c>
      <c r="Y17" s="108">
        <v>4</v>
      </c>
      <c r="Z17" s="108">
        <v>4</v>
      </c>
      <c r="AA17" s="108">
        <v>4</v>
      </c>
      <c r="AB17" s="108">
        <v>4</v>
      </c>
      <c r="AC17" s="108">
        <v>4</v>
      </c>
      <c r="AD17" s="108">
        <v>4</v>
      </c>
      <c r="AE17" s="108">
        <v>4</v>
      </c>
      <c r="AF17" s="108">
        <v>4</v>
      </c>
      <c r="AG17" s="108">
        <v>4</v>
      </c>
      <c r="AH17" s="108">
        <v>4</v>
      </c>
      <c r="AI17" s="108">
        <v>4</v>
      </c>
      <c r="AJ17" s="108">
        <v>4</v>
      </c>
      <c r="AK17" s="108">
        <v>4</v>
      </c>
      <c r="AL17" s="108">
        <v>4</v>
      </c>
      <c r="AM17" s="108">
        <v>4</v>
      </c>
      <c r="AN17" s="108">
        <v>4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10</v>
      </c>
      <c r="L21" s="120">
        <v>10</v>
      </c>
      <c r="M21" s="120">
        <v>10</v>
      </c>
      <c r="N21" s="120">
        <v>12</v>
      </c>
      <c r="O21" s="120">
        <v>15</v>
      </c>
      <c r="P21" s="120">
        <v>18</v>
      </c>
      <c r="Q21" s="120">
        <v>22</v>
      </c>
      <c r="R21" s="120">
        <v>24</v>
      </c>
      <c r="S21" s="120">
        <v>27</v>
      </c>
      <c r="T21" s="120">
        <v>30</v>
      </c>
      <c r="U21" s="120">
        <v>34</v>
      </c>
      <c r="V21" s="120">
        <v>37</v>
      </c>
      <c r="W21" s="120">
        <v>40</v>
      </c>
      <c r="X21" s="120">
        <v>43</v>
      </c>
      <c r="Y21" s="120">
        <v>43</v>
      </c>
      <c r="Z21" s="120">
        <v>43</v>
      </c>
      <c r="AA21" s="120">
        <v>43</v>
      </c>
      <c r="AB21" s="120">
        <v>43</v>
      </c>
      <c r="AC21" s="120">
        <v>43</v>
      </c>
      <c r="AD21" s="120">
        <v>43</v>
      </c>
      <c r="AE21" s="120">
        <v>43</v>
      </c>
      <c r="AF21" s="120">
        <v>43</v>
      </c>
      <c r="AG21" s="120">
        <v>43</v>
      </c>
      <c r="AH21" s="120">
        <v>43</v>
      </c>
      <c r="AI21" s="120">
        <v>43</v>
      </c>
      <c r="AJ21" s="120">
        <v>43</v>
      </c>
      <c r="AK21" s="120">
        <v>43</v>
      </c>
      <c r="AL21" s="120">
        <v>43</v>
      </c>
      <c r="AM21" s="120">
        <v>43</v>
      </c>
      <c r="AN21" s="120">
        <v>43</v>
      </c>
    </row>
    <row r="22" spans="2:50" x14ac:dyDescent="0.25">
      <c r="B22" s="2" t="s">
        <v>464</v>
      </c>
      <c r="C22" s="3"/>
      <c r="D22" s="77">
        <f>MAX(_xlfn.ANCHORARRAY(E22))</f>
        <v>96.086438027932985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93.287803910614542</v>
      </c>
      <c r="L22" s="78">
        <v>93.287803910614542</v>
      </c>
      <c r="M22" s="78">
        <v>93.287803910614542</v>
      </c>
      <c r="N22" s="78">
        <v>93.287803910614556</v>
      </c>
      <c r="O22" s="78">
        <v>93.287803910614571</v>
      </c>
      <c r="P22" s="78">
        <v>93.287803910614556</v>
      </c>
      <c r="Q22" s="78">
        <v>96.086438027932985</v>
      </c>
      <c r="R22" s="78">
        <v>96.086438027932985</v>
      </c>
      <c r="S22" s="78">
        <v>96.086438027932985</v>
      </c>
      <c r="T22" s="78">
        <v>96.086438027932985</v>
      </c>
      <c r="U22" s="78">
        <v>96.086438027932985</v>
      </c>
      <c r="V22" s="78">
        <v>96.086438027932985</v>
      </c>
      <c r="W22" s="78">
        <v>96.086438027932985</v>
      </c>
      <c r="X22" s="78">
        <v>96.086438027932985</v>
      </c>
      <c r="Y22" s="78">
        <v>96.086438027932985</v>
      </c>
      <c r="Z22" s="78">
        <v>96.086438027932985</v>
      </c>
      <c r="AA22" s="78">
        <v>96.086438027932985</v>
      </c>
      <c r="AB22" s="78">
        <v>96.086438027932985</v>
      </c>
      <c r="AC22" s="78">
        <v>96.086438027932985</v>
      </c>
      <c r="AD22" s="78">
        <v>96.086438027932985</v>
      </c>
      <c r="AE22" s="78">
        <v>96.086438027932985</v>
      </c>
      <c r="AF22" s="78">
        <v>96.086438027932985</v>
      </c>
      <c r="AG22" s="78">
        <v>96.086438027932985</v>
      </c>
      <c r="AH22" s="78">
        <v>96.086438027932985</v>
      </c>
      <c r="AI22" s="78">
        <v>96.086438027932985</v>
      </c>
      <c r="AJ22" s="78">
        <v>96.086438027932985</v>
      </c>
      <c r="AK22" s="78">
        <v>96.086438027932985</v>
      </c>
      <c r="AL22" s="78">
        <v>96.086438027932985</v>
      </c>
      <c r="AM22" s="78">
        <v>96.086438027932985</v>
      </c>
      <c r="AN22" s="78">
        <v>96.086438027932985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945.11999999999989</v>
      </c>
      <c r="L23" s="52">
        <v>945.11999999999989</v>
      </c>
      <c r="M23" s="52">
        <v>945.11999999999989</v>
      </c>
      <c r="N23" s="52">
        <v>1155.1466666666665</v>
      </c>
      <c r="O23" s="52">
        <v>1470.1866666666665</v>
      </c>
      <c r="P23" s="52">
        <v>1785.2266666666665</v>
      </c>
      <c r="Q23" s="52">
        <v>2100.2666666666664</v>
      </c>
      <c r="R23" s="52">
        <v>2310.2933333333331</v>
      </c>
      <c r="S23" s="52">
        <v>2625.333333333333</v>
      </c>
      <c r="T23" s="52">
        <v>2940.373333333333</v>
      </c>
      <c r="U23" s="52">
        <v>3255.413333333333</v>
      </c>
      <c r="V23" s="52">
        <v>3570.4533333333329</v>
      </c>
      <c r="W23" s="52">
        <v>3885.4933333333329</v>
      </c>
      <c r="X23" s="52">
        <v>4200.5333333333328</v>
      </c>
      <c r="Y23" s="52">
        <v>4200.5333333333328</v>
      </c>
      <c r="Z23" s="52">
        <v>4200.5333333333328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68337.568727999998</v>
      </c>
      <c r="L26" s="12">
        <v>68337.568727999998</v>
      </c>
      <c r="M26" s="12">
        <v>68337.568727999998</v>
      </c>
      <c r="N26" s="12">
        <v>83523.695112000001</v>
      </c>
      <c r="O26" s="12">
        <v>106302.88468800001</v>
      </c>
      <c r="P26" s="12">
        <v>129082.07426400001</v>
      </c>
      <c r="Q26" s="12">
        <v>156417.10175520001</v>
      </c>
      <c r="R26" s="12">
        <v>172058.81193072</v>
      </c>
      <c r="S26" s="12">
        <v>195521.377194</v>
      </c>
      <c r="T26" s="12">
        <v>218983.94245728001</v>
      </c>
      <c r="U26" s="12">
        <v>242446.50772056004</v>
      </c>
      <c r="V26" s="12">
        <v>265909.07298384001</v>
      </c>
      <c r="W26" s="12">
        <v>289371.63824712002</v>
      </c>
      <c r="X26" s="12">
        <v>312834.20351040002</v>
      </c>
      <c r="Y26" s="12">
        <v>312834.20351040002</v>
      </c>
      <c r="Z26" s="12">
        <v>312834.20351040002</v>
      </c>
      <c r="AA26" s="12">
        <v>312834.20351040002</v>
      </c>
      <c r="AB26" s="12">
        <v>312834.20351040002</v>
      </c>
      <c r="AC26" s="12">
        <v>312834.20351040002</v>
      </c>
      <c r="AD26" s="12">
        <v>312834.20351040002</v>
      </c>
      <c r="AE26" s="12">
        <v>312834.20351040002</v>
      </c>
      <c r="AF26" s="12">
        <v>312834.20351040002</v>
      </c>
      <c r="AG26" s="12">
        <v>312834.20351040002</v>
      </c>
      <c r="AH26" s="12">
        <v>312834.20351040002</v>
      </c>
      <c r="AI26" s="12">
        <v>312834.20351040002</v>
      </c>
      <c r="AJ26" s="12">
        <v>312834.20351040002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4511.1156479999991</v>
      </c>
      <c r="L27" s="12">
        <v>4511.1156479999991</v>
      </c>
      <c r="M27" s="12">
        <v>4511.1156479999991</v>
      </c>
      <c r="N27" s="12">
        <v>5513.5857919999989</v>
      </c>
      <c r="O27" s="12">
        <v>7017.2910079999992</v>
      </c>
      <c r="P27" s="12">
        <v>8520.9962239999986</v>
      </c>
      <c r="Q27" s="12">
        <v>10325.442483199997</v>
      </c>
      <c r="R27" s="12">
        <v>11357.986731519999</v>
      </c>
      <c r="S27" s="12">
        <v>12906.803103999997</v>
      </c>
      <c r="T27" s="12">
        <v>14455.619476479998</v>
      </c>
      <c r="U27" s="12">
        <v>16004.435848959998</v>
      </c>
      <c r="V27" s="12">
        <v>17553.252221439998</v>
      </c>
      <c r="W27" s="12">
        <v>19102.068593919998</v>
      </c>
      <c r="X27" s="12">
        <v>20650.884966399994</v>
      </c>
      <c r="Y27" s="12">
        <v>20650.884966399994</v>
      </c>
      <c r="Z27" s="12">
        <v>20650.884966399994</v>
      </c>
      <c r="AA27" s="12">
        <v>20650.884966399994</v>
      </c>
      <c r="AB27" s="12">
        <v>20650.884966399994</v>
      </c>
      <c r="AC27" s="12">
        <v>20650.884966399994</v>
      </c>
      <c r="AD27" s="12">
        <v>20650.884966399994</v>
      </c>
      <c r="AE27" s="12">
        <v>20650.884966399994</v>
      </c>
      <c r="AF27" s="12">
        <v>20650.884966399994</v>
      </c>
      <c r="AG27" s="12">
        <v>20650.884966399994</v>
      </c>
      <c r="AH27" s="12">
        <v>20650.884966399994</v>
      </c>
      <c r="AI27" s="12">
        <v>20650.884966399994</v>
      </c>
      <c r="AJ27" s="12">
        <v>20650.884966399994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18637.518743999997</v>
      </c>
      <c r="L28" s="12">
        <v>18637.518743999997</v>
      </c>
      <c r="M28" s="12">
        <v>18637.518743999997</v>
      </c>
      <c r="N28" s="12">
        <v>22779.189576000001</v>
      </c>
      <c r="O28" s="12">
        <v>28991.695824000002</v>
      </c>
      <c r="P28" s="12">
        <v>35204.202072</v>
      </c>
      <c r="Q28" s="12">
        <v>42659.209569599996</v>
      </c>
      <c r="R28" s="12">
        <v>46925.130526560009</v>
      </c>
      <c r="S28" s="12">
        <v>53324.011961999997</v>
      </c>
      <c r="T28" s="12">
        <v>59722.893397439999</v>
      </c>
      <c r="U28" s="12">
        <v>66121.774832879993</v>
      </c>
      <c r="V28" s="12">
        <v>72520.656268319988</v>
      </c>
      <c r="W28" s="12">
        <v>78919.537703759997</v>
      </c>
      <c r="X28" s="12">
        <v>85318.419139199992</v>
      </c>
      <c r="Y28" s="12">
        <v>85318.419139199992</v>
      </c>
      <c r="Z28" s="12">
        <v>85318.419139199992</v>
      </c>
      <c r="AA28" s="12">
        <v>85318.419139199992</v>
      </c>
      <c r="AB28" s="12">
        <v>85318.419139199992</v>
      </c>
      <c r="AC28" s="12">
        <v>85318.419139199992</v>
      </c>
      <c r="AD28" s="12">
        <v>85318.419139199992</v>
      </c>
      <c r="AE28" s="12">
        <v>85318.419139199992</v>
      </c>
      <c r="AF28" s="12">
        <v>85318.419139199992</v>
      </c>
      <c r="AG28" s="12">
        <v>85318.419139199992</v>
      </c>
      <c r="AH28" s="12">
        <v>85318.419139199992</v>
      </c>
      <c r="AI28" s="12">
        <v>85318.419139199992</v>
      </c>
      <c r="AJ28" s="12">
        <v>85318.419139199992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781.89181199999996</v>
      </c>
      <c r="L29" s="12">
        <v>781.89181199999996</v>
      </c>
      <c r="M29" s="12">
        <v>781.89181199999996</v>
      </c>
      <c r="N29" s="12">
        <v>955.64554799999996</v>
      </c>
      <c r="O29" s="12">
        <v>1216.2761520000001</v>
      </c>
      <c r="P29" s="12">
        <v>1476.9067559999999</v>
      </c>
      <c r="Q29" s="12">
        <v>1789.6634808000003</v>
      </c>
      <c r="R29" s="12">
        <v>1968.6298288799999</v>
      </c>
      <c r="S29" s="12">
        <v>2237.0793509999999</v>
      </c>
      <c r="T29" s="12">
        <v>2505.5288731199998</v>
      </c>
      <c r="U29" s="12">
        <v>2773.9783952399998</v>
      </c>
      <c r="V29" s="12">
        <v>3042.4279173599998</v>
      </c>
      <c r="W29" s="12">
        <v>3310.8774394799998</v>
      </c>
      <c r="X29" s="12">
        <v>3579.3269616000007</v>
      </c>
      <c r="Y29" s="12">
        <v>3579.3269616000007</v>
      </c>
      <c r="Z29" s="12">
        <v>3579.3269616000007</v>
      </c>
      <c r="AA29" s="12">
        <v>3579.3269616000007</v>
      </c>
      <c r="AB29" s="12">
        <v>3579.3269616000007</v>
      </c>
      <c r="AC29" s="12">
        <v>3579.3269616000007</v>
      </c>
      <c r="AD29" s="12">
        <v>3579.3269616000007</v>
      </c>
      <c r="AE29" s="12">
        <v>3579.3269616000007</v>
      </c>
      <c r="AF29" s="12">
        <v>3579.3269616000007</v>
      </c>
      <c r="AG29" s="12">
        <v>3579.3269616000007</v>
      </c>
      <c r="AH29" s="12">
        <v>3579.3269616000007</v>
      </c>
      <c r="AI29" s="12">
        <v>3579.3269616000007</v>
      </c>
      <c r="AJ29" s="12">
        <v>3579.3269616000007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1911.5403840000001</v>
      </c>
      <c r="L30" s="12">
        <v>1911.5403840000001</v>
      </c>
      <c r="M30" s="12">
        <v>1911.5403840000001</v>
      </c>
      <c r="N30" s="12">
        <v>2336.3271360000003</v>
      </c>
      <c r="O30" s="12">
        <v>2973.5072640000003</v>
      </c>
      <c r="P30" s="12">
        <v>3610.6873920000003</v>
      </c>
      <c r="Q30" s="12">
        <v>4375.3035456000007</v>
      </c>
      <c r="R30" s="12">
        <v>4812.8339001600016</v>
      </c>
      <c r="S30" s="12">
        <v>5469.1294320000006</v>
      </c>
      <c r="T30" s="12">
        <v>6125.4249638400006</v>
      </c>
      <c r="U30" s="12">
        <v>6781.7204956800006</v>
      </c>
      <c r="V30" s="12">
        <v>7438.0160275200005</v>
      </c>
      <c r="W30" s="12">
        <v>8094.3115593599996</v>
      </c>
      <c r="X30" s="12">
        <v>8750.6070912000014</v>
      </c>
      <c r="Y30" s="12">
        <v>8750.6070912000014</v>
      </c>
      <c r="Z30" s="12">
        <v>8750.6070912000014</v>
      </c>
      <c r="AA30" s="12">
        <v>8750.6070912000014</v>
      </c>
      <c r="AB30" s="12">
        <v>8750.6070912000014</v>
      </c>
      <c r="AC30" s="12">
        <v>8750.6070912000014</v>
      </c>
      <c r="AD30" s="12">
        <v>8750.6070912000014</v>
      </c>
      <c r="AE30" s="12">
        <v>8750.6070912000014</v>
      </c>
      <c r="AF30" s="12">
        <v>8750.6070912000014</v>
      </c>
      <c r="AG30" s="12">
        <v>8750.6070912000014</v>
      </c>
      <c r="AH30" s="12">
        <v>8750.6070912000014</v>
      </c>
      <c r="AI30" s="12">
        <v>8750.6070912000014</v>
      </c>
      <c r="AJ30" s="12">
        <v>8750.6070912000014</v>
      </c>
      <c r="AK30" s="12">
        <v>8750.6070912000014</v>
      </c>
      <c r="AL30" s="12">
        <v>8750.6070912000014</v>
      </c>
      <c r="AM30" s="12">
        <v>8750.6070912000014</v>
      </c>
      <c r="AN30" s="12">
        <v>8750.6070912000014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24633.096366666661</v>
      </c>
      <c r="L33" s="12">
        <v>24633.096366666661</v>
      </c>
      <c r="M33" s="12">
        <v>24633.096366666661</v>
      </c>
      <c r="N33" s="12">
        <v>24633.096366666661</v>
      </c>
      <c r="O33" s="12">
        <v>24633.096366666661</v>
      </c>
      <c r="P33" s="12">
        <v>24633.096366666661</v>
      </c>
      <c r="Q33" s="12">
        <v>25372.089257666659</v>
      </c>
      <c r="R33" s="12">
        <v>25372.089257666659</v>
      </c>
      <c r="S33" s="12">
        <v>25372.089257666659</v>
      </c>
      <c r="T33" s="12">
        <v>25372.089257666659</v>
      </c>
      <c r="U33" s="12">
        <v>25372.089257666659</v>
      </c>
      <c r="V33" s="12">
        <v>25372.089257666659</v>
      </c>
      <c r="W33" s="12">
        <v>25372.089257666659</v>
      </c>
      <c r="X33" s="12">
        <v>25372.089257666659</v>
      </c>
      <c r="Y33" s="12">
        <v>25372.089257666659</v>
      </c>
      <c r="Z33" s="12">
        <v>25372.089257666659</v>
      </c>
      <c r="AA33" s="12">
        <v>25372.089257666659</v>
      </c>
      <c r="AB33" s="12">
        <v>25372.089257666659</v>
      </c>
      <c r="AC33" s="12">
        <v>25372.089257666659</v>
      </c>
      <c r="AD33" s="12">
        <v>25372.089257666659</v>
      </c>
      <c r="AE33" s="12">
        <v>25372.089257666659</v>
      </c>
      <c r="AF33" s="12">
        <v>25372.089257666659</v>
      </c>
      <c r="AG33" s="12">
        <v>25372.089257666659</v>
      </c>
      <c r="AH33" s="12">
        <v>25372.089257666659</v>
      </c>
      <c r="AI33" s="12">
        <v>25372.089257666659</v>
      </c>
      <c r="AJ33" s="12">
        <v>25372.089257666659</v>
      </c>
      <c r="AK33" s="12">
        <v>25372.089257666659</v>
      </c>
      <c r="AL33" s="12">
        <v>25372.089257666659</v>
      </c>
      <c r="AM33" s="12">
        <v>25372.089257666659</v>
      </c>
      <c r="AN33" s="12">
        <v>25372.089257666659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-14257.52780192</v>
      </c>
      <c r="L35" s="12">
        <v>-14257.52780192</v>
      </c>
      <c r="M35" s="12">
        <v>-14257.52780192</v>
      </c>
      <c r="N35" s="12">
        <v>-16768.984743679997</v>
      </c>
      <c r="O35" s="12">
        <v>-20536.170156320004</v>
      </c>
      <c r="P35" s="12">
        <v>-24303.35556896</v>
      </c>
      <c r="Q35" s="12">
        <v>-28912.657211048001</v>
      </c>
      <c r="R35" s="12">
        <v>-31499.457861060797</v>
      </c>
      <c r="S35" s="12">
        <v>-35379.658836079994</v>
      </c>
      <c r="T35" s="12">
        <v>-39259.859811099202</v>
      </c>
      <c r="U35" s="12">
        <v>-43140.060786118396</v>
      </c>
      <c r="V35" s="12">
        <v>-47020.261761137597</v>
      </c>
      <c r="W35" s="12">
        <v>-50900.462736156798</v>
      </c>
      <c r="X35" s="12">
        <v>-54780.663711175999</v>
      </c>
      <c r="Y35" s="12">
        <v>-54780.663711175999</v>
      </c>
      <c r="Z35" s="12">
        <v>-54780.663711175999</v>
      </c>
      <c r="AA35" s="12">
        <v>-54780.663711175999</v>
      </c>
      <c r="AB35" s="12">
        <v>-54780.663711175999</v>
      </c>
      <c r="AC35" s="12">
        <v>-54780.663711175999</v>
      </c>
      <c r="AD35" s="12">
        <v>-54780.663711175999</v>
      </c>
      <c r="AE35" s="12">
        <v>-54780.663711175999</v>
      </c>
      <c r="AF35" s="12">
        <v>-54780.663711175999</v>
      </c>
      <c r="AG35" s="12">
        <v>-54780.663711175999</v>
      </c>
      <c r="AH35" s="12">
        <v>-54780.663711175999</v>
      </c>
      <c r="AI35" s="12">
        <v>-54780.663711175999</v>
      </c>
      <c r="AJ35" s="12">
        <v>-54780.663711175999</v>
      </c>
      <c r="AK35" s="12">
        <v>-54780.663711175999</v>
      </c>
      <c r="AL35" s="12">
        <v>-54780.663711175999</v>
      </c>
      <c r="AM35" s="12">
        <v>-54780.663711175999</v>
      </c>
      <c r="AN35" s="12">
        <v>-54780.663711175999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100044.08823274667</v>
      </c>
      <c r="L37" s="13">
        <v>100044.08823274667</v>
      </c>
      <c r="M37" s="13">
        <v>100044.08823274667</v>
      </c>
      <c r="N37" s="13">
        <v>117458.96899498667</v>
      </c>
      <c r="O37" s="13">
        <v>143581.2901383467</v>
      </c>
      <c r="P37" s="13">
        <v>169703.61128170669</v>
      </c>
      <c r="Q37" s="13">
        <v>201700.71039781868</v>
      </c>
      <c r="R37" s="13">
        <v>219638.03758292587</v>
      </c>
      <c r="S37" s="13">
        <v>246544.02836058661</v>
      </c>
      <c r="T37" s="13">
        <v>273450.01913824747</v>
      </c>
      <c r="U37" s="13">
        <v>300356.00991590827</v>
      </c>
      <c r="V37" s="13">
        <v>327262.00069356908</v>
      </c>
      <c r="W37" s="13">
        <v>354167.99147122994</v>
      </c>
      <c r="X37" s="13">
        <v>381073.98224889068</v>
      </c>
      <c r="Y37" s="13">
        <v>381073.98224889068</v>
      </c>
      <c r="Z37" s="13">
        <v>381073.98224889068</v>
      </c>
      <c r="AA37" s="13">
        <v>381073.98224889068</v>
      </c>
      <c r="AB37" s="13">
        <v>381073.98224889068</v>
      </c>
      <c r="AC37" s="13">
        <v>381073.98224889068</v>
      </c>
      <c r="AD37" s="13">
        <v>381073.98224889068</v>
      </c>
      <c r="AE37" s="13">
        <v>381073.98224889068</v>
      </c>
      <c r="AF37" s="13">
        <v>381073.98224889068</v>
      </c>
      <c r="AG37" s="13">
        <v>381073.98224889068</v>
      </c>
      <c r="AH37" s="13">
        <v>381073.98224889068</v>
      </c>
      <c r="AI37" s="13">
        <v>381073.98224889068</v>
      </c>
      <c r="AJ37" s="13">
        <v>381073.98224889068</v>
      </c>
      <c r="AK37" s="13">
        <v>381073.98224889068</v>
      </c>
      <c r="AL37" s="13">
        <v>381073.98224889068</v>
      </c>
      <c r="AM37" s="13">
        <v>381073.98224889068</v>
      </c>
      <c r="AN37" s="13">
        <v>381073.98224889068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80324.913772009866</v>
      </c>
      <c r="L40" s="12">
        <v>84991.315372009849</v>
      </c>
      <c r="M40" s="12">
        <v>85138.728172009854</v>
      </c>
      <c r="N40" s="12">
        <v>96003.979099123171</v>
      </c>
      <c r="O40" s="12">
        <v>112035.78822312645</v>
      </c>
      <c r="P40" s="12">
        <v>128066.14734712976</v>
      </c>
      <c r="Q40" s="12">
        <v>158542.09778491303</v>
      </c>
      <c r="R40" s="12">
        <v>170214.76156473765</v>
      </c>
      <c r="S40" s="12">
        <v>187627.52344114127</v>
      </c>
      <c r="T40" s="12">
        <v>205064.53357087827</v>
      </c>
      <c r="U40" s="12">
        <v>222477.29544728188</v>
      </c>
      <c r="V40" s="12">
        <v>239831.57824368545</v>
      </c>
      <c r="W40" s="12">
        <v>257221.80170675577</v>
      </c>
      <c r="X40" s="12">
        <v>269780.63406315935</v>
      </c>
      <c r="Y40" s="12">
        <v>269780.63406315935</v>
      </c>
      <c r="Z40" s="12">
        <v>269780.63406315935</v>
      </c>
      <c r="AA40" s="12">
        <v>269780.63406315935</v>
      </c>
      <c r="AB40" s="12">
        <v>269780.63406315935</v>
      </c>
      <c r="AC40" s="12">
        <v>296758.69746947539</v>
      </c>
      <c r="AD40" s="12">
        <v>296758.69746947539</v>
      </c>
      <c r="AE40" s="12">
        <v>296758.69746947539</v>
      </c>
      <c r="AF40" s="12">
        <v>296758.69746947539</v>
      </c>
      <c r="AG40" s="12">
        <v>296758.69746947539</v>
      </c>
      <c r="AH40" s="12">
        <v>296758.69746947539</v>
      </c>
      <c r="AI40" s="12">
        <v>296758.69746947539</v>
      </c>
      <c r="AJ40" s="12">
        <v>296758.69746947539</v>
      </c>
      <c r="AK40" s="12">
        <v>296758.69746947539</v>
      </c>
      <c r="AL40" s="12">
        <v>296758.69746947539</v>
      </c>
      <c r="AM40" s="12">
        <v>296758.69746947539</v>
      </c>
      <c r="AN40" s="12">
        <v>296758.69746947539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5700</v>
      </c>
      <c r="L43" s="12">
        <v>5700</v>
      </c>
      <c r="M43" s="12">
        <v>5700</v>
      </c>
      <c r="N43" s="12">
        <v>5700</v>
      </c>
      <c r="O43" s="12">
        <v>5700</v>
      </c>
      <c r="P43" s="12">
        <v>5700</v>
      </c>
      <c r="Q43" s="12">
        <v>5928</v>
      </c>
      <c r="R43" s="12">
        <v>5928</v>
      </c>
      <c r="S43" s="12">
        <v>5928</v>
      </c>
      <c r="T43" s="12">
        <v>5928</v>
      </c>
      <c r="U43" s="12">
        <v>5928</v>
      </c>
      <c r="V43" s="12">
        <v>5928</v>
      </c>
      <c r="W43" s="12">
        <v>5928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967.01780000000019</v>
      </c>
      <c r="L44" s="12">
        <v>1202.8758</v>
      </c>
      <c r="M44" s="12">
        <v>1209.6145999999999</v>
      </c>
      <c r="N44" s="12">
        <v>1236.5698</v>
      </c>
      <c r="O44" s="12">
        <v>1270.2637999999999</v>
      </c>
      <c r="P44" s="12">
        <v>1300.5883999999999</v>
      </c>
      <c r="Q44" s="12">
        <v>1384.1495199999999</v>
      </c>
      <c r="R44" s="12">
        <v>1398.1662240000001</v>
      </c>
      <c r="S44" s="12">
        <v>1419.1912800000002</v>
      </c>
      <c r="T44" s="12">
        <v>1440.2163360000002</v>
      </c>
      <c r="U44" s="12">
        <v>1461.2413919999999</v>
      </c>
      <c r="V44" s="12">
        <v>1478.7622719999999</v>
      </c>
      <c r="W44" s="12">
        <v>1496.2831520000004</v>
      </c>
      <c r="X44" s="12">
        <v>1286.032592</v>
      </c>
      <c r="Y44" s="12">
        <v>1286.032592</v>
      </c>
      <c r="Z44" s="12">
        <v>1286.032592</v>
      </c>
      <c r="AA44" s="12">
        <v>1286.032592</v>
      </c>
      <c r="AB44" s="12">
        <v>1286.032592</v>
      </c>
      <c r="AC44" s="12">
        <v>1337.4738956800004</v>
      </c>
      <c r="AD44" s="12">
        <v>1337.4738956800004</v>
      </c>
      <c r="AE44" s="12">
        <v>1337.4738956800004</v>
      </c>
      <c r="AF44" s="12">
        <v>1337.4738956800004</v>
      </c>
      <c r="AG44" s="12">
        <v>1337.4738956800004</v>
      </c>
      <c r="AH44" s="12">
        <v>1337.4738956800004</v>
      </c>
      <c r="AI44" s="12">
        <v>1337.4738956800004</v>
      </c>
      <c r="AJ44" s="12">
        <v>1337.4738956800004</v>
      </c>
      <c r="AK44" s="12">
        <v>1337.4738956800004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5195</v>
      </c>
      <c r="L46" s="12">
        <v>5370</v>
      </c>
      <c r="M46" s="12">
        <v>5375</v>
      </c>
      <c r="N46" s="12">
        <v>5987.5</v>
      </c>
      <c r="O46" s="12">
        <v>6897.4999999999991</v>
      </c>
      <c r="P46" s="12">
        <v>7807.5</v>
      </c>
      <c r="Q46" s="12">
        <v>8894.4</v>
      </c>
      <c r="R46" s="12">
        <v>9508.9499999999989</v>
      </c>
      <c r="S46" s="12">
        <v>10429.5</v>
      </c>
      <c r="T46" s="12">
        <v>11350.05</v>
      </c>
      <c r="U46" s="12">
        <v>12270.600000000004</v>
      </c>
      <c r="V46" s="12">
        <v>13188.600000000002</v>
      </c>
      <c r="W46" s="12">
        <v>14109.15</v>
      </c>
      <c r="X46" s="12">
        <v>14861.399999999998</v>
      </c>
      <c r="Y46" s="12">
        <v>14861.399999999998</v>
      </c>
      <c r="Z46" s="12">
        <v>14861.399999999998</v>
      </c>
      <c r="AA46" s="12">
        <v>14861.399999999998</v>
      </c>
      <c r="AB46" s="12">
        <v>14861.399999999998</v>
      </c>
      <c r="AC46" s="12">
        <v>15158.627999999999</v>
      </c>
      <c r="AD46" s="12">
        <v>15158.627999999999</v>
      </c>
      <c r="AE46" s="12">
        <v>15158.627999999999</v>
      </c>
      <c r="AF46" s="12">
        <v>15158.627999999999</v>
      </c>
      <c r="AG46" s="12">
        <v>15158.627999999999</v>
      </c>
      <c r="AH46" s="12">
        <v>15158.627999999999</v>
      </c>
      <c r="AI46" s="12">
        <v>15158.627999999999</v>
      </c>
      <c r="AJ46" s="12">
        <v>15158.627999999999</v>
      </c>
      <c r="AK46" s="12">
        <v>15158.627999999999</v>
      </c>
      <c r="AL46" s="12">
        <v>15158.627999999999</v>
      </c>
      <c r="AM46" s="12">
        <v>15158.627999999999</v>
      </c>
      <c r="AN46" s="12">
        <v>15158.627999999999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5750</v>
      </c>
      <c r="L47" s="12">
        <v>5750</v>
      </c>
      <c r="M47" s="12">
        <v>5750</v>
      </c>
      <c r="N47" s="12">
        <v>5750</v>
      </c>
      <c r="O47" s="12">
        <v>5750</v>
      </c>
      <c r="P47" s="12">
        <v>5750</v>
      </c>
      <c r="Q47" s="12">
        <v>6037.5</v>
      </c>
      <c r="R47" s="12">
        <v>6037.5</v>
      </c>
      <c r="S47" s="12">
        <v>6037.5</v>
      </c>
      <c r="T47" s="12">
        <v>6037.5</v>
      </c>
      <c r="U47" s="12">
        <v>6037.5</v>
      </c>
      <c r="V47" s="12">
        <v>6037.5</v>
      </c>
      <c r="W47" s="12">
        <v>6037.5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126877.11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14821.194720039477</v>
      </c>
      <c r="L49" s="12">
        <f>'Corp.'!L$50*(L$37-(L31-L32-L34)*$C$35)/(SUM('MDA1:NCA9'!L$37)-SUM('MDA1:NCA9'!L$31)-SUM('MDA1:NCA9'!L$32)-SUM('MDA1:NCA9'!L$34))</f>
        <v>14029.082576535175</v>
      </c>
      <c r="M49" s="12">
        <f>'Corp.'!M$50*(M$37-(M31-M32-M34)*$C$35)/(SUM('MDA1:NCA9'!M$37)-SUM('MDA1:NCA9'!M$31)-SUM('MDA1:NCA9'!M$32)-SUM('MDA1:NCA9'!M$34))</f>
        <v>13176.865770665321</v>
      </c>
      <c r="N49" s="12">
        <f>'Corp.'!N$50*(N$37-(N31-N32-N34)*$C$35)/(SUM('MDA1:NCA9'!N$37)-SUM('MDA1:NCA9'!N$31)-SUM('MDA1:NCA9'!N$32)-SUM('MDA1:NCA9'!N$34))</f>
        <v>14611.902400806031</v>
      </c>
      <c r="O49" s="12">
        <f>'Corp.'!O$50*(O$37-(O31-O32-O34)*$C$35)/(SUM('MDA1:NCA9'!O$37)-SUM('MDA1:NCA9'!O$31)-SUM('MDA1:NCA9'!O$32)-SUM('MDA1:NCA9'!O$34))</f>
        <v>16760.292179745044</v>
      </c>
      <c r="P49" s="12">
        <f>'Corp.'!P$50*(P$37-(P31-P32-P34)*$C$35)/(SUM('MDA1:NCA9'!P$37)-SUM('MDA1:NCA9'!P$31)-SUM('MDA1:NCA9'!P$32)-SUM('MDA1:NCA9'!P$34))</f>
        <v>18743.354339562953</v>
      </c>
      <c r="Q49" s="12">
        <f>'Corp.'!Q$50*(Q$37-(Q31-Q32-Q34)*$C$35)/(SUM('MDA1:NCA9'!Q$37)-SUM('MDA1:NCA9'!Q$31)-SUM('MDA1:NCA9'!Q$32)-SUM('MDA1:NCA9'!Q$34))</f>
        <v>22607.447741902866</v>
      </c>
      <c r="R49" s="12">
        <f>'Corp.'!R$50*(R$37-(R31-R32-R34)*$C$35)/(SUM('MDA1:NCA9'!R$37)-SUM('MDA1:NCA9'!R$31)-SUM('MDA1:NCA9'!R$32)-SUM('MDA1:NCA9'!R$34))</f>
        <v>23732.584744612828</v>
      </c>
      <c r="S49" s="12">
        <f>'Corp.'!S$50*(S$37-(S31-S32-S34)*$C$35)/(SUM('MDA1:NCA9'!S$37)-SUM('MDA1:NCA9'!S$31)-SUM('MDA1:NCA9'!S$32)-SUM('MDA1:NCA9'!S$34))</f>
        <v>25539.750142559933</v>
      </c>
      <c r="T49" s="12">
        <f>'Corp.'!T$50*(T$37-(T31-T32-T34)*$C$35)/(SUM('MDA1:NCA9'!T$37)-SUM('MDA1:NCA9'!T$31)-SUM('MDA1:NCA9'!T$32)-SUM('MDA1:NCA9'!T$34))</f>
        <v>27298.107446227688</v>
      </c>
      <c r="U49" s="12">
        <f>'Corp.'!U$50*(U$37-(U31-U32-U34)*$C$35)/(SUM('MDA1:NCA9'!U$37)-SUM('MDA1:NCA9'!U$31)-SUM('MDA1:NCA9'!U$32)-SUM('MDA1:NCA9'!U$34))</f>
        <v>29212.940392233471</v>
      </c>
      <c r="V49" s="12">
        <f>'Corp.'!V$50*(V$37-(V31-V32-V34)*$C$35)/(SUM('MDA1:NCA9'!V$37)-SUM('MDA1:NCA9'!V$31)-SUM('MDA1:NCA9'!V$32)-SUM('MDA1:NCA9'!V$34))</f>
        <v>31147.971165601502</v>
      </c>
      <c r="W49" s="12">
        <f>'Corp.'!W$50*(W$37-(W31-W32-W34)*$C$35)/(SUM('MDA1:NCA9'!W$37)-SUM('MDA1:NCA9'!W$31)-SUM('MDA1:NCA9'!W$32)-SUM('MDA1:NCA9'!W$34))</f>
        <v>32738.619338349701</v>
      </c>
      <c r="X49" s="12">
        <f>'Corp.'!X$50*(X$37-(X31-X32-X34)*$C$35)/(SUM('MDA1:NCA9'!X$37)-SUM('MDA1:NCA9'!X$31)-SUM('MDA1:NCA9'!X$32)-SUM('MDA1:NCA9'!X$34))</f>
        <v>34178.804443805937</v>
      </c>
      <c r="Y49" s="12">
        <f>'Corp.'!Y$50*(Y$37-(Y31-Y32-Y34)*$C$35)/(SUM('MDA1:NCA9'!Y$37)-SUM('MDA1:NCA9'!Y$31)-SUM('MDA1:NCA9'!Y$32)-SUM('MDA1:NCA9'!Y$34))</f>
        <v>33500.442357419219</v>
      </c>
      <c r="Z49" s="12">
        <f>'Corp.'!Z$50*(Z$37-(Z31-Z32-Z34)*$C$35)/(SUM('MDA1:NCA9'!Z$37)-SUM('MDA1:NCA9'!Z$31)-SUM('MDA1:NCA9'!Z$32)-SUM('MDA1:NCA9'!Z$34))</f>
        <v>32821.704758579886</v>
      </c>
      <c r="AA49" s="12">
        <f>'Corp.'!AA$50*(AA$37-(AA31-AA32-AA34)*$C$35)/(SUM('MDA1:NCA9'!AA$37)-SUM('MDA1:NCA9'!AA$31)-SUM('MDA1:NCA9'!AA$32)-SUM('MDA1:NCA9'!AA$34))</f>
        <v>32117.768927210916</v>
      </c>
      <c r="AB49" s="12">
        <f>'Corp.'!AB$50*(AB$37-(AB31-AB32-AB34)*$C$35)/(SUM('MDA1:NCA9'!AB$37)-SUM('MDA1:NCA9'!AB$31)-SUM('MDA1:NCA9'!AB$32)-SUM('MDA1:NCA9'!AB$34))</f>
        <v>31429.711561821976</v>
      </c>
      <c r="AC49" s="12">
        <f>'Corp.'!AC$50*(AC$37-(AC31-AC32-AC34)*$C$35)/(SUM('MDA1:NCA9'!AC$37)-SUM('MDA1:NCA9'!AC$31)-SUM('MDA1:NCA9'!AC$32)-SUM('MDA1:NCA9'!AC$34))</f>
        <v>34011.280032382841</v>
      </c>
      <c r="AD49" s="12">
        <f>'Corp.'!AD$50*(AD$37-(AD31-AD32-AD34)*$C$35)/(SUM('MDA1:NCA9'!AD$37)-SUM('MDA1:NCA9'!AD$31)-SUM('MDA1:NCA9'!AD$32)-SUM('MDA1:NCA9'!AD$34))</f>
        <v>33489.067981088592</v>
      </c>
      <c r="AE49" s="12">
        <f>'Corp.'!AE$50*(AE$37-(AE31-AE32-AE34)*$C$35)/(SUM('MDA1:NCA9'!AE$37)-SUM('MDA1:NCA9'!AE$31)-SUM('MDA1:NCA9'!AE$32)-SUM('MDA1:NCA9'!AE$34))</f>
        <v>32994.682588146272</v>
      </c>
      <c r="AF49" s="12">
        <f>'Corp.'!AF$50*(AF$37-(AF31-AF32-AF34)*$C$35)/(SUM('MDA1:NCA9'!AF$37)-SUM('MDA1:NCA9'!AF$31)-SUM('MDA1:NCA9'!AF$32)-SUM('MDA1:NCA9'!AF$34))</f>
        <v>32529.782400144562</v>
      </c>
      <c r="AG49" s="12">
        <f>'Corp.'!AG$50*(AG$37-(AG31-AG32-AG34)*$C$35)/(SUM('MDA1:NCA9'!AG$37)-SUM('MDA1:NCA9'!AG$31)-SUM('MDA1:NCA9'!AG$32)-SUM('MDA1:NCA9'!AG$34))</f>
        <v>32159.555855417999</v>
      </c>
      <c r="AH49" s="12">
        <f>'Corp.'!AH$50*(AH$37-(AH31-AH32-AH34)*$C$35)/(SUM('MDA1:NCA9'!AH$37)-SUM('MDA1:NCA9'!AH$31)-SUM('MDA1:NCA9'!AH$32)-SUM('MDA1:NCA9'!AH$34))</f>
        <v>31668.728453987256</v>
      </c>
      <c r="AI49" s="12">
        <f>'Corp.'!AI$50*(AI$37-(AI31-AI32-AI34)*$C$35)/(SUM('MDA1:NCA9'!AI$37)-SUM('MDA1:NCA9'!AI$31)-SUM('MDA1:NCA9'!AI$32)-SUM('MDA1:NCA9'!AI$34))</f>
        <v>31159.856065868767</v>
      </c>
      <c r="AJ49" s="12">
        <f>'Corp.'!AJ$50*(AJ$37-(AJ31-AJ32-AJ34)*$C$35)/(SUM('MDA1:NCA9'!AJ$37)-SUM('MDA1:NCA9'!AJ$31)-SUM('MDA1:NCA9'!AJ$32)-SUM('MDA1:NCA9'!AJ$34))</f>
        <v>30634.532684190202</v>
      </c>
      <c r="AK49" s="12">
        <f>'Corp.'!AK$50*(AK$37-(AK31-AK32-AK34)*$C$35)/(SUM('MDA1:NCA9'!AK$37)-SUM('MDA1:NCA9'!AK$31)-SUM('MDA1:NCA9'!AK$32)-SUM('MDA1:NCA9'!AK$34))</f>
        <v>30149.292802093089</v>
      </c>
      <c r="AL49" s="12">
        <f>'Corp.'!AL$50*(AL$37-(AL31-AL32-AL34)*$C$35)/(SUM('MDA1:NCA9'!AL$37)-SUM('MDA1:NCA9'!AL$31)-SUM('MDA1:NCA9'!AL$32)-SUM('MDA1:NCA9'!AL$34))</f>
        <v>29703.260089253072</v>
      </c>
      <c r="AM49" s="12">
        <f>'Corp.'!AM$50*(AM$37-(AM31-AM32-AM34)*$C$35)/(SUM('MDA1:NCA9'!AM$37)-SUM('MDA1:NCA9'!AM$31)-SUM('MDA1:NCA9'!AM$32)-SUM('MDA1:NCA9'!AM$34))</f>
        <v>29222.343732408714</v>
      </c>
      <c r="AN49" s="12">
        <f>'Corp.'!AN$50*(AN$37-(AN31-AN32-AN34)*$C$35)/(SUM('MDA1:NCA9'!AN$37)-SUM('MDA1:NCA9'!AN$31)-SUM('MDA1:NCA9'!AN$32)-SUM('MDA1:NCA9'!AN$34))</f>
        <v>28813.036659041642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126877.11</v>
      </c>
      <c r="J50" s="13">
        <v>0</v>
      </c>
      <c r="K50" s="13">
        <v>130333.47849204934</v>
      </c>
      <c r="L50" s="13">
        <v>134382.76794854502</v>
      </c>
      <c r="M50" s="13">
        <v>133682.96394267518</v>
      </c>
      <c r="N50" s="13">
        <v>146595.75149992917</v>
      </c>
      <c r="O50" s="13">
        <v>165685.95040287147</v>
      </c>
      <c r="P50" s="13">
        <v>184609.3716866927</v>
      </c>
      <c r="Q50" s="13">
        <v>221065.5866268159</v>
      </c>
      <c r="R50" s="13">
        <v>234477.9374093505</v>
      </c>
      <c r="S50" s="13">
        <v>254618.41468370121</v>
      </c>
      <c r="T50" s="13">
        <v>274734.33211710595</v>
      </c>
      <c r="U50" s="13">
        <v>294982.47693951539</v>
      </c>
      <c r="V50" s="13">
        <v>315189.79050928692</v>
      </c>
      <c r="W50" s="13">
        <v>335091.21214510547</v>
      </c>
      <c r="X50" s="13">
        <v>349842.47960696532</v>
      </c>
      <c r="Y50" s="13">
        <v>349164.11752057861</v>
      </c>
      <c r="Z50" s="13">
        <v>348485.37992173928</v>
      </c>
      <c r="AA50" s="13">
        <v>347781.44409037032</v>
      </c>
      <c r="AB50" s="13">
        <v>347093.38672498136</v>
      </c>
      <c r="AC50" s="13">
        <v>378017.57583485823</v>
      </c>
      <c r="AD50" s="13">
        <v>377495.36378356401</v>
      </c>
      <c r="AE50" s="13">
        <v>377000.97839062172</v>
      </c>
      <c r="AF50" s="13">
        <v>376536.07820261997</v>
      </c>
      <c r="AG50" s="13">
        <v>376165.85165789339</v>
      </c>
      <c r="AH50" s="13">
        <v>375675.0242564627</v>
      </c>
      <c r="AI50" s="13">
        <v>375166.15186834417</v>
      </c>
      <c r="AJ50" s="13">
        <v>374640.82848666562</v>
      </c>
      <c r="AK50" s="13">
        <v>374155.5886045685</v>
      </c>
      <c r="AL50" s="13">
        <v>373709.55589172849</v>
      </c>
      <c r="AM50" s="13">
        <v>373228.63953488413</v>
      </c>
      <c r="AN50" s="13">
        <v>372819.33246151707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-126877.11</v>
      </c>
      <c r="J52" s="74">
        <f t="shared" si="0"/>
        <v>0</v>
      </c>
      <c r="K52" s="74">
        <f t="shared" si="0"/>
        <v>-30289.390259302672</v>
      </c>
      <c r="L52" s="74">
        <f t="shared" si="0"/>
        <v>-34338.679715798353</v>
      </c>
      <c r="M52" s="74">
        <f t="shared" si="0"/>
        <v>-33638.875709928514</v>
      </c>
      <c r="N52" s="74">
        <f t="shared" si="0"/>
        <v>-29136.782504942501</v>
      </c>
      <c r="O52" s="74">
        <f t="shared" si="0"/>
        <v>-22104.660264524777</v>
      </c>
      <c r="P52" s="74">
        <f t="shared" si="0"/>
        <v>-14905.760404986009</v>
      </c>
      <c r="Q52" s="74">
        <f t="shared" si="0"/>
        <v>-19364.876228997222</v>
      </c>
      <c r="R52" s="74">
        <f t="shared" si="0"/>
        <v>-14839.899826424633</v>
      </c>
      <c r="S52" s="74">
        <f t="shared" si="0"/>
        <v>-8074.3863231145951</v>
      </c>
      <c r="T52" s="74">
        <f t="shared" si="0"/>
        <v>-1284.3129788584774</v>
      </c>
      <c r="U52" s="74">
        <f t="shared" si="0"/>
        <v>5373.5329763928894</v>
      </c>
      <c r="V52" s="74">
        <f t="shared" si="0"/>
        <v>12072.210184282158</v>
      </c>
      <c r="W52" s="74">
        <f t="shared" si="0"/>
        <v>19076.779326124466</v>
      </c>
      <c r="X52" s="74">
        <f t="shared" si="0"/>
        <v>31231.502641925355</v>
      </c>
      <c r="Y52" s="74">
        <f t="shared" si="0"/>
        <v>31909.864728312066</v>
      </c>
      <c r="Z52" s="74">
        <f t="shared" si="0"/>
        <v>32588.602327151399</v>
      </c>
      <c r="AA52" s="74">
        <f t="shared" si="0"/>
        <v>33292.538158520358</v>
      </c>
      <c r="AB52" s="74">
        <f t="shared" si="0"/>
        <v>33980.595523909316</v>
      </c>
      <c r="AC52" s="74">
        <f t="shared" si="0"/>
        <v>3056.4064140324481</v>
      </c>
      <c r="AD52" s="74">
        <f t="shared" si="0"/>
        <v>3578.6184653266682</v>
      </c>
      <c r="AE52" s="74">
        <f t="shared" si="0"/>
        <v>4073.0038582689594</v>
      </c>
      <c r="AF52" s="74">
        <f t="shared" si="0"/>
        <v>4537.9040462707053</v>
      </c>
      <c r="AG52" s="74">
        <f t="shared" si="0"/>
        <v>4908.1305909972871</v>
      </c>
      <c r="AH52" s="74">
        <f t="shared" si="0"/>
        <v>5398.9579924279824</v>
      </c>
      <c r="AI52" s="74">
        <f t="shared" si="0"/>
        <v>5907.8303805465112</v>
      </c>
      <c r="AJ52" s="74">
        <f t="shared" si="0"/>
        <v>6433.1537622250617</v>
      </c>
      <c r="AK52" s="74">
        <f t="shared" si="0"/>
        <v>6918.3936443221755</v>
      </c>
      <c r="AL52" s="74">
        <f t="shared" si="0"/>
        <v>7364.426357162185</v>
      </c>
      <c r="AM52" s="74">
        <f t="shared" si="0"/>
        <v>7845.3427140065469</v>
      </c>
      <c r="AN52" s="74">
        <f t="shared" si="0"/>
        <v>8254.649787373608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>
        <f t="shared" si="1"/>
        <v>-0.30276042087400701</v>
      </c>
      <c r="L53" s="107">
        <f t="shared" si="1"/>
        <v>-0.3432354707047901</v>
      </c>
      <c r="M53" s="107">
        <f t="shared" si="1"/>
        <v>-0.33624051459862031</v>
      </c>
      <c r="N53" s="107">
        <f t="shared" si="1"/>
        <v>-0.24805923936030891</v>
      </c>
      <c r="O53" s="107">
        <f t="shared" si="1"/>
        <v>-0.15395223321385393</v>
      </c>
      <c r="P53" s="107">
        <f t="shared" si="1"/>
        <v>-8.7834079029953951E-2</v>
      </c>
      <c r="Q53" s="107">
        <f t="shared" si="1"/>
        <v>-9.6007972360649882E-2</v>
      </c>
      <c r="R53" s="107">
        <f t="shared" si="1"/>
        <v>-6.7565254132366415E-2</v>
      </c>
      <c r="S53" s="107">
        <f t="shared" si="1"/>
        <v>-3.2750281468206084E-2</v>
      </c>
      <c r="T53" s="107">
        <f t="shared" si="1"/>
        <v>-4.6967010019083981E-3</v>
      </c>
      <c r="U53" s="107">
        <f t="shared" si="1"/>
        <v>1.7890545882192722E-2</v>
      </c>
      <c r="V53" s="107">
        <f t="shared" si="1"/>
        <v>3.6888517941885773E-2</v>
      </c>
      <c r="W53" s="107">
        <f t="shared" si="1"/>
        <v>5.3863646025375293E-2</v>
      </c>
      <c r="X53" s="107">
        <f t="shared" si="1"/>
        <v>8.1956533630593381E-2</v>
      </c>
      <c r="Y53" s="107">
        <f t="shared" si="1"/>
        <v>8.3736665883085107E-2</v>
      </c>
      <c r="Z53" s="107">
        <f t="shared" si="1"/>
        <v>8.5517783541220138E-2</v>
      </c>
      <c r="AA53" s="107">
        <f t="shared" si="1"/>
        <v>8.7365025452658743E-2</v>
      </c>
      <c r="AB53" s="107">
        <f t="shared" si="1"/>
        <v>8.9170599691362776E-2</v>
      </c>
      <c r="AC53" s="107">
        <f t="shared" si="1"/>
        <v>8.0205066638115927E-3</v>
      </c>
      <c r="AD53" s="107">
        <f t="shared" si="1"/>
        <v>9.3908758719438538E-3</v>
      </c>
      <c r="AE53" s="107">
        <f t="shared" si="1"/>
        <v>1.0688223410667696E-2</v>
      </c>
      <c r="AF53" s="107">
        <f t="shared" si="1"/>
        <v>1.1908196984455544E-2</v>
      </c>
      <c r="AG53" s="107">
        <f t="shared" si="1"/>
        <v>1.2879731547223924E-2</v>
      </c>
      <c r="AH53" s="107">
        <f t="shared" si="1"/>
        <v>1.4167742338551371E-2</v>
      </c>
      <c r="AI53" s="107">
        <f t="shared" si="1"/>
        <v>1.550310610470366E-2</v>
      </c>
      <c r="AJ53" s="107">
        <f t="shared" si="1"/>
        <v>1.6881639948915166E-2</v>
      </c>
      <c r="AK53" s="107">
        <f t="shared" si="1"/>
        <v>1.8154988182330349E-2</v>
      </c>
      <c r="AL53" s="107">
        <f t="shared" si="1"/>
        <v>1.9325450437999887E-2</v>
      </c>
      <c r="AM53" s="107">
        <f t="shared" si="1"/>
        <v>2.0587453039191014E-2</v>
      </c>
      <c r="AN53" s="107">
        <f t="shared" si="1"/>
        <v>2.1661541254165844E-2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131140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-23717.712662037338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-30511.345682313618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-32167.588877729071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-39590.855335041211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-32674.8484521178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-40078.785008184088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-21537.193520752004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-25455.541692256003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-30255.1065596728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-32945.705637438878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-36981.604254087993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-41017.502870737117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-45053.40148738624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-49089.300104035363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-53125.198720684486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-258017.11</v>
      </c>
      <c r="J58" s="13">
        <f t="shared" si="2"/>
        <v>-131140</v>
      </c>
      <c r="K58" s="13">
        <f t="shared" si="2"/>
        <v>-161429.39025930269</v>
      </c>
      <c r="L58" s="13">
        <f t="shared" si="2"/>
        <v>-165478.67971579835</v>
      </c>
      <c r="M58" s="13">
        <f t="shared" si="2"/>
        <v>-164778.87570992851</v>
      </c>
      <c r="N58" s="13">
        <f t="shared" si="2"/>
        <v>-183994.49516697985</v>
      </c>
      <c r="O58" s="13">
        <f t="shared" si="2"/>
        <v>-52616.005946838399</v>
      </c>
      <c r="P58" s="13">
        <f t="shared" si="2"/>
        <v>-47073.349282715077</v>
      </c>
      <c r="Q58" s="13">
        <f t="shared" si="2"/>
        <v>-58955.731564038433</v>
      </c>
      <c r="R58" s="13">
        <f t="shared" si="2"/>
        <v>-47514.748278542436</v>
      </c>
      <c r="S58" s="13">
        <f t="shared" si="2"/>
        <v>-48153.171331298683</v>
      </c>
      <c r="T58" s="13">
        <f t="shared" si="2"/>
        <v>-22821.506499610481</v>
      </c>
      <c r="U58" s="13">
        <f t="shared" si="2"/>
        <v>-20082.008715863114</v>
      </c>
      <c r="V58" s="13">
        <f t="shared" si="2"/>
        <v>-18182.896375390643</v>
      </c>
      <c r="W58" s="13">
        <f t="shared" si="2"/>
        <v>-13868.926311314412</v>
      </c>
      <c r="X58" s="13">
        <f t="shared" si="2"/>
        <v>-5750.101612162638</v>
      </c>
      <c r="Y58" s="13">
        <f t="shared" si="2"/>
        <v>-9107.6381424250503</v>
      </c>
      <c r="Z58" s="13">
        <f t="shared" si="2"/>
        <v>-12464.799160234841</v>
      </c>
      <c r="AA58" s="13">
        <f t="shared" si="2"/>
        <v>-15796.761945515005</v>
      </c>
      <c r="AB58" s="13">
        <f t="shared" si="2"/>
        <v>-19144.60319677517</v>
      </c>
      <c r="AC58" s="13">
        <f t="shared" si="2"/>
        <v>-54104.690923301154</v>
      </c>
      <c r="AD58" s="13">
        <f t="shared" si="2"/>
        <v>-53582.478872006934</v>
      </c>
      <c r="AE58" s="13">
        <f t="shared" si="2"/>
        <v>-53088.093479064642</v>
      </c>
      <c r="AF58" s="13">
        <f t="shared" si="2"/>
        <v>-52623.193291062897</v>
      </c>
      <c r="AG58" s="13">
        <f t="shared" si="2"/>
        <v>-52252.966746336315</v>
      </c>
      <c r="AH58" s="13">
        <f t="shared" si="2"/>
        <v>-51762.13934490562</v>
      </c>
      <c r="AI58" s="13">
        <f t="shared" si="2"/>
        <v>-51253.266956787091</v>
      </c>
      <c r="AJ58" s="13">
        <f t="shared" si="2"/>
        <v>-50727.94357510854</v>
      </c>
      <c r="AK58" s="13">
        <f t="shared" si="2"/>
        <v>-50242.703693011426</v>
      </c>
      <c r="AL58" s="13">
        <f t="shared" si="2"/>
        <v>-49796.670980171417</v>
      </c>
      <c r="AM58" s="13">
        <f t="shared" si="2"/>
        <v>-49315.754623327055</v>
      </c>
      <c r="AN58" s="13">
        <f t="shared" si="2"/>
        <v>-48906.447549959994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-258017.11</v>
      </c>
      <c r="J59" s="12">
        <v>-389157.11</v>
      </c>
      <c r="K59" s="12">
        <v>-550586.50025930267</v>
      </c>
      <c r="L59" s="12">
        <v>-716065.17997510103</v>
      </c>
      <c r="M59" s="12">
        <v>-880844.0556850296</v>
      </c>
      <c r="N59" s="12">
        <v>-1064838.5508520096</v>
      </c>
      <c r="O59" s="12">
        <v>-1117454.5567988479</v>
      </c>
      <c r="P59" s="12">
        <v>-1164527.9060815629</v>
      </c>
      <c r="Q59" s="12">
        <v>-1223483.6376456013</v>
      </c>
      <c r="R59" s="12">
        <v>-1270998.3859241437</v>
      </c>
      <c r="S59" s="12">
        <v>-1319151.5572554425</v>
      </c>
      <c r="T59" s="12">
        <v>-1341973.0637550529</v>
      </c>
      <c r="U59" s="12">
        <v>-1362055.072470916</v>
      </c>
      <c r="V59" s="12">
        <v>-1380237.9688463067</v>
      </c>
      <c r="W59" s="12">
        <v>-1394106.895157621</v>
      </c>
      <c r="X59" s="12">
        <v>-1399856.9967697836</v>
      </c>
      <c r="Y59" s="12">
        <v>-1408964.6349122087</v>
      </c>
      <c r="Z59" s="12">
        <v>-1421429.4340724435</v>
      </c>
      <c r="AA59" s="12">
        <v>-1437226.1960179585</v>
      </c>
      <c r="AB59" s="12">
        <v>-1456370.7992147335</v>
      </c>
      <c r="AC59" s="12">
        <v>-1510475.4901380348</v>
      </c>
      <c r="AD59" s="12">
        <v>-1564057.9690100418</v>
      </c>
      <c r="AE59" s="12">
        <v>-1617146.0624891063</v>
      </c>
      <c r="AF59" s="12">
        <v>-1669769.2557801693</v>
      </c>
      <c r="AG59" s="12">
        <v>-1722022.2225265056</v>
      </c>
      <c r="AH59" s="12">
        <v>-1773784.3618714111</v>
      </c>
      <c r="AI59" s="12">
        <v>-1825037.6288281982</v>
      </c>
      <c r="AJ59" s="12">
        <v>-1875765.5724033066</v>
      </c>
      <c r="AK59" s="12">
        <v>-1926008.2760963179</v>
      </c>
      <c r="AL59" s="12">
        <v>-1975804.9470764892</v>
      </c>
      <c r="AM59" s="12">
        <v>-2025120.7016998162</v>
      </c>
      <c r="AN59" s="12">
        <v>-2074027.1492497763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3997.2421632</v>
      </c>
      <c r="L63" s="12">
        <v>3997.2421632</v>
      </c>
      <c r="M63" s="12">
        <v>3997.2421632</v>
      </c>
      <c r="N63" s="12">
        <v>4885.5181994666655</v>
      </c>
      <c r="O63" s="12">
        <v>6217.9322538666647</v>
      </c>
      <c r="P63" s="12">
        <v>7550.3463082666658</v>
      </c>
      <c r="Q63" s="12">
        <v>9149.2431735466653</v>
      </c>
      <c r="R63" s="12">
        <v>10064.167490901333</v>
      </c>
      <c r="S63" s="12">
        <v>11436.55396693333</v>
      </c>
      <c r="T63" s="12">
        <v>12808.940442965333</v>
      </c>
      <c r="U63" s="12">
        <v>14181.326918997333</v>
      </c>
      <c r="V63" s="12">
        <v>15553.71339502933</v>
      </c>
      <c r="W63" s="12">
        <v>16926.099871061331</v>
      </c>
      <c r="X63" s="12">
        <v>18298.486347093331</v>
      </c>
      <c r="Y63" s="12">
        <v>18298.486347093331</v>
      </c>
      <c r="Z63" s="12">
        <v>18298.486347093331</v>
      </c>
      <c r="AA63" s="12">
        <v>18298.486347093331</v>
      </c>
      <c r="AB63" s="12">
        <v>18298.486347093331</v>
      </c>
      <c r="AC63" s="12">
        <v>18298.486347093331</v>
      </c>
      <c r="AD63" s="12">
        <v>18298.486347093331</v>
      </c>
      <c r="AE63" s="12">
        <v>18298.486347093331</v>
      </c>
      <c r="AF63" s="12">
        <v>18298.486347093331</v>
      </c>
      <c r="AG63" s="12">
        <v>18298.486347093331</v>
      </c>
      <c r="AH63" s="12">
        <v>18298.486347093331</v>
      </c>
      <c r="AI63" s="12">
        <v>18298.486347093331</v>
      </c>
      <c r="AJ63" s="12">
        <v>18298.486347093331</v>
      </c>
      <c r="AK63" s="12">
        <v>18298.486347093331</v>
      </c>
      <c r="AL63" s="12">
        <v>18298.486347093331</v>
      </c>
      <c r="AM63" s="12">
        <v>18298.486347093331</v>
      </c>
      <c r="AN63" s="12">
        <v>18298.486347093331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554.90561280000009</v>
      </c>
      <c r="L64" s="12">
        <v>554.90561280000009</v>
      </c>
      <c r="M64" s="12">
        <v>554.90561280000009</v>
      </c>
      <c r="N64" s="12">
        <v>678.21797120000008</v>
      </c>
      <c r="O64" s="12">
        <v>863.18650880000018</v>
      </c>
      <c r="P64" s="12">
        <v>1048.1550464000002</v>
      </c>
      <c r="Q64" s="12">
        <v>1270.11729152</v>
      </c>
      <c r="R64" s="12">
        <v>1397.1290206720003</v>
      </c>
      <c r="S64" s="12">
        <v>1587.6466144000005</v>
      </c>
      <c r="T64" s="12">
        <v>1778.1642081280004</v>
      </c>
      <c r="U64" s="12">
        <v>1968.681801856</v>
      </c>
      <c r="V64" s="12">
        <v>2159.1993955840003</v>
      </c>
      <c r="W64" s="12">
        <v>2349.7169893120004</v>
      </c>
      <c r="X64" s="12">
        <v>2540.23458304</v>
      </c>
      <c r="Y64" s="12">
        <v>2540.23458304</v>
      </c>
      <c r="Z64" s="12">
        <v>2540.23458304</v>
      </c>
      <c r="AA64" s="12">
        <v>2540.23458304</v>
      </c>
      <c r="AB64" s="12">
        <v>2540.23458304</v>
      </c>
      <c r="AC64" s="12">
        <v>2540.23458304</v>
      </c>
      <c r="AD64" s="12">
        <v>2540.23458304</v>
      </c>
      <c r="AE64" s="12">
        <v>2540.23458304</v>
      </c>
      <c r="AF64" s="12">
        <v>2540.23458304</v>
      </c>
      <c r="AG64" s="12">
        <v>2540.23458304</v>
      </c>
      <c r="AH64" s="12">
        <v>2540.23458304</v>
      </c>
      <c r="AI64" s="12">
        <v>2540.23458304</v>
      </c>
      <c r="AJ64" s="12">
        <v>2540.23458304</v>
      </c>
      <c r="AK64" s="12">
        <v>2540.23458304</v>
      </c>
      <c r="AL64" s="12">
        <v>2540.23458304</v>
      </c>
      <c r="AM64" s="12">
        <v>2540.23458304</v>
      </c>
      <c r="AN64" s="12">
        <v>2540.23458304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3817.3662658559997</v>
      </c>
      <c r="L65" s="12">
        <v>3817.3662658559997</v>
      </c>
      <c r="M65" s="12">
        <v>3817.3662658559997</v>
      </c>
      <c r="N65" s="12">
        <v>4665.6698804906655</v>
      </c>
      <c r="O65" s="12">
        <v>5938.125302442666</v>
      </c>
      <c r="P65" s="12">
        <v>7210.5807243946647</v>
      </c>
      <c r="Q65" s="12">
        <v>8737.5272307370651</v>
      </c>
      <c r="R65" s="12">
        <v>9611.279953810772</v>
      </c>
      <c r="S65" s="12">
        <v>10921.90903842133</v>
      </c>
      <c r="T65" s="12">
        <v>12232.538123031893</v>
      </c>
      <c r="U65" s="12">
        <v>13543.167207642451</v>
      </c>
      <c r="V65" s="12">
        <v>14853.796292253011</v>
      </c>
      <c r="W65" s="12">
        <v>16164.42537686357</v>
      </c>
      <c r="X65" s="12">
        <v>17475.05446147413</v>
      </c>
      <c r="Y65" s="12">
        <v>17475.05446147413</v>
      </c>
      <c r="Z65" s="12">
        <v>17475.05446147413</v>
      </c>
      <c r="AA65" s="12">
        <v>17475.05446147413</v>
      </c>
      <c r="AB65" s="12">
        <v>17475.05446147413</v>
      </c>
      <c r="AC65" s="12">
        <v>17475.05446147413</v>
      </c>
      <c r="AD65" s="12">
        <v>17475.05446147413</v>
      </c>
      <c r="AE65" s="12">
        <v>17475.05446147413</v>
      </c>
      <c r="AF65" s="12">
        <v>17475.05446147413</v>
      </c>
      <c r="AG65" s="12">
        <v>17475.05446147413</v>
      </c>
      <c r="AH65" s="12">
        <v>17475.05446147413</v>
      </c>
      <c r="AI65" s="12">
        <v>17475.05446147413</v>
      </c>
      <c r="AJ65" s="12">
        <v>17475.05446147413</v>
      </c>
      <c r="AK65" s="12">
        <v>17475.05446147413</v>
      </c>
      <c r="AL65" s="12">
        <v>17475.05446147413</v>
      </c>
      <c r="AM65" s="12">
        <v>17475.05446147413</v>
      </c>
      <c r="AN65" s="12">
        <v>17475.05446147413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8369.5140418560004</v>
      </c>
      <c r="L67" s="13">
        <v>8369.5140418560004</v>
      </c>
      <c r="M67" s="13">
        <v>8369.5140418560004</v>
      </c>
      <c r="N67" s="13">
        <v>10229.40605115733</v>
      </c>
      <c r="O67" s="13">
        <v>13019.244065109331</v>
      </c>
      <c r="P67" s="13">
        <v>15809.082079061332</v>
      </c>
      <c r="Q67" s="13">
        <v>19156.887695803729</v>
      </c>
      <c r="R67" s="13">
        <v>21072.576465384103</v>
      </c>
      <c r="S67" s="13">
        <v>23946.109619754661</v>
      </c>
      <c r="T67" s="13">
        <v>26819.642774125226</v>
      </c>
      <c r="U67" s="13">
        <v>29693.175928495784</v>
      </c>
      <c r="V67" s="13">
        <v>32566.709082866342</v>
      </c>
      <c r="W67" s="13">
        <v>35440.242237236904</v>
      </c>
      <c r="X67" s="13">
        <v>38313.775391607458</v>
      </c>
      <c r="Y67" s="13">
        <v>38313.775391607458</v>
      </c>
      <c r="Z67" s="13">
        <v>38313.775391607458</v>
      </c>
      <c r="AA67" s="13">
        <v>38313.775391607458</v>
      </c>
      <c r="AB67" s="13">
        <v>38313.775391607458</v>
      </c>
      <c r="AC67" s="13">
        <v>38313.775391607458</v>
      </c>
      <c r="AD67" s="13">
        <v>38313.775391607458</v>
      </c>
      <c r="AE67" s="13">
        <v>38313.775391607458</v>
      </c>
      <c r="AF67" s="13">
        <v>38313.775391607458</v>
      </c>
      <c r="AG67" s="13">
        <v>38313.775391607458</v>
      </c>
      <c r="AH67" s="13">
        <v>38313.775391607458</v>
      </c>
      <c r="AI67" s="13">
        <v>38313.775391607458</v>
      </c>
      <c r="AJ67" s="13">
        <v>38313.775391607458</v>
      </c>
      <c r="AK67" s="13">
        <v>38313.775391607458</v>
      </c>
      <c r="AL67" s="13">
        <v>38313.775391607458</v>
      </c>
      <c r="AM67" s="13">
        <v>38313.775391607458</v>
      </c>
      <c r="AN67" s="13">
        <v>38313.775391607458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1888.0685720098741</v>
      </c>
      <c r="L72" s="12">
        <v>1888.0685720098741</v>
      </c>
      <c r="M72" s="12">
        <v>1888.0685720098741</v>
      </c>
      <c r="N72" s="12">
        <v>2307.6393657898457</v>
      </c>
      <c r="O72" s="12">
        <v>2936.995556459804</v>
      </c>
      <c r="P72" s="12">
        <v>3566.3517471297637</v>
      </c>
      <c r="Q72" s="12">
        <v>4615.2787315796922</v>
      </c>
      <c r="R72" s="12">
        <v>20261.206604737665</v>
      </c>
      <c r="S72" s="12">
        <v>36137.898414474621</v>
      </c>
      <c r="T72" s="12">
        <v>36830.190224211576</v>
      </c>
      <c r="U72" s="12">
        <v>37522.48203394853</v>
      </c>
      <c r="V72" s="12">
        <v>38214.773843685478</v>
      </c>
      <c r="W72" s="12">
        <v>38907.06565342244</v>
      </c>
      <c r="X72" s="12">
        <v>39599.357463159387</v>
      </c>
      <c r="Y72" s="12">
        <v>39599.357463159387</v>
      </c>
      <c r="Z72" s="12">
        <v>39599.357463159387</v>
      </c>
      <c r="AA72" s="12">
        <v>39599.357463159387</v>
      </c>
      <c r="AB72" s="12">
        <v>39599.357463159387</v>
      </c>
      <c r="AC72" s="12">
        <v>43559.293209475334</v>
      </c>
      <c r="AD72" s="12">
        <v>43559.293209475334</v>
      </c>
      <c r="AE72" s="12">
        <v>43559.293209475334</v>
      </c>
      <c r="AF72" s="12">
        <v>43559.293209475334</v>
      </c>
      <c r="AG72" s="12">
        <v>43559.293209475334</v>
      </c>
      <c r="AH72" s="12">
        <v>43559.293209475334</v>
      </c>
      <c r="AI72" s="12">
        <v>43559.293209475334</v>
      </c>
      <c r="AJ72" s="12">
        <v>43559.293209475334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6481.4454698461268</v>
      </c>
      <c r="L75" s="74">
        <v>6481.4454698461268</v>
      </c>
      <c r="M75" s="74">
        <v>6481.4454698461268</v>
      </c>
      <c r="N75" s="74">
        <v>7921.7666853674837</v>
      </c>
      <c r="O75" s="74">
        <v>10082.248508649527</v>
      </c>
      <c r="P75" s="74">
        <v>12242.730331931569</v>
      </c>
      <c r="Q75" s="74">
        <v>14541.608964224037</v>
      </c>
      <c r="R75" s="74">
        <v>811.36986064643861</v>
      </c>
      <c r="S75" s="74">
        <v>-12191.78879471996</v>
      </c>
      <c r="T75" s="74">
        <v>-10010.547450086349</v>
      </c>
      <c r="U75" s="74">
        <v>-7829.3061054527461</v>
      </c>
      <c r="V75" s="74">
        <v>-5648.0647608191357</v>
      </c>
      <c r="W75" s="74">
        <v>-3466.8234161855362</v>
      </c>
      <c r="X75" s="74">
        <v>-1285.5820715519294</v>
      </c>
      <c r="Y75" s="74">
        <v>-1285.5820715519294</v>
      </c>
      <c r="Z75" s="74">
        <v>-1285.5820715519294</v>
      </c>
      <c r="AA75" s="74">
        <v>-1285.5820715519294</v>
      </c>
      <c r="AB75" s="74">
        <v>-1285.5820715519294</v>
      </c>
      <c r="AC75" s="74">
        <v>-5245.5178178678761</v>
      </c>
      <c r="AD75" s="74">
        <v>-5245.5178178678761</v>
      </c>
      <c r="AE75" s="74">
        <v>-5245.5178178678761</v>
      </c>
      <c r="AF75" s="74">
        <v>-5245.5178178678761</v>
      </c>
      <c r="AG75" s="74">
        <v>-5245.5178178678761</v>
      </c>
      <c r="AH75" s="74">
        <v>-5245.5178178678761</v>
      </c>
      <c r="AI75" s="74">
        <v>-5245.5178178678761</v>
      </c>
      <c r="AJ75" s="74">
        <v>-5245.5178178678761</v>
      </c>
      <c r="AK75" s="74">
        <v>-5245.5178178678761</v>
      </c>
      <c r="AL75" s="74">
        <v>-5245.5178178678761</v>
      </c>
      <c r="AM75" s="74">
        <v>-5245.5178178678761</v>
      </c>
      <c r="AN75" s="74">
        <v>-5245.5178178678761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9E2A-A992-4DC0-A567-6075E682170A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83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</v>
      </c>
      <c r="F1" s="69">
        <v>4</v>
      </c>
      <c r="G1" s="69">
        <v>7</v>
      </c>
      <c r="H1" s="69">
        <v>9</v>
      </c>
      <c r="I1" s="69">
        <v>11</v>
      </c>
      <c r="J1" s="69">
        <v>14</v>
      </c>
      <c r="K1" s="69">
        <v>16</v>
      </c>
      <c r="L1" s="69">
        <v>18</v>
      </c>
      <c r="M1" s="69">
        <v>21</v>
      </c>
      <c r="N1" s="69">
        <v>23</v>
      </c>
      <c r="O1" s="69">
        <v>25</v>
      </c>
      <c r="P1" s="69">
        <v>28</v>
      </c>
      <c r="Q1" s="69">
        <v>28</v>
      </c>
      <c r="R1" s="69">
        <v>28</v>
      </c>
      <c r="S1" s="69">
        <v>28</v>
      </c>
      <c r="T1" s="69">
        <v>28</v>
      </c>
      <c r="U1" s="69">
        <v>28</v>
      </c>
      <c r="V1" s="69">
        <v>28</v>
      </c>
      <c r="W1" s="69">
        <v>28</v>
      </c>
      <c r="X1" s="69">
        <v>28</v>
      </c>
      <c r="Y1" s="69">
        <v>28</v>
      </c>
      <c r="Z1" s="69">
        <v>28</v>
      </c>
      <c r="AA1" s="69">
        <v>28</v>
      </c>
      <c r="AB1" s="69">
        <v>28</v>
      </c>
      <c r="AC1" s="69">
        <v>28</v>
      </c>
      <c r="AD1" s="69">
        <v>28</v>
      </c>
      <c r="AE1" s="69">
        <v>28</v>
      </c>
      <c r="AF1" s="69">
        <v>28</v>
      </c>
      <c r="AG1" s="69">
        <v>28</v>
      </c>
      <c r="AH1" s="69">
        <v>28</v>
      </c>
      <c r="AI1" s="69">
        <v>28</v>
      </c>
      <c r="AJ1" s="69">
        <v>28</v>
      </c>
      <c r="AK1" s="69">
        <v>28</v>
      </c>
      <c r="AL1" s="69">
        <v>28</v>
      </c>
      <c r="AM1" s="69">
        <v>28</v>
      </c>
      <c r="AN1" s="69">
        <v>28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2.5</v>
      </c>
      <c r="G2" s="69">
        <v>2.666666666666667</v>
      </c>
      <c r="H2" s="69">
        <v>2.8333333333333335</v>
      </c>
      <c r="I2" s="69">
        <v>3</v>
      </c>
      <c r="J2" s="69">
        <v>3.166666666666667</v>
      </c>
      <c r="K2" s="69">
        <v>3.3333333333333335</v>
      </c>
      <c r="L2" s="69">
        <v>3.5</v>
      </c>
      <c r="M2" s="69">
        <v>3.666666666666667</v>
      </c>
      <c r="N2" s="69">
        <v>3.8333333333333335</v>
      </c>
      <c r="O2" s="69">
        <v>4</v>
      </c>
      <c r="P2" s="69">
        <v>1.8333333333333333</v>
      </c>
      <c r="Q2" s="69">
        <v>2</v>
      </c>
      <c r="R2" s="69">
        <v>2.1666666666666665</v>
      </c>
      <c r="S2" s="69">
        <v>2.3333333333333335</v>
      </c>
      <c r="T2" s="69">
        <v>2.5</v>
      </c>
      <c r="U2" s="69">
        <v>2.6666666666666665</v>
      </c>
      <c r="V2" s="69">
        <v>2.8333333333333335</v>
      </c>
      <c r="W2" s="69">
        <v>3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2.1666666666666665</v>
      </c>
      <c r="S3" s="69">
        <v>2.3333333333333335</v>
      </c>
      <c r="T3" s="69">
        <v>2.5</v>
      </c>
      <c r="U3" s="69">
        <v>2.6666666666666665</v>
      </c>
      <c r="V3" s="69">
        <v>2.8333333333333335</v>
      </c>
      <c r="W3" s="69">
        <v>3</v>
      </c>
      <c r="X3" s="69">
        <v>3.1666666666666665</v>
      </c>
      <c r="Y3" s="69">
        <v>3.3333333333333335</v>
      </c>
      <c r="Z3" s="69">
        <v>3.5</v>
      </c>
      <c r="AA3" s="69">
        <v>3.6666666666666665</v>
      </c>
      <c r="AB3" s="69">
        <v>3.8333333333333335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2</v>
      </c>
      <c r="F4" s="69">
        <v>6.5</v>
      </c>
      <c r="G4" s="69">
        <v>9.6666666666666679</v>
      </c>
      <c r="H4" s="69">
        <v>11.833333333333334</v>
      </c>
      <c r="I4" s="69">
        <v>14</v>
      </c>
      <c r="J4" s="69">
        <v>17.166666666666668</v>
      </c>
      <c r="K4" s="69">
        <v>19.333333333333332</v>
      </c>
      <c r="L4" s="69">
        <v>21.5</v>
      </c>
      <c r="M4" s="69">
        <v>24.666666666666668</v>
      </c>
      <c r="N4" s="69">
        <v>26.833333333333332</v>
      </c>
      <c r="O4" s="69">
        <v>29</v>
      </c>
      <c r="P4" s="69">
        <v>29.833333333333332</v>
      </c>
      <c r="Q4" s="69">
        <v>30</v>
      </c>
      <c r="R4" s="69">
        <v>30.166666666666668</v>
      </c>
      <c r="S4" s="69">
        <v>30.333333333333332</v>
      </c>
      <c r="T4" s="69">
        <v>30.5</v>
      </c>
      <c r="U4" s="69">
        <v>30.666666666666668</v>
      </c>
      <c r="V4" s="69">
        <v>30.833333333333332</v>
      </c>
      <c r="W4" s="69">
        <v>31</v>
      </c>
      <c r="X4" s="69">
        <v>31.166666666666668</v>
      </c>
      <c r="Y4" s="69">
        <v>31.333333333333332</v>
      </c>
      <c r="Z4" s="69">
        <v>31.5</v>
      </c>
      <c r="AA4" s="69">
        <v>31.666666666666668</v>
      </c>
      <c r="AB4" s="69">
        <v>31.833333333333332</v>
      </c>
      <c r="AC4" s="69">
        <v>32</v>
      </c>
      <c r="AD4" s="69">
        <v>32</v>
      </c>
      <c r="AE4" s="69">
        <v>32</v>
      </c>
      <c r="AF4" s="69">
        <v>32</v>
      </c>
      <c r="AG4" s="69">
        <v>32</v>
      </c>
      <c r="AH4" s="69">
        <v>32</v>
      </c>
      <c r="AI4" s="69">
        <v>32</v>
      </c>
      <c r="AJ4" s="69">
        <v>32</v>
      </c>
      <c r="AK4" s="69">
        <v>32</v>
      </c>
      <c r="AL4" s="69">
        <v>32</v>
      </c>
      <c r="AM4" s="69">
        <v>32</v>
      </c>
      <c r="AN4" s="69">
        <v>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2</v>
      </c>
      <c r="F6" s="66">
        <v>5</v>
      </c>
      <c r="G6" s="66">
        <v>7</v>
      </c>
      <c r="H6" s="66">
        <v>8</v>
      </c>
      <c r="I6" s="66">
        <v>9</v>
      </c>
      <c r="J6" s="66">
        <v>11</v>
      </c>
      <c r="K6" s="66">
        <v>13</v>
      </c>
      <c r="L6" s="66">
        <v>14</v>
      </c>
      <c r="M6" s="66">
        <v>16</v>
      </c>
      <c r="N6" s="66">
        <v>17</v>
      </c>
      <c r="O6" s="66">
        <v>18</v>
      </c>
      <c r="P6" s="66">
        <v>20</v>
      </c>
      <c r="Q6" s="66">
        <v>20</v>
      </c>
      <c r="R6" s="66">
        <v>20</v>
      </c>
      <c r="S6" s="66">
        <v>20</v>
      </c>
      <c r="T6" s="66">
        <v>20</v>
      </c>
      <c r="U6" s="66">
        <v>20</v>
      </c>
      <c r="V6" s="66">
        <v>20</v>
      </c>
      <c r="W6" s="66">
        <v>20</v>
      </c>
      <c r="X6" s="66">
        <v>20</v>
      </c>
      <c r="Y6" s="66">
        <v>20</v>
      </c>
      <c r="Z6" s="66">
        <v>20</v>
      </c>
      <c r="AA6" s="66">
        <v>20</v>
      </c>
      <c r="AB6" s="66">
        <v>20</v>
      </c>
      <c r="AC6" s="66">
        <v>20</v>
      </c>
      <c r="AD6" s="66">
        <v>20</v>
      </c>
      <c r="AE6" s="66">
        <v>20</v>
      </c>
      <c r="AF6" s="66">
        <v>20</v>
      </c>
      <c r="AG6" s="66">
        <v>20</v>
      </c>
      <c r="AH6" s="66">
        <v>20</v>
      </c>
      <c r="AI6" s="66">
        <v>20</v>
      </c>
      <c r="AJ6" s="66">
        <v>20</v>
      </c>
      <c r="AK6" s="66">
        <v>20</v>
      </c>
      <c r="AL6" s="66">
        <v>20</v>
      </c>
      <c r="AM6" s="66">
        <v>20</v>
      </c>
      <c r="AN6" s="66">
        <v>20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0.91</v>
      </c>
      <c r="F7" s="108">
        <v>1.81</v>
      </c>
      <c r="G7" s="108">
        <v>3.1599999999999997</v>
      </c>
      <c r="H7" s="108">
        <v>4.0599999999999996</v>
      </c>
      <c r="I7" s="108">
        <v>4.97</v>
      </c>
      <c r="J7" s="108">
        <v>6.3199999999999994</v>
      </c>
      <c r="K7" s="108">
        <v>7.22</v>
      </c>
      <c r="L7" s="108">
        <v>8.1199999999999992</v>
      </c>
      <c r="M7" s="108">
        <v>9.48</v>
      </c>
      <c r="N7" s="108">
        <v>10.379999999999999</v>
      </c>
      <c r="O7" s="108">
        <v>11.28</v>
      </c>
      <c r="P7" s="108">
        <v>12.629999999999999</v>
      </c>
      <c r="Q7" s="108">
        <v>12.629999999999999</v>
      </c>
      <c r="R7" s="108">
        <v>12.629999999999999</v>
      </c>
      <c r="S7" s="108">
        <v>12.629999999999999</v>
      </c>
      <c r="T7" s="108">
        <v>12.629999999999999</v>
      </c>
      <c r="U7" s="108">
        <v>12.629999999999999</v>
      </c>
      <c r="V7" s="108">
        <v>12.629999999999999</v>
      </c>
      <c r="W7" s="108">
        <v>12.629999999999999</v>
      </c>
      <c r="X7" s="108">
        <v>12.629999999999999</v>
      </c>
      <c r="Y7" s="108">
        <v>12.629999999999999</v>
      </c>
      <c r="Z7" s="108">
        <v>12.629999999999999</v>
      </c>
      <c r="AA7" s="108">
        <v>12.629999999999999</v>
      </c>
      <c r="AB7" s="108">
        <v>12.629999999999999</v>
      </c>
      <c r="AC7" s="108">
        <v>12.629999999999999</v>
      </c>
      <c r="AD7" s="108">
        <v>12.629999999999999</v>
      </c>
      <c r="AE7" s="108">
        <v>12.629999999999999</v>
      </c>
      <c r="AF7" s="108">
        <v>12.629999999999999</v>
      </c>
      <c r="AG7" s="108">
        <v>12.629999999999999</v>
      </c>
      <c r="AH7" s="108">
        <v>12.629999999999999</v>
      </c>
      <c r="AI7" s="108">
        <v>12.629999999999999</v>
      </c>
      <c r="AJ7" s="108">
        <v>12.629999999999999</v>
      </c>
      <c r="AK7" s="108">
        <v>12.629999999999999</v>
      </c>
      <c r="AL7" s="108">
        <v>12.629999999999999</v>
      </c>
      <c r="AM7" s="108">
        <v>12.629999999999999</v>
      </c>
      <c r="AN7" s="108">
        <v>12.629999999999999</v>
      </c>
    </row>
    <row r="8" spans="1:40" hidden="1" outlineLevel="1" x14ac:dyDescent="0.25">
      <c r="B8" s="39" t="str">
        <v>Secondary Direct Staff</v>
      </c>
      <c r="C8" s="3"/>
      <c r="D8" s="3"/>
      <c r="E8" s="108">
        <v>0.29000000000000004</v>
      </c>
      <c r="F8" s="108">
        <v>0.57999999999999996</v>
      </c>
      <c r="G8" s="108">
        <v>1</v>
      </c>
      <c r="H8" s="108">
        <v>1.29</v>
      </c>
      <c r="I8" s="108">
        <v>1.58</v>
      </c>
      <c r="J8" s="108">
        <v>2</v>
      </c>
      <c r="K8" s="108">
        <v>2.2899999999999996</v>
      </c>
      <c r="L8" s="108">
        <v>2.5799999999999996</v>
      </c>
      <c r="M8" s="108">
        <v>3</v>
      </c>
      <c r="N8" s="108">
        <v>3.2899999999999996</v>
      </c>
      <c r="O8" s="108">
        <v>3.5799999999999996</v>
      </c>
      <c r="P8" s="108">
        <v>4</v>
      </c>
      <c r="Q8" s="108">
        <v>4</v>
      </c>
      <c r="R8" s="108">
        <v>4</v>
      </c>
      <c r="S8" s="108">
        <v>4</v>
      </c>
      <c r="T8" s="108">
        <v>4</v>
      </c>
      <c r="U8" s="108">
        <v>4</v>
      </c>
      <c r="V8" s="108">
        <v>4</v>
      </c>
      <c r="W8" s="108">
        <v>4</v>
      </c>
      <c r="X8" s="108">
        <v>4</v>
      </c>
      <c r="Y8" s="108">
        <v>4</v>
      </c>
      <c r="Z8" s="108">
        <v>4</v>
      </c>
      <c r="AA8" s="108">
        <v>4</v>
      </c>
      <c r="AB8" s="108">
        <v>4</v>
      </c>
      <c r="AC8" s="108">
        <v>4</v>
      </c>
      <c r="AD8" s="108">
        <v>4</v>
      </c>
      <c r="AE8" s="108">
        <v>4</v>
      </c>
      <c r="AF8" s="108">
        <v>4</v>
      </c>
      <c r="AG8" s="108">
        <v>4</v>
      </c>
      <c r="AH8" s="108">
        <v>4</v>
      </c>
      <c r="AI8" s="108">
        <v>4</v>
      </c>
      <c r="AJ8" s="108">
        <v>4</v>
      </c>
      <c r="AK8" s="108">
        <v>4</v>
      </c>
      <c r="AL8" s="108">
        <v>4</v>
      </c>
      <c r="AM8" s="108">
        <v>4</v>
      </c>
      <c r="AN8" s="108">
        <v>4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0.2</v>
      </c>
      <c r="G12" s="108">
        <v>0.21000000000000002</v>
      </c>
      <c r="H12" s="108">
        <v>0.22</v>
      </c>
      <c r="I12" s="108">
        <v>0.24000000000000002</v>
      </c>
      <c r="J12" s="108">
        <v>0.25</v>
      </c>
      <c r="K12" s="108">
        <v>0.26</v>
      </c>
      <c r="L12" s="108">
        <v>0.27</v>
      </c>
      <c r="M12" s="108">
        <v>0.29000000000000004</v>
      </c>
      <c r="N12" s="108">
        <v>0.3</v>
      </c>
      <c r="O12" s="108">
        <v>0.31</v>
      </c>
      <c r="P12" s="108">
        <v>0.15000000000000002</v>
      </c>
      <c r="Q12" s="108">
        <v>0.16</v>
      </c>
      <c r="R12" s="108">
        <v>0.17</v>
      </c>
      <c r="S12" s="108">
        <v>0.18000000000000002</v>
      </c>
      <c r="T12" s="108">
        <v>0.2</v>
      </c>
      <c r="U12" s="108">
        <v>0.21000000000000002</v>
      </c>
      <c r="V12" s="108">
        <v>0.22</v>
      </c>
      <c r="W12" s="108">
        <v>0.24000000000000002</v>
      </c>
      <c r="X12" s="108">
        <v>0.25</v>
      </c>
      <c r="Y12" s="108">
        <v>0.26</v>
      </c>
      <c r="Z12" s="108">
        <v>0.27</v>
      </c>
      <c r="AA12" s="108">
        <v>0.29000000000000004</v>
      </c>
      <c r="AB12" s="108">
        <v>0.3</v>
      </c>
      <c r="AC12" s="108">
        <v>0.31</v>
      </c>
      <c r="AD12" s="108">
        <v>0.31</v>
      </c>
      <c r="AE12" s="108">
        <v>0.31</v>
      </c>
      <c r="AF12" s="108">
        <v>0.31</v>
      </c>
      <c r="AG12" s="108">
        <v>0.31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0.02</v>
      </c>
      <c r="F13" s="108">
        <v>0.28000000000000003</v>
      </c>
      <c r="G13" s="108">
        <v>0.31</v>
      </c>
      <c r="H13" s="108">
        <v>0.34</v>
      </c>
      <c r="I13" s="108">
        <v>0.37</v>
      </c>
      <c r="J13" s="108">
        <v>0.4</v>
      </c>
      <c r="K13" s="108">
        <v>0.43</v>
      </c>
      <c r="L13" s="108">
        <v>0.45</v>
      </c>
      <c r="M13" s="108">
        <v>0.49</v>
      </c>
      <c r="N13" s="108">
        <v>0.51</v>
      </c>
      <c r="O13" s="108">
        <v>0.54</v>
      </c>
      <c r="P13" s="108">
        <v>0.34</v>
      </c>
      <c r="Q13" s="108">
        <v>0.36</v>
      </c>
      <c r="R13" s="108">
        <v>0.38</v>
      </c>
      <c r="S13" s="108">
        <v>0.39</v>
      </c>
      <c r="T13" s="108">
        <v>0.41000000000000003</v>
      </c>
      <c r="U13" s="108">
        <v>0.43</v>
      </c>
      <c r="V13" s="108">
        <v>0.44</v>
      </c>
      <c r="W13" s="108">
        <v>0.46</v>
      </c>
      <c r="X13" s="108">
        <v>0.48</v>
      </c>
      <c r="Y13" s="108">
        <v>0.49</v>
      </c>
      <c r="Z13" s="108">
        <v>0.51</v>
      </c>
      <c r="AA13" s="108">
        <v>0.53</v>
      </c>
      <c r="AB13" s="108">
        <v>0.54</v>
      </c>
      <c r="AC13" s="108">
        <v>0.56000000000000005</v>
      </c>
      <c r="AD13" s="108">
        <v>0.56000000000000005</v>
      </c>
      <c r="AE13" s="108">
        <v>0.56000000000000005</v>
      </c>
      <c r="AF13" s="108">
        <v>0.56000000000000005</v>
      </c>
      <c r="AG13" s="108">
        <v>0.56000000000000005</v>
      </c>
      <c r="AH13" s="108">
        <v>0.56000000000000005</v>
      </c>
      <c r="AI13" s="108">
        <v>0.56000000000000005</v>
      </c>
      <c r="AJ13" s="108">
        <v>0.56000000000000005</v>
      </c>
      <c r="AK13" s="108">
        <v>0.56000000000000005</v>
      </c>
      <c r="AL13" s="108">
        <v>0.56000000000000005</v>
      </c>
      <c r="AM13" s="108">
        <v>0.56000000000000005</v>
      </c>
      <c r="AN13" s="108">
        <v>0.56000000000000005</v>
      </c>
    </row>
    <row r="14" spans="1:40" hidden="1" outlineLevel="1" x14ac:dyDescent="0.25">
      <c r="B14" s="39" t="str">
        <v>Recruiter</v>
      </c>
      <c r="C14" s="3"/>
      <c r="D14" s="3"/>
      <c r="E14" s="108">
        <v>0.02</v>
      </c>
      <c r="F14" s="108">
        <v>0.15000000000000002</v>
      </c>
      <c r="G14" s="108">
        <v>0.18000000000000002</v>
      </c>
      <c r="H14" s="108">
        <v>0.2</v>
      </c>
      <c r="I14" s="108">
        <v>0.22</v>
      </c>
      <c r="J14" s="108">
        <v>0.24000000000000002</v>
      </c>
      <c r="K14" s="108">
        <v>0.26</v>
      </c>
      <c r="L14" s="108">
        <v>0.28000000000000003</v>
      </c>
      <c r="M14" s="108">
        <v>0.3</v>
      </c>
      <c r="N14" s="108">
        <v>0.32</v>
      </c>
      <c r="O14" s="108">
        <v>0.34</v>
      </c>
      <c r="P14" s="108">
        <v>0.25</v>
      </c>
      <c r="Q14" s="108">
        <v>0.26</v>
      </c>
      <c r="R14" s="108">
        <v>0.27</v>
      </c>
      <c r="S14" s="108">
        <v>0.28000000000000003</v>
      </c>
      <c r="T14" s="108">
        <v>0.28000000000000003</v>
      </c>
      <c r="U14" s="108">
        <v>0.29000000000000004</v>
      </c>
      <c r="V14" s="108">
        <v>0.3</v>
      </c>
      <c r="W14" s="108">
        <v>0.31</v>
      </c>
      <c r="X14" s="108">
        <v>0.32</v>
      </c>
      <c r="Y14" s="108">
        <v>0.33</v>
      </c>
      <c r="Z14" s="108">
        <v>0.33</v>
      </c>
      <c r="AA14" s="108">
        <v>0.34</v>
      </c>
      <c r="AB14" s="108">
        <v>0.35000000000000003</v>
      </c>
      <c r="AC14" s="108">
        <v>0.36</v>
      </c>
      <c r="AD14" s="108">
        <v>0.36</v>
      </c>
      <c r="AE14" s="108">
        <v>0.36</v>
      </c>
      <c r="AF14" s="108">
        <v>0.36</v>
      </c>
      <c r="AG14" s="108">
        <v>0.36</v>
      </c>
      <c r="AH14" s="108">
        <v>0.36</v>
      </c>
      <c r="AI14" s="108">
        <v>0.36</v>
      </c>
      <c r="AJ14" s="108">
        <v>0.36</v>
      </c>
      <c r="AK14" s="108">
        <v>0.36</v>
      </c>
      <c r="AL14" s="108">
        <v>0.36</v>
      </c>
      <c r="AM14" s="108">
        <v>0.36</v>
      </c>
      <c r="AN14" s="108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0.01</v>
      </c>
      <c r="F15" s="108">
        <v>0.02</v>
      </c>
      <c r="G15" s="108">
        <v>0.03</v>
      </c>
      <c r="H15" s="108">
        <v>0.04</v>
      </c>
      <c r="I15" s="108">
        <v>0.05</v>
      </c>
      <c r="J15" s="108">
        <v>6.0000000000000005E-2</v>
      </c>
      <c r="K15" s="108">
        <v>6.9999999999999993E-2</v>
      </c>
      <c r="L15" s="108">
        <v>0.08</v>
      </c>
      <c r="M15" s="108">
        <v>0.09</v>
      </c>
      <c r="N15" s="108">
        <v>9.9999999999999992E-2</v>
      </c>
      <c r="O15" s="108">
        <v>0.1</v>
      </c>
      <c r="P15" s="108">
        <v>0.12</v>
      </c>
      <c r="Q15" s="108">
        <v>0.12</v>
      </c>
      <c r="R15" s="108">
        <v>0.12</v>
      </c>
      <c r="S15" s="108">
        <v>0.12</v>
      </c>
      <c r="T15" s="108">
        <v>0.12</v>
      </c>
      <c r="U15" s="108">
        <v>0.12</v>
      </c>
      <c r="V15" s="108">
        <v>0.12</v>
      </c>
      <c r="W15" s="108">
        <v>0.12</v>
      </c>
      <c r="X15" s="108">
        <v>0.12</v>
      </c>
      <c r="Y15" s="108">
        <v>0.12</v>
      </c>
      <c r="Z15" s="108">
        <v>0.12</v>
      </c>
      <c r="AA15" s="108">
        <v>0.12</v>
      </c>
      <c r="AB15" s="108">
        <v>0.12</v>
      </c>
      <c r="AC15" s="108">
        <v>0.12</v>
      </c>
      <c r="AD15" s="108">
        <v>0.12</v>
      </c>
      <c r="AE15" s="108">
        <v>0.12</v>
      </c>
      <c r="AF15" s="108">
        <v>0.12</v>
      </c>
      <c r="AG15" s="108">
        <v>0.12</v>
      </c>
      <c r="AH15" s="108">
        <v>0.12</v>
      </c>
      <c r="AI15" s="108">
        <v>0.12</v>
      </c>
      <c r="AJ15" s="108">
        <v>0.12</v>
      </c>
      <c r="AK15" s="108">
        <v>0.12</v>
      </c>
      <c r="AL15" s="108">
        <v>0.12</v>
      </c>
      <c r="AM15" s="108">
        <v>0.12</v>
      </c>
      <c r="AN15" s="108">
        <v>0.12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0.01</v>
      </c>
      <c r="F16" s="108">
        <v>0.02</v>
      </c>
      <c r="G16" s="108">
        <v>0.03</v>
      </c>
      <c r="H16" s="108">
        <v>0.04</v>
      </c>
      <c r="I16" s="108">
        <v>0.05</v>
      </c>
      <c r="J16" s="108">
        <v>6.0000000000000005E-2</v>
      </c>
      <c r="K16" s="108">
        <v>6.9999999999999993E-2</v>
      </c>
      <c r="L16" s="108">
        <v>0.08</v>
      </c>
      <c r="M16" s="108">
        <v>0.09</v>
      </c>
      <c r="N16" s="108">
        <v>9.9999999999999992E-2</v>
      </c>
      <c r="O16" s="108">
        <v>0.1</v>
      </c>
      <c r="P16" s="108">
        <v>0.12</v>
      </c>
      <c r="Q16" s="108">
        <v>0.12</v>
      </c>
      <c r="R16" s="108">
        <v>0.12</v>
      </c>
      <c r="S16" s="108">
        <v>0.12</v>
      </c>
      <c r="T16" s="108">
        <v>0.12</v>
      </c>
      <c r="U16" s="108">
        <v>0.12</v>
      </c>
      <c r="V16" s="108">
        <v>0.12</v>
      </c>
      <c r="W16" s="108">
        <v>0.12</v>
      </c>
      <c r="X16" s="108">
        <v>0.12</v>
      </c>
      <c r="Y16" s="108">
        <v>0.12</v>
      </c>
      <c r="Z16" s="108">
        <v>0.12</v>
      </c>
      <c r="AA16" s="108">
        <v>0.12</v>
      </c>
      <c r="AB16" s="108">
        <v>0.12</v>
      </c>
      <c r="AC16" s="108">
        <v>0.12</v>
      </c>
      <c r="AD16" s="108">
        <v>0.12</v>
      </c>
      <c r="AE16" s="108">
        <v>0.12</v>
      </c>
      <c r="AF16" s="108">
        <v>0.12</v>
      </c>
      <c r="AG16" s="108">
        <v>0.12</v>
      </c>
      <c r="AH16" s="108">
        <v>0.12</v>
      </c>
      <c r="AI16" s="108">
        <v>0.12</v>
      </c>
      <c r="AJ16" s="108">
        <v>0.12</v>
      </c>
      <c r="AK16" s="108">
        <v>0.12</v>
      </c>
      <c r="AL16" s="108">
        <v>0.12</v>
      </c>
      <c r="AM16" s="108">
        <v>0.12</v>
      </c>
      <c r="AN16" s="108">
        <v>0.12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</v>
      </c>
      <c r="F21" s="120">
        <v>2</v>
      </c>
      <c r="G21" s="120">
        <v>4</v>
      </c>
      <c r="H21" s="120">
        <v>5</v>
      </c>
      <c r="I21" s="120">
        <v>7</v>
      </c>
      <c r="J21" s="120">
        <v>8</v>
      </c>
      <c r="K21" s="120">
        <v>10</v>
      </c>
      <c r="L21" s="120">
        <v>11</v>
      </c>
      <c r="M21" s="120">
        <v>12</v>
      </c>
      <c r="N21" s="120">
        <v>14</v>
      </c>
      <c r="O21" s="120">
        <v>15</v>
      </c>
      <c r="P21" s="120">
        <v>17</v>
      </c>
      <c r="Q21" s="120">
        <v>17</v>
      </c>
      <c r="R21" s="120">
        <v>17</v>
      </c>
      <c r="S21" s="120">
        <v>17</v>
      </c>
      <c r="T21" s="120">
        <v>17</v>
      </c>
      <c r="U21" s="120">
        <v>17</v>
      </c>
      <c r="V21" s="120">
        <v>17</v>
      </c>
      <c r="W21" s="120">
        <v>17</v>
      </c>
      <c r="X21" s="120">
        <v>17</v>
      </c>
      <c r="Y21" s="120">
        <v>17</v>
      </c>
      <c r="Z21" s="120">
        <v>17</v>
      </c>
      <c r="AA21" s="120">
        <v>17</v>
      </c>
      <c r="AB21" s="120">
        <v>17</v>
      </c>
      <c r="AC21" s="120">
        <v>17</v>
      </c>
      <c r="AD21" s="120">
        <v>17</v>
      </c>
      <c r="AE21" s="120">
        <v>17</v>
      </c>
      <c r="AF21" s="120">
        <v>17</v>
      </c>
      <c r="AG21" s="120">
        <v>17</v>
      </c>
      <c r="AH21" s="120">
        <v>17</v>
      </c>
      <c r="AI21" s="120">
        <v>17</v>
      </c>
      <c r="AJ21" s="120">
        <v>17</v>
      </c>
      <c r="AK21" s="120">
        <v>17</v>
      </c>
      <c r="AL21" s="120">
        <v>17</v>
      </c>
      <c r="AM21" s="120">
        <v>17</v>
      </c>
      <c r="AN21" s="120">
        <v>17</v>
      </c>
    </row>
    <row r="22" spans="2:50" x14ac:dyDescent="0.25">
      <c r="B22" s="2" t="s">
        <v>464</v>
      </c>
      <c r="C22" s="3"/>
      <c r="D22" s="77">
        <f>MAX(_xlfn.ANCHORARRAY(E22))</f>
        <v>98.845941528409071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95.96693352272726</v>
      </c>
      <c r="H22" s="78">
        <v>95.966933522727288</v>
      </c>
      <c r="I22" s="78">
        <v>95.966933522727274</v>
      </c>
      <c r="J22" s="78">
        <v>95.96693352272726</v>
      </c>
      <c r="K22" s="78">
        <v>95.966933522727288</v>
      </c>
      <c r="L22" s="78">
        <v>95.966933522727288</v>
      </c>
      <c r="M22" s="78">
        <v>95.966933522727274</v>
      </c>
      <c r="N22" s="78">
        <v>95.966933522727274</v>
      </c>
      <c r="O22" s="78">
        <v>95.966933522727274</v>
      </c>
      <c r="P22" s="78">
        <v>95.96693352272726</v>
      </c>
      <c r="Q22" s="78">
        <v>98.845941528409071</v>
      </c>
      <c r="R22" s="78">
        <v>98.845941528409071</v>
      </c>
      <c r="S22" s="78">
        <v>98.845941528409071</v>
      </c>
      <c r="T22" s="78">
        <v>98.845941528409071</v>
      </c>
      <c r="U22" s="78">
        <v>98.845941528409071</v>
      </c>
      <c r="V22" s="78">
        <v>98.845941528409071</v>
      </c>
      <c r="W22" s="78">
        <v>98.845941528409071</v>
      </c>
      <c r="X22" s="78">
        <v>98.845941528409071</v>
      </c>
      <c r="Y22" s="78">
        <v>98.845941528409071</v>
      </c>
      <c r="Z22" s="78">
        <v>98.845941528409071</v>
      </c>
      <c r="AA22" s="78">
        <v>98.845941528409071</v>
      </c>
      <c r="AB22" s="78">
        <v>98.845941528409071</v>
      </c>
      <c r="AC22" s="78">
        <v>98.845941528409071</v>
      </c>
      <c r="AD22" s="78">
        <v>98.845941528409071</v>
      </c>
      <c r="AE22" s="78">
        <v>98.845941528409071</v>
      </c>
      <c r="AF22" s="78">
        <v>98.845941528409071</v>
      </c>
      <c r="AG22" s="78">
        <v>98.845941528409071</v>
      </c>
      <c r="AH22" s="78">
        <v>98.845941528409071</v>
      </c>
      <c r="AI22" s="78">
        <v>98.845941528409071</v>
      </c>
      <c r="AJ22" s="78">
        <v>98.845941528409071</v>
      </c>
      <c r="AK22" s="78">
        <v>98.845941528409071</v>
      </c>
      <c r="AL22" s="78">
        <v>98.845941528409071</v>
      </c>
      <c r="AM22" s="78">
        <v>98.845941528409071</v>
      </c>
      <c r="AN22" s="78">
        <v>98.845941528409071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103.25333333333332</v>
      </c>
      <c r="F23" s="52">
        <v>206.50666666666663</v>
      </c>
      <c r="G23" s="52">
        <v>361.38666666666671</v>
      </c>
      <c r="H23" s="52">
        <v>464.63999999999993</v>
      </c>
      <c r="I23" s="52">
        <v>567.89333333333332</v>
      </c>
      <c r="J23" s="52">
        <v>722.77333333333343</v>
      </c>
      <c r="K23" s="52">
        <v>826.02666666666653</v>
      </c>
      <c r="L23" s="52">
        <v>929.27999999999986</v>
      </c>
      <c r="M23" s="52">
        <v>1084.1599999999999</v>
      </c>
      <c r="N23" s="52">
        <v>1187.4133333333332</v>
      </c>
      <c r="O23" s="52">
        <v>1290.6666666666667</v>
      </c>
      <c r="P23" s="52">
        <v>1445.5466666666669</v>
      </c>
      <c r="Q23" s="52">
        <v>1445.5466666666669</v>
      </c>
      <c r="R23" s="52">
        <v>1445.5466666666669</v>
      </c>
      <c r="S23" s="52">
        <v>1445.5466666666669</v>
      </c>
      <c r="T23" s="52">
        <v>1445.5466666666669</v>
      </c>
      <c r="U23" s="52">
        <v>1445.5466666666669</v>
      </c>
      <c r="V23" s="52">
        <v>1445.5466666666669</v>
      </c>
      <c r="W23" s="52">
        <v>1445.5466666666669</v>
      </c>
      <c r="X23" s="52">
        <v>1445.5466666666669</v>
      </c>
      <c r="Y23" s="52">
        <v>1445.5466666666669</v>
      </c>
      <c r="Z23" s="52">
        <v>1445.5466666666669</v>
      </c>
      <c r="AA23" s="52">
        <v>1445.5466666666669</v>
      </c>
      <c r="AB23" s="52">
        <v>1445.5466666666669</v>
      </c>
      <c r="AC23" s="52">
        <v>1445.5466666666669</v>
      </c>
      <c r="AD23" s="52">
        <v>1445.5466666666669</v>
      </c>
      <c r="AE23" s="52">
        <v>1445.5466666666669</v>
      </c>
      <c r="AF23" s="52">
        <v>1445.5466666666669</v>
      </c>
      <c r="AG23" s="52">
        <v>1445.5466666666669</v>
      </c>
      <c r="AH23" s="52">
        <v>1445.5466666666669</v>
      </c>
      <c r="AI23" s="52">
        <v>1445.5466666666669</v>
      </c>
      <c r="AJ23" s="52">
        <v>1445.5466666666669</v>
      </c>
      <c r="AK23" s="52">
        <v>1445.5466666666669</v>
      </c>
      <c r="AL23" s="52">
        <v>1445.5466666666669</v>
      </c>
      <c r="AM23" s="52">
        <v>1445.5466666666669</v>
      </c>
      <c r="AN23" s="52">
        <v>1445.5466666666669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7938.2024279999987</v>
      </c>
      <c r="F26" s="12">
        <v>15876.404855999997</v>
      </c>
      <c r="G26" s="12">
        <v>27783.708497999996</v>
      </c>
      <c r="H26" s="12">
        <v>35721.910925999997</v>
      </c>
      <c r="I26" s="12">
        <v>43660.113353999994</v>
      </c>
      <c r="J26" s="12">
        <v>55567.416995999993</v>
      </c>
      <c r="K26" s="12">
        <v>63505.61942399999</v>
      </c>
      <c r="L26" s="12">
        <v>71443.821851999994</v>
      </c>
      <c r="M26" s="12">
        <v>83351.125493999993</v>
      </c>
      <c r="N26" s="12">
        <v>91289.327921999997</v>
      </c>
      <c r="O26" s="12">
        <v>99227.530350000001</v>
      </c>
      <c r="P26" s="12">
        <v>111134.83399199999</v>
      </c>
      <c r="Q26" s="12">
        <v>114468.87901175997</v>
      </c>
      <c r="R26" s="12">
        <v>114468.87901175997</v>
      </c>
      <c r="S26" s="12">
        <v>114468.87901175997</v>
      </c>
      <c r="T26" s="12">
        <v>114468.87901175997</v>
      </c>
      <c r="U26" s="12">
        <v>114468.87901175997</v>
      </c>
      <c r="V26" s="12">
        <v>114468.87901175997</v>
      </c>
      <c r="W26" s="12">
        <v>114468.87901175997</v>
      </c>
      <c r="X26" s="12">
        <v>114468.87901175997</v>
      </c>
      <c r="Y26" s="12">
        <v>114468.87901175997</v>
      </c>
      <c r="Z26" s="12">
        <v>114468.87901175997</v>
      </c>
      <c r="AA26" s="12">
        <v>114468.87901175997</v>
      </c>
      <c r="AB26" s="12">
        <v>114468.87901175997</v>
      </c>
      <c r="AC26" s="12">
        <v>114468.87901175997</v>
      </c>
      <c r="AD26" s="12">
        <v>114468.87901175997</v>
      </c>
      <c r="AE26" s="12">
        <v>114468.87901175997</v>
      </c>
      <c r="AF26" s="12">
        <v>114468.87901175997</v>
      </c>
      <c r="AG26" s="12">
        <v>114468.87901175997</v>
      </c>
      <c r="AH26" s="12">
        <v>114468.87901175997</v>
      </c>
      <c r="AI26" s="12">
        <v>114468.87901175997</v>
      </c>
      <c r="AJ26" s="12">
        <v>114468.87901175997</v>
      </c>
      <c r="AK26" s="12">
        <v>114468.87901175997</v>
      </c>
      <c r="AL26" s="12">
        <v>114468.87901175997</v>
      </c>
      <c r="AM26" s="12">
        <v>114468.87901175997</v>
      </c>
      <c r="AN26" s="12">
        <v>114468.87901175997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2070.8354159999999</v>
      </c>
      <c r="F28" s="12">
        <v>4141.6708319999998</v>
      </c>
      <c r="G28" s="12">
        <v>7247.9239560000005</v>
      </c>
      <c r="H28" s="12">
        <v>9318.7593719999986</v>
      </c>
      <c r="I28" s="12">
        <v>11389.594788</v>
      </c>
      <c r="J28" s="12">
        <v>14495.847912000001</v>
      </c>
      <c r="K28" s="12">
        <v>16566.683327999999</v>
      </c>
      <c r="L28" s="12">
        <v>18637.518743999997</v>
      </c>
      <c r="M28" s="12">
        <v>21743.771868</v>
      </c>
      <c r="N28" s="12">
        <v>23814.607284000002</v>
      </c>
      <c r="O28" s="12">
        <v>25885.442699999996</v>
      </c>
      <c r="P28" s="12">
        <v>28991.695824000002</v>
      </c>
      <c r="Q28" s="12">
        <v>29861.446698719999</v>
      </c>
      <c r="R28" s="12">
        <v>29861.446698719999</v>
      </c>
      <c r="S28" s="12">
        <v>29861.446698719999</v>
      </c>
      <c r="T28" s="12">
        <v>29861.446698719999</v>
      </c>
      <c r="U28" s="12">
        <v>29861.446698719999</v>
      </c>
      <c r="V28" s="12">
        <v>29861.446698719999</v>
      </c>
      <c r="W28" s="12">
        <v>29861.446698719999</v>
      </c>
      <c r="X28" s="12">
        <v>29861.446698719999</v>
      </c>
      <c r="Y28" s="12">
        <v>29861.446698719999</v>
      </c>
      <c r="Z28" s="12">
        <v>29861.446698719999</v>
      </c>
      <c r="AA28" s="12">
        <v>29861.446698719999</v>
      </c>
      <c r="AB28" s="12">
        <v>29861.446698719999</v>
      </c>
      <c r="AC28" s="12">
        <v>29861.446698719999</v>
      </c>
      <c r="AD28" s="12">
        <v>29861.446698719999</v>
      </c>
      <c r="AE28" s="12">
        <v>29861.446698719999</v>
      </c>
      <c r="AF28" s="12">
        <v>29861.446698719999</v>
      </c>
      <c r="AG28" s="12">
        <v>29861.446698719999</v>
      </c>
      <c r="AH28" s="12">
        <v>29861.446698719999</v>
      </c>
      <c r="AI28" s="12">
        <v>29861.446698719999</v>
      </c>
      <c r="AJ28" s="12">
        <v>29861.446698719999</v>
      </c>
      <c r="AK28" s="12">
        <v>29861.446698719999</v>
      </c>
      <c r="AL28" s="12">
        <v>29861.446698719999</v>
      </c>
      <c r="AM28" s="12">
        <v>29861.446698719999</v>
      </c>
      <c r="AN28" s="12">
        <v>29861.446698719999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173.753736</v>
      </c>
      <c r="F29" s="12">
        <v>347.50747200000001</v>
      </c>
      <c r="G29" s="12">
        <v>608.13807600000007</v>
      </c>
      <c r="H29" s="12">
        <v>781.89181199999996</v>
      </c>
      <c r="I29" s="12">
        <v>955.64554799999996</v>
      </c>
      <c r="J29" s="12">
        <v>1216.2761520000001</v>
      </c>
      <c r="K29" s="12">
        <v>1390.029888</v>
      </c>
      <c r="L29" s="12">
        <v>1563.7836239999999</v>
      </c>
      <c r="M29" s="12">
        <v>1824.4142280000001</v>
      </c>
      <c r="N29" s="12">
        <v>1998.167964</v>
      </c>
      <c r="O29" s="12">
        <v>2171.9216999999999</v>
      </c>
      <c r="P29" s="12">
        <v>2432.5523040000003</v>
      </c>
      <c r="Q29" s="12">
        <v>2505.5288731199998</v>
      </c>
      <c r="R29" s="12">
        <v>2505.5288731199998</v>
      </c>
      <c r="S29" s="12">
        <v>2505.5288731199998</v>
      </c>
      <c r="T29" s="12">
        <v>2505.5288731199998</v>
      </c>
      <c r="U29" s="12">
        <v>2505.5288731199998</v>
      </c>
      <c r="V29" s="12">
        <v>2505.5288731199998</v>
      </c>
      <c r="W29" s="12">
        <v>2505.5288731199998</v>
      </c>
      <c r="X29" s="12">
        <v>2505.5288731199998</v>
      </c>
      <c r="Y29" s="12">
        <v>2505.5288731199998</v>
      </c>
      <c r="Z29" s="12">
        <v>2505.5288731199998</v>
      </c>
      <c r="AA29" s="12">
        <v>2505.5288731199998</v>
      </c>
      <c r="AB29" s="12">
        <v>2505.5288731199998</v>
      </c>
      <c r="AC29" s="12">
        <v>2505.5288731199998</v>
      </c>
      <c r="AD29" s="12">
        <v>2505.5288731199998</v>
      </c>
      <c r="AE29" s="12">
        <v>2505.5288731199998</v>
      </c>
      <c r="AF29" s="12">
        <v>2505.5288731199998</v>
      </c>
      <c r="AG29" s="12">
        <v>2505.5288731199998</v>
      </c>
      <c r="AH29" s="12">
        <v>2505.5288731199998</v>
      </c>
      <c r="AI29" s="12">
        <v>2505.5288731199998</v>
      </c>
      <c r="AJ29" s="12">
        <v>2505.5288731199998</v>
      </c>
      <c r="AK29" s="12">
        <v>2505.5288731199998</v>
      </c>
      <c r="AL29" s="12">
        <v>2505.5288731199998</v>
      </c>
      <c r="AM29" s="12">
        <v>2505.5288731199998</v>
      </c>
      <c r="AN29" s="12">
        <v>2505.5288731199998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401.72140799999994</v>
      </c>
      <c r="F30" s="12">
        <v>803.44281599999988</v>
      </c>
      <c r="G30" s="12">
        <v>1406.0249279999998</v>
      </c>
      <c r="H30" s="12">
        <v>1807.7463359999999</v>
      </c>
      <c r="I30" s="12">
        <v>2209.467744</v>
      </c>
      <c r="J30" s="12">
        <v>2812.0498559999996</v>
      </c>
      <c r="K30" s="12">
        <v>3213.7712639999995</v>
      </c>
      <c r="L30" s="12">
        <v>3615.4926719999999</v>
      </c>
      <c r="M30" s="12">
        <v>4218.0747840000004</v>
      </c>
      <c r="N30" s="12">
        <v>4619.7961919999989</v>
      </c>
      <c r="O30" s="12">
        <v>5021.5175999999992</v>
      </c>
      <c r="P30" s="12">
        <v>5624.0997119999993</v>
      </c>
      <c r="Q30" s="12">
        <v>5792.8227033599987</v>
      </c>
      <c r="R30" s="12">
        <v>5792.8227033599987</v>
      </c>
      <c r="S30" s="12">
        <v>5792.8227033599987</v>
      </c>
      <c r="T30" s="12">
        <v>5792.8227033599987</v>
      </c>
      <c r="U30" s="12">
        <v>5792.8227033599987</v>
      </c>
      <c r="V30" s="12">
        <v>5792.8227033599987</v>
      </c>
      <c r="W30" s="12">
        <v>5792.8227033599987</v>
      </c>
      <c r="X30" s="12">
        <v>5792.8227033599987</v>
      </c>
      <c r="Y30" s="12">
        <v>5792.8227033599987</v>
      </c>
      <c r="Z30" s="12">
        <v>5792.8227033599987</v>
      </c>
      <c r="AA30" s="12">
        <v>5792.8227033599987</v>
      </c>
      <c r="AB30" s="12">
        <v>5792.8227033599987</v>
      </c>
      <c r="AC30" s="12">
        <v>5792.8227033599987</v>
      </c>
      <c r="AD30" s="12">
        <v>5792.8227033599987</v>
      </c>
      <c r="AE30" s="12">
        <v>5792.8227033599987</v>
      </c>
      <c r="AF30" s="12">
        <v>5792.8227033599987</v>
      </c>
      <c r="AG30" s="12">
        <v>5792.8227033599987</v>
      </c>
      <c r="AH30" s="12">
        <v>5792.8227033599987</v>
      </c>
      <c r="AI30" s="12">
        <v>5792.8227033599987</v>
      </c>
      <c r="AJ30" s="12">
        <v>5792.8227033599987</v>
      </c>
      <c r="AK30" s="12">
        <v>5792.8227033599987</v>
      </c>
      <c r="AL30" s="12">
        <v>5792.8227033599987</v>
      </c>
      <c r="AM30" s="12">
        <v>5792.8227033599987</v>
      </c>
      <c r="AN30" s="12">
        <v>5792.8227033599987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-1270.1415585599998</v>
      </c>
      <c r="F35" s="12">
        <v>-2540.2831171199996</v>
      </c>
      <c r="G35" s="12">
        <v>-4445.4954549599997</v>
      </c>
      <c r="H35" s="12">
        <v>-5715.6370135199995</v>
      </c>
      <c r="I35" s="12">
        <v>-6985.7785720799993</v>
      </c>
      <c r="J35" s="12">
        <v>-8890.9909099199995</v>
      </c>
      <c r="K35" s="12">
        <v>-10161.132468479998</v>
      </c>
      <c r="L35" s="12">
        <v>-11431.274027039999</v>
      </c>
      <c r="M35" s="12">
        <v>-13336.486364879996</v>
      </c>
      <c r="N35" s="12">
        <v>-14606.627923439997</v>
      </c>
      <c r="O35" s="12">
        <v>-15876.769482</v>
      </c>
      <c r="P35" s="12">
        <v>-17781.981819839999</v>
      </c>
      <c r="Q35" s="12">
        <v>-18315.441274435198</v>
      </c>
      <c r="R35" s="12">
        <v>-18315.441274435198</v>
      </c>
      <c r="S35" s="12">
        <v>-18315.441274435198</v>
      </c>
      <c r="T35" s="12">
        <v>-18315.441274435198</v>
      </c>
      <c r="U35" s="12">
        <v>-18315.441274435198</v>
      </c>
      <c r="V35" s="12">
        <v>-18315.441274435198</v>
      </c>
      <c r="W35" s="12">
        <v>-18315.441274435198</v>
      </c>
      <c r="X35" s="12">
        <v>-18315.441274435198</v>
      </c>
      <c r="Y35" s="12">
        <v>-18315.441274435198</v>
      </c>
      <c r="Z35" s="12">
        <v>-18315.441274435198</v>
      </c>
      <c r="AA35" s="12">
        <v>-18315.441274435198</v>
      </c>
      <c r="AB35" s="12">
        <v>-18315.441274435198</v>
      </c>
      <c r="AC35" s="12">
        <v>-18315.441274435198</v>
      </c>
      <c r="AD35" s="12">
        <v>-18315.441274435198</v>
      </c>
      <c r="AE35" s="12">
        <v>-18315.441274435198</v>
      </c>
      <c r="AF35" s="12">
        <v>-18315.441274435198</v>
      </c>
      <c r="AG35" s="12">
        <v>-18315.441274435198</v>
      </c>
      <c r="AH35" s="12">
        <v>-18315.441274435198</v>
      </c>
      <c r="AI35" s="12">
        <v>-18315.441274435198</v>
      </c>
      <c r="AJ35" s="12">
        <v>-18315.441274435198</v>
      </c>
      <c r="AK35" s="12">
        <v>-18315.441274435198</v>
      </c>
      <c r="AL35" s="12">
        <v>-18315.441274435198</v>
      </c>
      <c r="AM35" s="12">
        <v>-18315.441274435198</v>
      </c>
      <c r="AN35" s="12">
        <v>-18315.441274435198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9314.3714294399979</v>
      </c>
      <c r="F37" s="13">
        <v>18628.742858879996</v>
      </c>
      <c r="G37" s="13">
        <v>32600.30000304</v>
      </c>
      <c r="H37" s="13">
        <v>41914.671432479998</v>
      </c>
      <c r="I37" s="13">
        <v>51229.042861919996</v>
      </c>
      <c r="J37" s="13">
        <v>65200.60000608</v>
      </c>
      <c r="K37" s="13">
        <v>74514.971435519983</v>
      </c>
      <c r="L37" s="13">
        <v>83829.342864959995</v>
      </c>
      <c r="M37" s="13">
        <v>97800.900009119985</v>
      </c>
      <c r="N37" s="13">
        <v>107115.27143855998</v>
      </c>
      <c r="O37" s="13">
        <v>116429.642868</v>
      </c>
      <c r="P37" s="13">
        <v>130401.20001216</v>
      </c>
      <c r="Q37" s="13">
        <v>134313.23601252478</v>
      </c>
      <c r="R37" s="13">
        <v>134313.23601252478</v>
      </c>
      <c r="S37" s="13">
        <v>134313.23601252478</v>
      </c>
      <c r="T37" s="13">
        <v>134313.23601252478</v>
      </c>
      <c r="U37" s="13">
        <v>134313.23601252478</v>
      </c>
      <c r="V37" s="13">
        <v>134313.23601252478</v>
      </c>
      <c r="W37" s="13">
        <v>134313.23601252478</v>
      </c>
      <c r="X37" s="13">
        <v>134313.23601252478</v>
      </c>
      <c r="Y37" s="13">
        <v>134313.23601252478</v>
      </c>
      <c r="Z37" s="13">
        <v>134313.23601252478</v>
      </c>
      <c r="AA37" s="13">
        <v>134313.23601252478</v>
      </c>
      <c r="AB37" s="13">
        <v>134313.23601252478</v>
      </c>
      <c r="AC37" s="13">
        <v>134313.23601252478</v>
      </c>
      <c r="AD37" s="13">
        <v>134313.23601252478</v>
      </c>
      <c r="AE37" s="13">
        <v>134313.23601252478</v>
      </c>
      <c r="AF37" s="13">
        <v>134313.23601252478</v>
      </c>
      <c r="AG37" s="13">
        <v>134313.23601252478</v>
      </c>
      <c r="AH37" s="13">
        <v>134313.23601252478</v>
      </c>
      <c r="AI37" s="13">
        <v>134313.23601252478</v>
      </c>
      <c r="AJ37" s="13">
        <v>134313.23601252478</v>
      </c>
      <c r="AK37" s="13">
        <v>134313.23601252478</v>
      </c>
      <c r="AL37" s="13">
        <v>134313.23601252478</v>
      </c>
      <c r="AM37" s="13">
        <v>134313.23601252478</v>
      </c>
      <c r="AN37" s="13">
        <v>134313.23601252478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13302.524511578773</v>
      </c>
      <c r="F40" s="12">
        <v>26467.871692601995</v>
      </c>
      <c r="G40" s="12">
        <v>33207.567397470157</v>
      </c>
      <c r="H40" s="12">
        <v>37940.909378493379</v>
      </c>
      <c r="I40" s="12">
        <v>42785.096690072169</v>
      </c>
      <c r="J40" s="12">
        <v>49471.629594940314</v>
      </c>
      <c r="K40" s="12">
        <v>54204.971575963536</v>
      </c>
      <c r="L40" s="12">
        <v>58885.150756986754</v>
      </c>
      <c r="M40" s="12">
        <v>65735.691792410478</v>
      </c>
      <c r="N40" s="12">
        <v>70415.870973433688</v>
      </c>
      <c r="O40" s="12">
        <v>74960.716821123584</v>
      </c>
      <c r="P40" s="12">
        <v>78425.960659325094</v>
      </c>
      <c r="Q40" s="12">
        <v>86547.668965257602</v>
      </c>
      <c r="R40" s="12">
        <v>86826.781205257605</v>
      </c>
      <c r="S40" s="12">
        <v>87047.414365257617</v>
      </c>
      <c r="T40" s="12">
        <v>87371.722525257617</v>
      </c>
      <c r="U40" s="12">
        <v>87650.834765257619</v>
      </c>
      <c r="V40" s="12">
        <v>87871.467925257602</v>
      </c>
      <c r="W40" s="12">
        <v>88254.255165257608</v>
      </c>
      <c r="X40" s="12">
        <v>88533.36740525761</v>
      </c>
      <c r="Y40" s="12">
        <v>88754.000565257607</v>
      </c>
      <c r="Z40" s="12">
        <v>88974.633725257605</v>
      </c>
      <c r="AA40" s="12">
        <v>89357.42096525761</v>
      </c>
      <c r="AB40" s="12">
        <v>89578.054125257622</v>
      </c>
      <c r="AC40" s="12">
        <v>98842.883001783382</v>
      </c>
      <c r="AD40" s="12">
        <v>98842.883001783382</v>
      </c>
      <c r="AE40" s="12">
        <v>98842.883001783382</v>
      </c>
      <c r="AF40" s="12">
        <v>98842.883001783382</v>
      </c>
      <c r="AG40" s="12">
        <v>98842.883001783382</v>
      </c>
      <c r="AH40" s="12">
        <v>98842.883001783382</v>
      </c>
      <c r="AI40" s="12">
        <v>98842.883001783382</v>
      </c>
      <c r="AJ40" s="12">
        <v>98842.883001783382</v>
      </c>
      <c r="AK40" s="12">
        <v>98842.883001783382</v>
      </c>
      <c r="AL40" s="12">
        <v>98842.883001783382</v>
      </c>
      <c r="AM40" s="12">
        <v>98842.883001783382</v>
      </c>
      <c r="AN40" s="12">
        <v>98842.883001783382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357.15640000000002</v>
      </c>
      <c r="F44" s="12">
        <v>899.62980000000016</v>
      </c>
      <c r="G44" s="12">
        <v>929.95439999999996</v>
      </c>
      <c r="H44" s="12">
        <v>956.90960000000007</v>
      </c>
      <c r="I44" s="12">
        <v>987.2342000000001</v>
      </c>
      <c r="J44" s="12">
        <v>1014.1894000000001</v>
      </c>
      <c r="K44" s="12">
        <v>1041.1445999999999</v>
      </c>
      <c r="L44" s="12">
        <v>1064.7304000000001</v>
      </c>
      <c r="M44" s="12">
        <v>1098.4243999999999</v>
      </c>
      <c r="N44" s="12">
        <v>1122.0101999999999</v>
      </c>
      <c r="O44" s="12">
        <v>1142.2266</v>
      </c>
      <c r="P44" s="12">
        <v>1004.0812</v>
      </c>
      <c r="Q44" s="12">
        <v>1058.261152</v>
      </c>
      <c r="R44" s="12">
        <v>1072.2778559999999</v>
      </c>
      <c r="S44" s="12">
        <v>1082.7903840000001</v>
      </c>
      <c r="T44" s="12">
        <v>1096.8070880000002</v>
      </c>
      <c r="U44" s="12">
        <v>1110.8237920000001</v>
      </c>
      <c r="V44" s="12">
        <v>1121.3363200000001</v>
      </c>
      <c r="W44" s="12">
        <v>1138.8572000000001</v>
      </c>
      <c r="X44" s="12">
        <v>1152.873904</v>
      </c>
      <c r="Y44" s="12">
        <v>1163.386432</v>
      </c>
      <c r="Z44" s="12">
        <v>1173.8989600000002</v>
      </c>
      <c r="AA44" s="12">
        <v>1191.41984</v>
      </c>
      <c r="AB44" s="12">
        <v>1201.932368</v>
      </c>
      <c r="AC44" s="12">
        <v>1264.5870348800001</v>
      </c>
      <c r="AD44" s="12">
        <v>1264.5870348800001</v>
      </c>
      <c r="AE44" s="12">
        <v>1264.5870348800001</v>
      </c>
      <c r="AF44" s="12">
        <v>1264.5870348800001</v>
      </c>
      <c r="AG44" s="12">
        <v>1264.5870348800001</v>
      </c>
      <c r="AH44" s="12">
        <v>1264.5870348800001</v>
      </c>
      <c r="AI44" s="12">
        <v>1264.5870348800001</v>
      </c>
      <c r="AJ44" s="12">
        <v>1264.5870348800001</v>
      </c>
      <c r="AK44" s="12">
        <v>1264.5870348800001</v>
      </c>
      <c r="AL44" s="12">
        <v>1264.5870348800001</v>
      </c>
      <c r="AM44" s="12">
        <v>1264.5870348800001</v>
      </c>
      <c r="AN44" s="12">
        <v>1264.5870348800001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2125</v>
      </c>
      <c r="F46" s="12">
        <v>2825</v>
      </c>
      <c r="G46" s="12">
        <v>3290</v>
      </c>
      <c r="H46" s="12">
        <v>3607.4999999999995</v>
      </c>
      <c r="I46" s="12">
        <v>3930.0000000000005</v>
      </c>
      <c r="J46" s="12">
        <v>4392.5</v>
      </c>
      <c r="K46" s="12">
        <v>4710</v>
      </c>
      <c r="L46" s="12">
        <v>5025</v>
      </c>
      <c r="M46" s="12">
        <v>5495</v>
      </c>
      <c r="N46" s="12">
        <v>5810.0000000000009</v>
      </c>
      <c r="O46" s="12">
        <v>6122.5</v>
      </c>
      <c r="P46" s="12">
        <v>6462.5</v>
      </c>
      <c r="Q46" s="12">
        <v>6601.9500000000007</v>
      </c>
      <c r="R46" s="12">
        <v>6612.1500000000005</v>
      </c>
      <c r="S46" s="12">
        <v>6619.8</v>
      </c>
      <c r="T46" s="12">
        <v>6630</v>
      </c>
      <c r="U46" s="12">
        <v>6640.2</v>
      </c>
      <c r="V46" s="12">
        <v>6647.85</v>
      </c>
      <c r="W46" s="12">
        <v>6660.5999999999995</v>
      </c>
      <c r="X46" s="12">
        <v>6670.8</v>
      </c>
      <c r="Y46" s="12">
        <v>6678.45</v>
      </c>
      <c r="Z46" s="12">
        <v>6686.1</v>
      </c>
      <c r="AA46" s="12">
        <v>6698.85</v>
      </c>
      <c r="AB46" s="12">
        <v>6706.5</v>
      </c>
      <c r="AC46" s="12">
        <v>6851.0339999999997</v>
      </c>
      <c r="AD46" s="12">
        <v>6851.0339999999997</v>
      </c>
      <c r="AE46" s="12">
        <v>6851.0339999999997</v>
      </c>
      <c r="AF46" s="12">
        <v>6851.0339999999997</v>
      </c>
      <c r="AG46" s="12">
        <v>6851.0339999999997</v>
      </c>
      <c r="AH46" s="12">
        <v>6851.0339999999997</v>
      </c>
      <c r="AI46" s="12">
        <v>6851.0339999999997</v>
      </c>
      <c r="AJ46" s="12">
        <v>6851.0339999999997</v>
      </c>
      <c r="AK46" s="12">
        <v>6851.0339999999997</v>
      </c>
      <c r="AL46" s="12">
        <v>6851.0339999999997</v>
      </c>
      <c r="AM46" s="12">
        <v>6851.0339999999997</v>
      </c>
      <c r="AN46" s="12">
        <v>6851.0339999999997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2161.7532594821414</v>
      </c>
      <c r="F49" s="12">
        <f>'Corp.'!F$50*(F$37-(F31-F32-F34)*$C$35)/(SUM('MDA1:NCA9'!F$37)-SUM('MDA1:NCA9'!F$31)-SUM('MDA1:NCA9'!F$32)-SUM('MDA1:NCA9'!F$34))</f>
        <v>4064.6956109673765</v>
      </c>
      <c r="G49" s="12">
        <f>'Corp.'!G$50*(G$37-(G31-G32-G34)*$C$35)/(SUM('MDA1:NCA9'!G$37)-SUM('MDA1:NCA9'!G$31)-SUM('MDA1:NCA9'!G$32)-SUM('MDA1:NCA9'!G$34))</f>
        <v>6484.4068896943745</v>
      </c>
      <c r="H49" s="12">
        <f>'Corp.'!H$50*(H$37-(H31-H32-H34)*$C$35)/(SUM('MDA1:NCA9'!H$37)-SUM('MDA1:NCA9'!H$31)-SUM('MDA1:NCA9'!H$32)-SUM('MDA1:NCA9'!H$34))</f>
        <v>7638.3317558369899</v>
      </c>
      <c r="I49" s="12">
        <f>'Corp.'!I$50*(I$37-(I31-I32-I34)*$C$35)/(SUM('MDA1:NCA9'!I$37)-SUM('MDA1:NCA9'!I$31)-SUM('MDA1:NCA9'!I$32)-SUM('MDA1:NCA9'!I$34))</f>
        <v>8799.7493129877712</v>
      </c>
      <c r="J49" s="12">
        <f>'Corp.'!J$50*(J$37-(J31-J32-J34)*$C$35)/(SUM('MDA1:NCA9'!J$37)-SUM('MDA1:NCA9'!J$31)-SUM('MDA1:NCA9'!J$32)-SUM('MDA1:NCA9'!J$34))</f>
        <v>10489.409448617835</v>
      </c>
      <c r="K49" s="12">
        <f>'Corp.'!K$50*(K$37-(K31-K32-K34)*$C$35)/(SUM('MDA1:NCA9'!K$37)-SUM('MDA1:NCA9'!K$31)-SUM('MDA1:NCA9'!K$32)-SUM('MDA1:NCA9'!K$34))</f>
        <v>11039.142049400238</v>
      </c>
      <c r="L49" s="12">
        <f>'Corp.'!L$50*(L$37-(L31-L32-L34)*$C$35)/(SUM('MDA1:NCA9'!L$37)-SUM('MDA1:NCA9'!L$31)-SUM('MDA1:NCA9'!L$32)-SUM('MDA1:NCA9'!L$34))</f>
        <v>11755.305027651364</v>
      </c>
      <c r="M49" s="12">
        <f>'Corp.'!M$50*(M$37-(M31-M32-M34)*$C$35)/(SUM('MDA1:NCA9'!M$37)-SUM('MDA1:NCA9'!M$31)-SUM('MDA1:NCA9'!M$32)-SUM('MDA1:NCA9'!M$34))</f>
        <v>12881.414128862154</v>
      </c>
      <c r="N49" s="12">
        <f>'Corp.'!N$50*(N$37-(N31-N32-N34)*$C$35)/(SUM('MDA1:NCA9'!N$37)-SUM('MDA1:NCA9'!N$31)-SUM('MDA1:NCA9'!N$32)-SUM('MDA1:NCA9'!N$34))</f>
        <v>13325.145838483289</v>
      </c>
      <c r="O49" s="12">
        <f>'Corp.'!O$50*(O$37-(O31-O32-O34)*$C$35)/(SUM('MDA1:NCA9'!O$37)-SUM('MDA1:NCA9'!O$31)-SUM('MDA1:NCA9'!O$32)-SUM('MDA1:NCA9'!O$34))</f>
        <v>13590.871282538252</v>
      </c>
      <c r="P49" s="12">
        <f>'Corp.'!P$50*(P$37-(P31-P32-P34)*$C$35)/(SUM('MDA1:NCA9'!P$37)-SUM('MDA1:NCA9'!P$31)-SUM('MDA1:NCA9'!P$32)-SUM('MDA1:NCA9'!P$34))</f>
        <v>14402.497858898572</v>
      </c>
      <c r="Q49" s="12">
        <f>'Corp.'!Q$50*(Q$37-(Q31-Q32-Q34)*$C$35)/(SUM('MDA1:NCA9'!Q$37)-SUM('MDA1:NCA9'!Q$31)-SUM('MDA1:NCA9'!Q$32)-SUM('MDA1:NCA9'!Q$34))</f>
        <v>15054.381604358785</v>
      </c>
      <c r="R49" s="12">
        <f>'Corp.'!R$50*(R$37-(R31-R32-R34)*$C$35)/(SUM('MDA1:NCA9'!R$37)-SUM('MDA1:NCA9'!R$31)-SUM('MDA1:NCA9'!R$32)-SUM('MDA1:NCA9'!R$34))</f>
        <v>14512.970025908775</v>
      </c>
      <c r="S49" s="12">
        <f>'Corp.'!S$50*(S$37-(S31-S32-S34)*$C$35)/(SUM('MDA1:NCA9'!S$37)-SUM('MDA1:NCA9'!S$31)-SUM('MDA1:NCA9'!S$32)-SUM('MDA1:NCA9'!S$34))</f>
        <v>13913.646626968757</v>
      </c>
      <c r="T49" s="12">
        <f>'Corp.'!T$50*(T$37-(T31-T32-T34)*$C$35)/(SUM('MDA1:NCA9'!T$37)-SUM('MDA1:NCA9'!T$31)-SUM('MDA1:NCA9'!T$32)-SUM('MDA1:NCA9'!T$34))</f>
        <v>13408.289967121113</v>
      </c>
      <c r="U49" s="12">
        <f>'Corp.'!U$50*(U$37-(U31-U32-U34)*$C$35)/(SUM('MDA1:NCA9'!U$37)-SUM('MDA1:NCA9'!U$31)-SUM('MDA1:NCA9'!U$32)-SUM('MDA1:NCA9'!U$34))</f>
        <v>13063.446137203648</v>
      </c>
      <c r="V49" s="12">
        <f>'Corp.'!V$50*(V$37-(V31-V32-V34)*$C$35)/(SUM('MDA1:NCA9'!V$37)-SUM('MDA1:NCA9'!V$31)-SUM('MDA1:NCA9'!V$32)-SUM('MDA1:NCA9'!V$34))</f>
        <v>12783.594776082909</v>
      </c>
      <c r="W49" s="12">
        <f>'Corp.'!W$50*(W$37-(W31-W32-W34)*$C$35)/(SUM('MDA1:NCA9'!W$37)-SUM('MDA1:NCA9'!W$31)-SUM('MDA1:NCA9'!W$32)-SUM('MDA1:NCA9'!W$34))</f>
        <v>12415.661527315549</v>
      </c>
      <c r="X49" s="12">
        <f>'Corp.'!X$50*(X$37-(X31-X32-X34)*$C$35)/(SUM('MDA1:NCA9'!X$37)-SUM('MDA1:NCA9'!X$31)-SUM('MDA1:NCA9'!X$32)-SUM('MDA1:NCA9'!X$34))</f>
        <v>12046.652465737057</v>
      </c>
      <c r="Y49" s="12">
        <f>'Corp.'!Y$50*(Y$37-(Y31-Y32-Y34)*$C$35)/(SUM('MDA1:NCA9'!Y$37)-SUM('MDA1:NCA9'!Y$31)-SUM('MDA1:NCA9'!Y$32)-SUM('MDA1:NCA9'!Y$34))</f>
        <v>11807.557142374624</v>
      </c>
      <c r="Z49" s="12">
        <f>'Corp.'!Z$50*(Z$37-(Z31-Z32-Z34)*$C$35)/(SUM('MDA1:NCA9'!Z$37)-SUM('MDA1:NCA9'!Z$31)-SUM('MDA1:NCA9'!Z$32)-SUM('MDA1:NCA9'!Z$34))</f>
        <v>11568.329465991457</v>
      </c>
      <c r="AA49" s="12">
        <f>'Corp.'!AA$50*(AA$37-(AA31-AA32-AA34)*$C$35)/(SUM('MDA1:NCA9'!AA$37)-SUM('MDA1:NCA9'!AA$31)-SUM('MDA1:NCA9'!AA$32)-SUM('MDA1:NCA9'!AA$34))</f>
        <v>11320.220427168173</v>
      </c>
      <c r="AB49" s="12">
        <f>'Corp.'!AB$50*(AB$37-(AB31-AB32-AB34)*$C$35)/(SUM('MDA1:NCA9'!AB$37)-SUM('MDA1:NCA9'!AB$31)-SUM('MDA1:NCA9'!AB$32)-SUM('MDA1:NCA9'!AB$34))</f>
        <v>11077.707908306989</v>
      </c>
      <c r="AC49" s="12">
        <f>'Corp.'!AC$50*(AC$37-(AC31-AC32-AC34)*$C$35)/(SUM('MDA1:NCA9'!AC$37)-SUM('MDA1:NCA9'!AC$31)-SUM('MDA1:NCA9'!AC$32)-SUM('MDA1:NCA9'!AC$34))</f>
        <v>11987.606855547288</v>
      </c>
      <c r="AD49" s="12">
        <f>'Corp.'!AD$50*(AD$37-(AD31-AD32-AD34)*$C$35)/(SUM('MDA1:NCA9'!AD$37)-SUM('MDA1:NCA9'!AD$31)-SUM('MDA1:NCA9'!AD$32)-SUM('MDA1:NCA9'!AD$34))</f>
        <v>11803.548132671114</v>
      </c>
      <c r="AE49" s="12">
        <f>'Corp.'!AE$50*(AE$37-(AE31-AE32-AE34)*$C$35)/(SUM('MDA1:NCA9'!AE$37)-SUM('MDA1:NCA9'!AE$31)-SUM('MDA1:NCA9'!AE$32)-SUM('MDA1:NCA9'!AE$34))</f>
        <v>11629.29718651222</v>
      </c>
      <c r="AF49" s="12">
        <f>'Corp.'!AF$50*(AF$37-(AF31-AF32-AF34)*$C$35)/(SUM('MDA1:NCA9'!AF$37)-SUM('MDA1:NCA9'!AF$31)-SUM('MDA1:NCA9'!AF$32)-SUM('MDA1:NCA9'!AF$34))</f>
        <v>11465.438587967023</v>
      </c>
      <c r="AG49" s="12">
        <f>'Corp.'!AG$50*(AG$37-(AG31-AG32-AG34)*$C$35)/(SUM('MDA1:NCA9'!AG$37)-SUM('MDA1:NCA9'!AG$31)-SUM('MDA1:NCA9'!AG$32)-SUM('MDA1:NCA9'!AG$34))</f>
        <v>11334.948636943594</v>
      </c>
      <c r="AH49" s="12">
        <f>'Corp.'!AH$50*(AH$37-(AH31-AH32-AH34)*$C$35)/(SUM('MDA1:NCA9'!AH$37)-SUM('MDA1:NCA9'!AH$31)-SUM('MDA1:NCA9'!AH$32)-SUM('MDA1:NCA9'!AH$34))</f>
        <v>11161.951739541335</v>
      </c>
      <c r="AI49" s="12">
        <f>'Corp.'!AI$50*(AI$37-(AI31-AI32-AI34)*$C$35)/(SUM('MDA1:NCA9'!AI$37)-SUM('MDA1:NCA9'!AI$31)-SUM('MDA1:NCA9'!AI$32)-SUM('MDA1:NCA9'!AI$34))</f>
        <v>10982.594710855563</v>
      </c>
      <c r="AJ49" s="12">
        <f>'Corp.'!AJ$50*(AJ$37-(AJ31-AJ32-AJ34)*$C$35)/(SUM('MDA1:NCA9'!AJ$37)-SUM('MDA1:NCA9'!AJ$31)-SUM('MDA1:NCA9'!AJ$32)-SUM('MDA1:NCA9'!AJ$34))</f>
        <v>10797.439369286725</v>
      </c>
      <c r="AK49" s="12">
        <f>'Corp.'!AK$50*(AK$37-(AK31-AK32-AK34)*$C$35)/(SUM('MDA1:NCA9'!AK$37)-SUM('MDA1:NCA9'!AK$31)-SUM('MDA1:NCA9'!AK$32)-SUM('MDA1:NCA9'!AK$34))</f>
        <v>10626.411847485901</v>
      </c>
      <c r="AL49" s="12">
        <f>'Corp.'!AL$50*(AL$37-(AL31-AL32-AL34)*$C$35)/(SUM('MDA1:NCA9'!AL$37)-SUM('MDA1:NCA9'!AL$31)-SUM('MDA1:NCA9'!AL$32)-SUM('MDA1:NCA9'!AL$34))</f>
        <v>10469.203274296404</v>
      </c>
      <c r="AM49" s="12">
        <f>'Corp.'!AM$50*(AM$37-(AM31-AM32-AM34)*$C$35)/(SUM('MDA1:NCA9'!AM$37)-SUM('MDA1:NCA9'!AM$31)-SUM('MDA1:NCA9'!AM$32)-SUM('MDA1:NCA9'!AM$34))</f>
        <v>10299.6996210742</v>
      </c>
      <c r="AN49" s="12">
        <f>'Corp.'!AN$50*(AN$37-(AN31-AN32-AN34)*$C$35)/(SUM('MDA1:NCA9'!AN$37)-SUM('MDA1:NCA9'!AN$31)-SUM('MDA1:NCA9'!AN$32)-SUM('MDA1:NCA9'!AN$34))</f>
        <v>10155.435357158012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17589.277771060915</v>
      </c>
      <c r="F50" s="13">
        <v>33357.567303569369</v>
      </c>
      <c r="G50" s="13">
        <v>42981.974287164529</v>
      </c>
      <c r="H50" s="13">
        <v>49186.741134330368</v>
      </c>
      <c r="I50" s="13">
        <v>55514.846003059938</v>
      </c>
      <c r="J50" s="13">
        <v>64353.53904355815</v>
      </c>
      <c r="K50" s="13">
        <v>69954.113625363767</v>
      </c>
      <c r="L50" s="13">
        <v>75665.455784638121</v>
      </c>
      <c r="M50" s="13">
        <v>84112.105921272625</v>
      </c>
      <c r="N50" s="13">
        <v>89551.016811916983</v>
      </c>
      <c r="O50" s="13">
        <v>94674.088103661838</v>
      </c>
      <c r="P50" s="13">
        <v>99290.958518223662</v>
      </c>
      <c r="Q50" s="13">
        <v>108204.00056961639</v>
      </c>
      <c r="R50" s="13">
        <v>107951.90123116637</v>
      </c>
      <c r="S50" s="13">
        <v>107580.86099222637</v>
      </c>
      <c r="T50" s="13">
        <v>107410.01249237874</v>
      </c>
      <c r="U50" s="13">
        <v>107354.48090246126</v>
      </c>
      <c r="V50" s="13">
        <v>107302.91270134052</v>
      </c>
      <c r="W50" s="13">
        <v>107330.51669257316</v>
      </c>
      <c r="X50" s="13">
        <v>107250.81987099467</v>
      </c>
      <c r="Y50" s="13">
        <v>107240.00770763223</v>
      </c>
      <c r="Z50" s="13">
        <v>107229.06319124906</v>
      </c>
      <c r="AA50" s="13">
        <v>107376.49139242579</v>
      </c>
      <c r="AB50" s="13">
        <v>107362.26203356461</v>
      </c>
      <c r="AC50" s="13">
        <v>117681.52385733067</v>
      </c>
      <c r="AD50" s="13">
        <v>117497.4651344545</v>
      </c>
      <c r="AE50" s="13">
        <v>117323.21418829561</v>
      </c>
      <c r="AF50" s="13">
        <v>117159.3555897504</v>
      </c>
      <c r="AG50" s="13">
        <v>117028.86563872697</v>
      </c>
      <c r="AH50" s="13">
        <v>116855.86874132472</v>
      </c>
      <c r="AI50" s="13">
        <v>116676.51171263895</v>
      </c>
      <c r="AJ50" s="13">
        <v>116491.35637107011</v>
      </c>
      <c r="AK50" s="13">
        <v>116320.32884926928</v>
      </c>
      <c r="AL50" s="13">
        <v>116163.12027607979</v>
      </c>
      <c r="AM50" s="13">
        <v>115993.61662285757</v>
      </c>
      <c r="AN50" s="13">
        <v>115849.3523589414</v>
      </c>
    </row>
    <row r="52" spans="2:40" x14ac:dyDescent="0.25">
      <c r="B52" s="1" t="s">
        <v>50</v>
      </c>
      <c r="E52" s="74">
        <f>E37-E50</f>
        <v>-8274.9063416209174</v>
      </c>
      <c r="F52" s="74">
        <f t="shared" ref="F52:AN52" si="0">F37-F50</f>
        <v>-14728.824444689373</v>
      </c>
      <c r="G52" s="74">
        <f t="shared" si="0"/>
        <v>-10381.674284124529</v>
      </c>
      <c r="H52" s="74">
        <f t="shared" si="0"/>
        <v>-7272.0697018503706</v>
      </c>
      <c r="I52" s="74">
        <f t="shared" si="0"/>
        <v>-4285.8031411399425</v>
      </c>
      <c r="J52" s="74">
        <f t="shared" si="0"/>
        <v>847.06096252184943</v>
      </c>
      <c r="K52" s="74">
        <f t="shared" si="0"/>
        <v>4560.8578101562161</v>
      </c>
      <c r="L52" s="74">
        <f t="shared" si="0"/>
        <v>8163.8870803218742</v>
      </c>
      <c r="M52" s="74">
        <f t="shared" si="0"/>
        <v>13688.79408784736</v>
      </c>
      <c r="N52" s="74">
        <f t="shared" si="0"/>
        <v>17564.254626643</v>
      </c>
      <c r="O52" s="74">
        <f t="shared" si="0"/>
        <v>21755.554764338158</v>
      </c>
      <c r="P52" s="74">
        <f t="shared" si="0"/>
        <v>31110.241493936337</v>
      </c>
      <c r="Q52" s="74">
        <f t="shared" si="0"/>
        <v>26109.235442908393</v>
      </c>
      <c r="R52" s="74">
        <f t="shared" si="0"/>
        <v>26361.334781358411</v>
      </c>
      <c r="S52" s="74">
        <f t="shared" si="0"/>
        <v>26732.375020298408</v>
      </c>
      <c r="T52" s="74">
        <f t="shared" si="0"/>
        <v>26903.223520146043</v>
      </c>
      <c r="U52" s="74">
        <f t="shared" si="0"/>
        <v>26958.755110063517</v>
      </c>
      <c r="V52" s="74">
        <f t="shared" si="0"/>
        <v>27010.323311184256</v>
      </c>
      <c r="W52" s="74">
        <f t="shared" si="0"/>
        <v>26982.719319951619</v>
      </c>
      <c r="X52" s="74">
        <f t="shared" si="0"/>
        <v>27062.416141530106</v>
      </c>
      <c r="Y52" s="74">
        <f t="shared" si="0"/>
        <v>27073.228304892546</v>
      </c>
      <c r="Z52" s="74">
        <f t="shared" si="0"/>
        <v>27084.172821275715</v>
      </c>
      <c r="AA52" s="74">
        <f t="shared" si="0"/>
        <v>26936.744620098994</v>
      </c>
      <c r="AB52" s="74">
        <f t="shared" si="0"/>
        <v>26950.973978960174</v>
      </c>
      <c r="AC52" s="74">
        <f t="shared" si="0"/>
        <v>16631.712155194109</v>
      </c>
      <c r="AD52" s="74">
        <f t="shared" si="0"/>
        <v>16815.770878070281</v>
      </c>
      <c r="AE52" s="74">
        <f t="shared" si="0"/>
        <v>16990.021824229174</v>
      </c>
      <c r="AF52" s="74">
        <f t="shared" si="0"/>
        <v>17153.880422774382</v>
      </c>
      <c r="AG52" s="74">
        <f t="shared" si="0"/>
        <v>17284.370373797807</v>
      </c>
      <c r="AH52" s="74">
        <f t="shared" si="0"/>
        <v>17457.367271200055</v>
      </c>
      <c r="AI52" s="74">
        <f t="shared" si="0"/>
        <v>17636.724299885827</v>
      </c>
      <c r="AJ52" s="74">
        <f t="shared" si="0"/>
        <v>17821.879641454667</v>
      </c>
      <c r="AK52" s="74">
        <f t="shared" si="0"/>
        <v>17992.907163255499</v>
      </c>
      <c r="AL52" s="74">
        <f t="shared" si="0"/>
        <v>18150.11573644499</v>
      </c>
      <c r="AM52" s="74">
        <f t="shared" si="0"/>
        <v>18319.619389667205</v>
      </c>
      <c r="AN52" s="74">
        <f t="shared" si="0"/>
        <v>18463.883653583383</v>
      </c>
    </row>
    <row r="53" spans="2:40" x14ac:dyDescent="0.25">
      <c r="E53" s="107">
        <f>IFERROR(E52/E37,"")</f>
        <v>-0.88840201448981992</v>
      </c>
      <c r="F53" s="107">
        <f t="shared" ref="F53:AN53" si="1">IFERROR(F52/F37,"")</f>
        <v>-0.79065047793433896</v>
      </c>
      <c r="G53" s="107">
        <f t="shared" si="1"/>
        <v>-0.31845333580232177</v>
      </c>
      <c r="H53" s="107">
        <f t="shared" si="1"/>
        <v>-0.17349699886267481</v>
      </c>
      <c r="I53" s="107">
        <f t="shared" si="1"/>
        <v>-8.3659637223589475E-2</v>
      </c>
      <c r="J53" s="107">
        <f t="shared" si="1"/>
        <v>1.2991612998083766E-2</v>
      </c>
      <c r="K53" s="107">
        <f t="shared" si="1"/>
        <v>6.1207267778433785E-2</v>
      </c>
      <c r="L53" s="107">
        <f t="shared" si="1"/>
        <v>9.7386986481249327E-2</v>
      </c>
      <c r="M53" s="107">
        <f t="shared" si="1"/>
        <v>0.13996593166904264</v>
      </c>
      <c r="N53" s="107">
        <f t="shared" si="1"/>
        <v>0.16397526133066509</v>
      </c>
      <c r="O53" s="107">
        <f t="shared" si="1"/>
        <v>0.18685580603389057</v>
      </c>
      <c r="P53" s="107">
        <f t="shared" si="1"/>
        <v>0.23857327609742307</v>
      </c>
      <c r="Q53" s="107">
        <f t="shared" si="1"/>
        <v>0.19439063653022026</v>
      </c>
      <c r="R53" s="107">
        <f t="shared" si="1"/>
        <v>0.1962675873500673</v>
      </c>
      <c r="S53" s="107">
        <f t="shared" si="1"/>
        <v>0.19903008678761638</v>
      </c>
      <c r="T53" s="107">
        <f t="shared" si="1"/>
        <v>0.20030210215199717</v>
      </c>
      <c r="U53" s="107">
        <f t="shared" si="1"/>
        <v>0.20071555053255957</v>
      </c>
      <c r="V53" s="107">
        <f t="shared" si="1"/>
        <v>0.2010994903634481</v>
      </c>
      <c r="W53" s="107">
        <f t="shared" si="1"/>
        <v>0.20089397084763461</v>
      </c>
      <c r="X53" s="107">
        <f t="shared" si="1"/>
        <v>0.20148733620718157</v>
      </c>
      <c r="Y53" s="107">
        <f t="shared" si="1"/>
        <v>0.20156783581901008</v>
      </c>
      <c r="Z53" s="107">
        <f t="shared" si="1"/>
        <v>0.20164932083648182</v>
      </c>
      <c r="AA53" s="107">
        <f t="shared" si="1"/>
        <v>0.20055167621445089</v>
      </c>
      <c r="AB53" s="107">
        <f t="shared" si="1"/>
        <v>0.20065761781249156</v>
      </c>
      <c r="AC53" s="107">
        <f t="shared" si="1"/>
        <v>0.12382779723692454</v>
      </c>
      <c r="AD53" s="107">
        <f t="shared" si="1"/>
        <v>0.12519816644505685</v>
      </c>
      <c r="AE53" s="107">
        <f t="shared" si="1"/>
        <v>0.12649551398378076</v>
      </c>
      <c r="AF53" s="107">
        <f t="shared" si="1"/>
        <v>0.12771548755756859</v>
      </c>
      <c r="AG53" s="107">
        <f t="shared" si="1"/>
        <v>0.12868702212033689</v>
      </c>
      <c r="AH53" s="107">
        <f t="shared" si="1"/>
        <v>0.1299750329116644</v>
      </c>
      <c r="AI53" s="107">
        <f t="shared" si="1"/>
        <v>0.13131039667781658</v>
      </c>
      <c r="AJ53" s="107">
        <f t="shared" si="1"/>
        <v>0.13268893052202813</v>
      </c>
      <c r="AK53" s="107">
        <f t="shared" si="1"/>
        <v>0.13396227875544336</v>
      </c>
      <c r="AL53" s="107">
        <f t="shared" si="1"/>
        <v>0.13513274101111289</v>
      </c>
      <c r="AM53" s="107">
        <f t="shared" si="1"/>
        <v>0.13639474361230408</v>
      </c>
      <c r="AN53" s="107">
        <f t="shared" si="1"/>
        <v>0.13746883182727887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-1397.1557144159997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-1397.1557144159997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-1397.1557144159997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-1397.1557144159997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-1397.1557144159997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-1397.1557144159997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-2794.3114288319994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-4890.0450004559998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-6287.2007148719995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-7684.3564292879992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-9780.0900009119996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-11177.245715327997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-12574.401429743999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-14670.135001367997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-16067.290715783996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-17464.446430199998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-19560.180001823999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-9672.0620560369171</v>
      </c>
      <c r="F58" s="13">
        <f t="shared" ref="F58:AN58" si="2">F37-F50-F55+F56</f>
        <v>-16125.980159105373</v>
      </c>
      <c r="G58" s="13">
        <f t="shared" si="2"/>
        <v>-11778.829998540528</v>
      </c>
      <c r="H58" s="13">
        <f t="shared" si="2"/>
        <v>-8669.2254162663703</v>
      </c>
      <c r="I58" s="13">
        <f t="shared" si="2"/>
        <v>-5682.9588555559421</v>
      </c>
      <c r="J58" s="13">
        <f t="shared" si="2"/>
        <v>-550.09475189415025</v>
      </c>
      <c r="K58" s="13">
        <f t="shared" si="2"/>
        <v>1766.5463813242168</v>
      </c>
      <c r="L58" s="13">
        <f t="shared" si="2"/>
        <v>3273.8420798658744</v>
      </c>
      <c r="M58" s="13">
        <f t="shared" si="2"/>
        <v>7401.5933729753606</v>
      </c>
      <c r="N58" s="13">
        <f t="shared" si="2"/>
        <v>9879.8981973549999</v>
      </c>
      <c r="O58" s="13">
        <f t="shared" si="2"/>
        <v>11975.464763426158</v>
      </c>
      <c r="P58" s="13">
        <f t="shared" si="2"/>
        <v>19932.99577860834</v>
      </c>
      <c r="Q58" s="13">
        <f t="shared" si="2"/>
        <v>13534.834013164394</v>
      </c>
      <c r="R58" s="13">
        <f t="shared" si="2"/>
        <v>11691.199779990415</v>
      </c>
      <c r="S58" s="13">
        <f t="shared" si="2"/>
        <v>10665.084304514412</v>
      </c>
      <c r="T58" s="13">
        <f t="shared" si="2"/>
        <v>9438.7770899460447</v>
      </c>
      <c r="U58" s="13">
        <f t="shared" si="2"/>
        <v>7398.5751082395182</v>
      </c>
      <c r="V58" s="13">
        <f t="shared" si="2"/>
        <v>6863.337909305541</v>
      </c>
      <c r="W58" s="13">
        <f t="shared" si="2"/>
        <v>6835.7339180729032</v>
      </c>
      <c r="X58" s="13">
        <f t="shared" si="2"/>
        <v>6915.4307396513905</v>
      </c>
      <c r="Y58" s="13">
        <f t="shared" si="2"/>
        <v>6926.2429030138301</v>
      </c>
      <c r="Z58" s="13">
        <f t="shared" si="2"/>
        <v>6937.1874193969998</v>
      </c>
      <c r="AA58" s="13">
        <f t="shared" si="2"/>
        <v>6789.7592182202789</v>
      </c>
      <c r="AB58" s="13">
        <f t="shared" si="2"/>
        <v>6803.9885770814581</v>
      </c>
      <c r="AC58" s="13">
        <f t="shared" si="2"/>
        <v>-3515.2732466846064</v>
      </c>
      <c r="AD58" s="13">
        <f t="shared" si="2"/>
        <v>-3331.214523808434</v>
      </c>
      <c r="AE58" s="13">
        <f t="shared" si="2"/>
        <v>-3156.9635776495415</v>
      </c>
      <c r="AF58" s="13">
        <f t="shared" si="2"/>
        <v>-2993.1049791043333</v>
      </c>
      <c r="AG58" s="13">
        <f t="shared" si="2"/>
        <v>-2862.6150280809088</v>
      </c>
      <c r="AH58" s="13">
        <f t="shared" si="2"/>
        <v>-2689.6181306786602</v>
      </c>
      <c r="AI58" s="13">
        <f t="shared" si="2"/>
        <v>-2510.2611019928881</v>
      </c>
      <c r="AJ58" s="13">
        <f t="shared" si="2"/>
        <v>-2325.1057604240486</v>
      </c>
      <c r="AK58" s="13">
        <f t="shared" si="2"/>
        <v>-2154.0782386232167</v>
      </c>
      <c r="AL58" s="13">
        <f t="shared" si="2"/>
        <v>-1996.8696654337255</v>
      </c>
      <c r="AM58" s="13">
        <f t="shared" si="2"/>
        <v>-1827.3660122115107</v>
      </c>
      <c r="AN58" s="13">
        <f t="shared" si="2"/>
        <v>-1683.1017482953321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-9672.0620560369171</v>
      </c>
      <c r="F59" s="12">
        <v>-25798.04221514229</v>
      </c>
      <c r="G59" s="12">
        <v>-37576.872213682815</v>
      </c>
      <c r="H59" s="12">
        <v>-46246.097629949189</v>
      </c>
      <c r="I59" s="12">
        <v>-51929.056485505134</v>
      </c>
      <c r="J59" s="12">
        <v>-52479.151237399288</v>
      </c>
      <c r="K59" s="12">
        <v>-50712.604856075071</v>
      </c>
      <c r="L59" s="12">
        <v>-47438.762776209194</v>
      </c>
      <c r="M59" s="12">
        <v>-40037.169403233835</v>
      </c>
      <c r="N59" s="12">
        <v>-30157.271205878835</v>
      </c>
      <c r="O59" s="12">
        <v>-18181.806442452675</v>
      </c>
      <c r="P59" s="12">
        <v>1751.1893361556649</v>
      </c>
      <c r="Q59" s="12">
        <v>15286.023349320059</v>
      </c>
      <c r="R59" s="12">
        <v>26977.223129310474</v>
      </c>
      <c r="S59" s="12">
        <v>37642.307433824884</v>
      </c>
      <c r="T59" s="12">
        <v>47081.084523770929</v>
      </c>
      <c r="U59" s="12">
        <v>54479.659632010444</v>
      </c>
      <c r="V59" s="12">
        <v>61342.997541315985</v>
      </c>
      <c r="W59" s="12">
        <v>68178.731459388888</v>
      </c>
      <c r="X59" s="12">
        <v>75094.162199040278</v>
      </c>
      <c r="Y59" s="12">
        <v>82020.405102054108</v>
      </c>
      <c r="Z59" s="12">
        <v>88957.592521451108</v>
      </c>
      <c r="AA59" s="12">
        <v>95747.351739671387</v>
      </c>
      <c r="AB59" s="12">
        <v>102551.34031675284</v>
      </c>
      <c r="AC59" s="12">
        <v>99036.067070068239</v>
      </c>
      <c r="AD59" s="12">
        <v>95704.852546259805</v>
      </c>
      <c r="AE59" s="12">
        <v>92547.888968610263</v>
      </c>
      <c r="AF59" s="12">
        <v>89554.78398950593</v>
      </c>
      <c r="AG59" s="12">
        <v>86692.168961425021</v>
      </c>
      <c r="AH59" s="12">
        <v>84002.550830746361</v>
      </c>
      <c r="AI59" s="12">
        <v>81492.289728753472</v>
      </c>
      <c r="AJ59" s="12">
        <v>79167.183968329424</v>
      </c>
      <c r="AK59" s="12">
        <v>77013.105729706207</v>
      </c>
      <c r="AL59" s="12">
        <v>75016.236064272482</v>
      </c>
      <c r="AM59" s="12">
        <v>73188.870052060971</v>
      </c>
      <c r="AN59" s="12">
        <v>71505.768303765639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2.0976898876435652E-3</v>
      </c>
      <c r="F72" s="12">
        <v>4.1953797752871304E-3</v>
      </c>
      <c r="G72" s="12">
        <v>7.3419146067524805E-3</v>
      </c>
      <c r="H72" s="12">
        <v>9.4396044943960439E-3</v>
      </c>
      <c r="I72" s="12">
        <v>1.153729438203961E-2</v>
      </c>
      <c r="J72" s="12">
        <v>1.4683829213504961E-2</v>
      </c>
      <c r="K72" s="12">
        <v>1.6781519101148522E-2</v>
      </c>
      <c r="L72" s="12">
        <v>1.8879208988792088E-2</v>
      </c>
      <c r="M72" s="12">
        <v>2.2025743820257435E-2</v>
      </c>
      <c r="N72" s="12">
        <v>2.4123433707900998E-2</v>
      </c>
      <c r="O72" s="12">
        <v>2.6221123595544574E-2</v>
      </c>
      <c r="P72" s="12">
        <v>2.9367658427009922E-2</v>
      </c>
      <c r="Q72" s="12">
        <v>3.2304424269710912E-2</v>
      </c>
      <c r="R72" s="12">
        <v>3.2304424269710912E-2</v>
      </c>
      <c r="S72" s="12">
        <v>3.2304424269710912E-2</v>
      </c>
      <c r="T72" s="12">
        <v>3.2304424269710912E-2</v>
      </c>
      <c r="U72" s="12">
        <v>3.2304424269710912E-2</v>
      </c>
      <c r="V72" s="12">
        <v>3.2304424269710912E-2</v>
      </c>
      <c r="W72" s="12">
        <v>3.2304424269710912E-2</v>
      </c>
      <c r="X72" s="12">
        <v>3.2304424269710912E-2</v>
      </c>
      <c r="Y72" s="12">
        <v>3.2304424269710912E-2</v>
      </c>
      <c r="Z72" s="12">
        <v>3.2304424269710912E-2</v>
      </c>
      <c r="AA72" s="12">
        <v>3.2304424269710912E-2</v>
      </c>
      <c r="AB72" s="12">
        <v>3.2304424269710912E-2</v>
      </c>
      <c r="AC72" s="12">
        <v>3.5534866696682002E-2</v>
      </c>
      <c r="AD72" s="12">
        <v>3.5534866696682002E-2</v>
      </c>
      <c r="AE72" s="12">
        <v>3.5534866696682002E-2</v>
      </c>
      <c r="AF72" s="12">
        <v>3.5534866696682002E-2</v>
      </c>
      <c r="AG72" s="12">
        <v>3.5534866696682002E-2</v>
      </c>
      <c r="AH72" s="12">
        <v>3.5534866696682002E-2</v>
      </c>
      <c r="AI72" s="12">
        <v>3.5534866696682002E-2</v>
      </c>
      <c r="AJ72" s="12">
        <v>3.5534866696682002E-2</v>
      </c>
      <c r="AK72" s="12">
        <v>3.5534866696682002E-2</v>
      </c>
      <c r="AL72" s="12">
        <v>3.5534866696682002E-2</v>
      </c>
      <c r="AM72" s="12">
        <v>3.5534866696682002E-2</v>
      </c>
      <c r="AN72" s="12">
        <v>3.5534866696682002E-2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-2.0976898876435652E-3</v>
      </c>
      <c r="F75" s="74">
        <v>-4.1953797752871304E-3</v>
      </c>
      <c r="G75" s="74">
        <v>-7.3419146067524805E-3</v>
      </c>
      <c r="H75" s="74">
        <v>-9.4396044943960439E-3</v>
      </c>
      <c r="I75" s="74">
        <v>-1.153729438203961E-2</v>
      </c>
      <c r="J75" s="74">
        <v>-1.4683829213504961E-2</v>
      </c>
      <c r="K75" s="74">
        <v>-1.6781519101148522E-2</v>
      </c>
      <c r="L75" s="74">
        <v>-1.8879208988792088E-2</v>
      </c>
      <c r="M75" s="74">
        <v>-2.2025743820257435E-2</v>
      </c>
      <c r="N75" s="74">
        <v>-2.4123433707900998E-2</v>
      </c>
      <c r="O75" s="74">
        <v>-2.6221123595544574E-2</v>
      </c>
      <c r="P75" s="74">
        <v>-2.9367658427009922E-2</v>
      </c>
      <c r="Q75" s="74">
        <v>-3.2304424269710912E-2</v>
      </c>
      <c r="R75" s="74">
        <v>-3.2304424269710912E-2</v>
      </c>
      <c r="S75" s="74">
        <v>-3.2304424269710912E-2</v>
      </c>
      <c r="T75" s="74">
        <v>-3.2304424269710912E-2</v>
      </c>
      <c r="U75" s="74">
        <v>-3.2304424269710912E-2</v>
      </c>
      <c r="V75" s="74">
        <v>-3.2304424269710912E-2</v>
      </c>
      <c r="W75" s="74">
        <v>-3.2304424269710912E-2</v>
      </c>
      <c r="X75" s="74">
        <v>-3.2304424269710912E-2</v>
      </c>
      <c r="Y75" s="74">
        <v>-3.2304424269710912E-2</v>
      </c>
      <c r="Z75" s="74">
        <v>-3.2304424269710912E-2</v>
      </c>
      <c r="AA75" s="74">
        <v>-3.2304424269710912E-2</v>
      </c>
      <c r="AB75" s="74">
        <v>-3.2304424269710912E-2</v>
      </c>
      <c r="AC75" s="74">
        <v>-3.5534866696682002E-2</v>
      </c>
      <c r="AD75" s="74">
        <v>-3.5534866696682002E-2</v>
      </c>
      <c r="AE75" s="74">
        <v>-3.5534866696682002E-2</v>
      </c>
      <c r="AF75" s="74">
        <v>-3.5534866696682002E-2</v>
      </c>
      <c r="AG75" s="74">
        <v>-3.5534866696682002E-2</v>
      </c>
      <c r="AH75" s="74">
        <v>-3.5534866696682002E-2</v>
      </c>
      <c r="AI75" s="74">
        <v>-3.5534866696682002E-2</v>
      </c>
      <c r="AJ75" s="74">
        <v>-3.5534866696682002E-2</v>
      </c>
      <c r="AK75" s="74">
        <v>-3.5534866696682002E-2</v>
      </c>
      <c r="AL75" s="74">
        <v>-3.5534866696682002E-2</v>
      </c>
      <c r="AM75" s="74">
        <v>-3.5534866696682002E-2</v>
      </c>
      <c r="AN75" s="74">
        <v>-3.5534866696682002E-2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E1832-2353-4DA2-AAA0-B4230A5F7CF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84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2</v>
      </c>
      <c r="Y1" s="69">
        <v>5</v>
      </c>
      <c r="Z1" s="69">
        <v>8</v>
      </c>
      <c r="AA1" s="69">
        <v>11</v>
      </c>
      <c r="AB1" s="69">
        <v>14</v>
      </c>
      <c r="AC1" s="69">
        <v>17</v>
      </c>
      <c r="AD1" s="69">
        <v>20</v>
      </c>
      <c r="AE1" s="69">
        <v>22</v>
      </c>
      <c r="AF1" s="69">
        <v>25</v>
      </c>
      <c r="AG1" s="69">
        <v>28</v>
      </c>
      <c r="AH1" s="69">
        <v>31</v>
      </c>
      <c r="AI1" s="69">
        <v>34</v>
      </c>
      <c r="AJ1" s="69">
        <v>37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3.0238095238095237</v>
      </c>
      <c r="Z2" s="69">
        <v>3.1904761904761907</v>
      </c>
      <c r="AA2" s="69">
        <v>3.3571428571428572</v>
      </c>
      <c r="AB2" s="69">
        <v>3.5238095238095237</v>
      </c>
      <c r="AC2" s="69">
        <v>3.6904761904761907</v>
      </c>
      <c r="AD2" s="69">
        <v>3.8571428571428572</v>
      </c>
      <c r="AE2" s="69">
        <v>4.0238095238095237</v>
      </c>
      <c r="AF2" s="69">
        <v>4.1904761904761907</v>
      </c>
      <c r="AG2" s="69">
        <v>4.3571428571428577</v>
      </c>
      <c r="AH2" s="69">
        <v>4.5238095238095237</v>
      </c>
      <c r="AI2" s="69">
        <v>4.6904761904761907</v>
      </c>
      <c r="AJ2" s="69">
        <v>4.8571428571428577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2</v>
      </c>
      <c r="Y4" s="69">
        <v>8.0238095238095237</v>
      </c>
      <c r="Z4" s="69">
        <v>11.19047619047619</v>
      </c>
      <c r="AA4" s="69">
        <v>14.357142857142858</v>
      </c>
      <c r="AB4" s="69">
        <v>17.523809523809526</v>
      </c>
      <c r="AC4" s="69">
        <v>20.69047619047619</v>
      </c>
      <c r="AD4" s="69">
        <v>23.857142857142858</v>
      </c>
      <c r="AE4" s="69">
        <v>26.023809523809526</v>
      </c>
      <c r="AF4" s="69">
        <v>29.19047619047619</v>
      </c>
      <c r="AG4" s="69">
        <v>32.357142857142861</v>
      </c>
      <c r="AH4" s="69">
        <v>35.523809523809526</v>
      </c>
      <c r="AI4" s="69">
        <v>38.69047619047619</v>
      </c>
      <c r="AJ4" s="69">
        <v>41.857142857142861</v>
      </c>
      <c r="AK4" s="69">
        <v>42.166666666666664</v>
      </c>
      <c r="AL4" s="69">
        <v>42.333333333333336</v>
      </c>
      <c r="AM4" s="69">
        <v>42.5</v>
      </c>
      <c r="AN4" s="69">
        <v>42.666666666666664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4</v>
      </c>
      <c r="Y6" s="66">
        <v>10</v>
      </c>
      <c r="Z6" s="66">
        <v>13</v>
      </c>
      <c r="AA6" s="66">
        <v>17</v>
      </c>
      <c r="AB6" s="66">
        <v>21</v>
      </c>
      <c r="AC6" s="66">
        <v>24</v>
      </c>
      <c r="AD6" s="66">
        <v>28</v>
      </c>
      <c r="AE6" s="66">
        <v>30</v>
      </c>
      <c r="AF6" s="66">
        <v>34</v>
      </c>
      <c r="AG6" s="66">
        <v>38</v>
      </c>
      <c r="AH6" s="66">
        <v>41</v>
      </c>
      <c r="AI6" s="66">
        <v>45</v>
      </c>
      <c r="AJ6" s="66">
        <v>49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1.89</v>
      </c>
      <c r="Y7" s="108">
        <v>4.71</v>
      </c>
      <c r="Z7" s="108">
        <v>7.5299999999999994</v>
      </c>
      <c r="AA7" s="108">
        <v>10.36</v>
      </c>
      <c r="AB7" s="108">
        <v>13.18</v>
      </c>
      <c r="AC7" s="108">
        <v>16</v>
      </c>
      <c r="AD7" s="108">
        <v>18.830000000000002</v>
      </c>
      <c r="AE7" s="108">
        <v>20.71</v>
      </c>
      <c r="AF7" s="108">
        <v>23.53</v>
      </c>
      <c r="AG7" s="108">
        <v>26.360000000000003</v>
      </c>
      <c r="AH7" s="108">
        <v>29.180000000000003</v>
      </c>
      <c r="AI7" s="108">
        <v>32</v>
      </c>
      <c r="AJ7" s="108">
        <v>34.83</v>
      </c>
      <c r="AK7" s="108">
        <v>37.65</v>
      </c>
      <c r="AL7" s="108">
        <v>37.65</v>
      </c>
      <c r="AM7" s="108">
        <v>37.65</v>
      </c>
      <c r="AN7" s="108">
        <v>37.65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0.29000000000000004</v>
      </c>
      <c r="Y8" s="108">
        <v>0.72</v>
      </c>
      <c r="Z8" s="108">
        <v>1.1499999999999999</v>
      </c>
      <c r="AA8" s="108">
        <v>1.58</v>
      </c>
      <c r="AB8" s="108">
        <v>2</v>
      </c>
      <c r="AC8" s="108">
        <v>2.4299999999999997</v>
      </c>
      <c r="AD8" s="108">
        <v>2.86</v>
      </c>
      <c r="AE8" s="108">
        <v>3.15</v>
      </c>
      <c r="AF8" s="108">
        <v>3.5799999999999996</v>
      </c>
      <c r="AG8" s="108">
        <v>4</v>
      </c>
      <c r="AH8" s="108">
        <v>4.43</v>
      </c>
      <c r="AI8" s="108">
        <v>4.8599999999999994</v>
      </c>
      <c r="AJ8" s="108">
        <v>5.29</v>
      </c>
      <c r="AK8" s="108">
        <v>5.72</v>
      </c>
      <c r="AL8" s="108">
        <v>5.72</v>
      </c>
      <c r="AM8" s="108">
        <v>5.72</v>
      </c>
      <c r="AN8" s="108">
        <v>5.72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0.24000000000000002</v>
      </c>
      <c r="Z12" s="108">
        <v>0.25</v>
      </c>
      <c r="AA12" s="108">
        <v>0.26</v>
      </c>
      <c r="AB12" s="108">
        <v>0.28000000000000003</v>
      </c>
      <c r="AC12" s="108">
        <v>0.29000000000000004</v>
      </c>
      <c r="AD12" s="108">
        <v>0.3</v>
      </c>
      <c r="AE12" s="108">
        <v>0.31</v>
      </c>
      <c r="AF12" s="108">
        <v>0.33</v>
      </c>
      <c r="AG12" s="108">
        <v>0.34</v>
      </c>
      <c r="AH12" s="108">
        <v>0.35000000000000003</v>
      </c>
      <c r="AI12" s="108">
        <v>0.37</v>
      </c>
      <c r="AJ12" s="108">
        <v>0.38</v>
      </c>
      <c r="AK12" s="108">
        <v>0.17</v>
      </c>
      <c r="AL12" s="108">
        <v>0.18000000000000002</v>
      </c>
      <c r="AM12" s="108">
        <v>0.2</v>
      </c>
      <c r="AN12" s="108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0.02</v>
      </c>
      <c r="Y13" s="108">
        <v>0.33</v>
      </c>
      <c r="Z13" s="108">
        <v>0.37</v>
      </c>
      <c r="AA13" s="108">
        <v>0.4</v>
      </c>
      <c r="AB13" s="108">
        <v>0.43</v>
      </c>
      <c r="AC13" s="108">
        <v>0.47000000000000003</v>
      </c>
      <c r="AD13" s="108">
        <v>0.5</v>
      </c>
      <c r="AE13" s="108">
        <v>0.53</v>
      </c>
      <c r="AF13" s="108">
        <v>0.56000000000000005</v>
      </c>
      <c r="AG13" s="108">
        <v>0.59</v>
      </c>
      <c r="AH13" s="108">
        <v>0.63</v>
      </c>
      <c r="AI13" s="108">
        <v>0.66</v>
      </c>
      <c r="AJ13" s="108">
        <v>0.69000000000000006</v>
      </c>
      <c r="AK13" s="108">
        <v>0.44</v>
      </c>
      <c r="AL13" s="108">
        <v>0.46</v>
      </c>
      <c r="AM13" s="108">
        <v>0.47</v>
      </c>
      <c r="AN13" s="108">
        <v>0.49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0.02</v>
      </c>
      <c r="Y14" s="108">
        <v>0.18000000000000002</v>
      </c>
      <c r="Z14" s="108">
        <v>0.21000000000000002</v>
      </c>
      <c r="AA14" s="108">
        <v>0.23</v>
      </c>
      <c r="AB14" s="108">
        <v>0.26</v>
      </c>
      <c r="AC14" s="108">
        <v>0.28000000000000003</v>
      </c>
      <c r="AD14" s="108">
        <v>0.31</v>
      </c>
      <c r="AE14" s="108">
        <v>0.33</v>
      </c>
      <c r="AF14" s="108">
        <v>0.35000000000000003</v>
      </c>
      <c r="AG14" s="108">
        <v>0.38</v>
      </c>
      <c r="AH14" s="108">
        <v>0.4</v>
      </c>
      <c r="AI14" s="108">
        <v>0.43</v>
      </c>
      <c r="AJ14" s="108">
        <v>0.45</v>
      </c>
      <c r="AK14" s="108">
        <v>0.33</v>
      </c>
      <c r="AL14" s="108">
        <v>0.34</v>
      </c>
      <c r="AM14" s="108">
        <v>0.35000000000000003</v>
      </c>
      <c r="AN14" s="108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0.01</v>
      </c>
      <c r="Y15" s="108">
        <v>0.02</v>
      </c>
      <c r="Z15" s="108">
        <v>0.04</v>
      </c>
      <c r="AA15" s="108">
        <v>0.05</v>
      </c>
      <c r="AB15" s="108">
        <v>6.0000000000000005E-2</v>
      </c>
      <c r="AC15" s="108">
        <v>6.9999999999999993E-2</v>
      </c>
      <c r="AD15" s="108">
        <v>0.08</v>
      </c>
      <c r="AE15" s="108">
        <v>0.09</v>
      </c>
      <c r="AF15" s="108">
        <v>0.1</v>
      </c>
      <c r="AG15" s="108">
        <v>0.12</v>
      </c>
      <c r="AH15" s="108">
        <v>0.13</v>
      </c>
      <c r="AI15" s="108">
        <v>0.14000000000000001</v>
      </c>
      <c r="AJ15" s="108">
        <v>0.15000000000000002</v>
      </c>
      <c r="AK15" s="108">
        <v>0.16</v>
      </c>
      <c r="AL15" s="108">
        <v>0.16</v>
      </c>
      <c r="AM15" s="108">
        <v>0.16</v>
      </c>
      <c r="AN15" s="108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0.01</v>
      </c>
      <c r="Y16" s="108">
        <v>0.02</v>
      </c>
      <c r="Z16" s="108">
        <v>0.04</v>
      </c>
      <c r="AA16" s="108">
        <v>0.05</v>
      </c>
      <c r="AB16" s="108">
        <v>6.0000000000000005E-2</v>
      </c>
      <c r="AC16" s="108">
        <v>6.9999999999999993E-2</v>
      </c>
      <c r="AD16" s="108">
        <v>0.08</v>
      </c>
      <c r="AE16" s="108">
        <v>0.09</v>
      </c>
      <c r="AF16" s="108">
        <v>0.1</v>
      </c>
      <c r="AG16" s="108">
        <v>0.12</v>
      </c>
      <c r="AH16" s="108">
        <v>0.13</v>
      </c>
      <c r="AI16" s="108">
        <v>0.14000000000000001</v>
      </c>
      <c r="AJ16" s="108">
        <v>0.15000000000000002</v>
      </c>
      <c r="AK16" s="108">
        <v>0.16</v>
      </c>
      <c r="AL16" s="108">
        <v>0.16</v>
      </c>
      <c r="AM16" s="108">
        <v>0.16</v>
      </c>
      <c r="AN16" s="108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0.2</v>
      </c>
      <c r="Y17" s="108">
        <v>0.5</v>
      </c>
      <c r="Z17" s="108">
        <v>0.8</v>
      </c>
      <c r="AA17" s="108">
        <v>1.1000000000000001</v>
      </c>
      <c r="AB17" s="108">
        <v>1.4</v>
      </c>
      <c r="AC17" s="108">
        <v>1.7</v>
      </c>
      <c r="AD17" s="108">
        <v>2</v>
      </c>
      <c r="AE17" s="108">
        <v>2.2000000000000002</v>
      </c>
      <c r="AF17" s="108">
        <v>2.5</v>
      </c>
      <c r="AG17" s="108">
        <v>2.8</v>
      </c>
      <c r="AH17" s="108">
        <v>3.1</v>
      </c>
      <c r="AI17" s="108">
        <v>3.4</v>
      </c>
      <c r="AJ17" s="108">
        <v>3.7</v>
      </c>
      <c r="AK17" s="108">
        <v>4</v>
      </c>
      <c r="AL17" s="108">
        <v>4</v>
      </c>
      <c r="AM17" s="108">
        <v>4</v>
      </c>
      <c r="AN17" s="108">
        <v>4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2</v>
      </c>
      <c r="Y21" s="120">
        <v>5</v>
      </c>
      <c r="Z21" s="120">
        <v>9</v>
      </c>
      <c r="AA21" s="120">
        <v>12</v>
      </c>
      <c r="AB21" s="120">
        <v>15</v>
      </c>
      <c r="AC21" s="120">
        <v>18</v>
      </c>
      <c r="AD21" s="120">
        <v>22</v>
      </c>
      <c r="AE21" s="120">
        <v>24</v>
      </c>
      <c r="AF21" s="120">
        <v>27</v>
      </c>
      <c r="AG21" s="120">
        <v>30</v>
      </c>
      <c r="AH21" s="120">
        <v>34</v>
      </c>
      <c r="AI21" s="120">
        <v>37</v>
      </c>
      <c r="AJ21" s="120">
        <v>40</v>
      </c>
      <c r="AK21" s="120">
        <v>43</v>
      </c>
      <c r="AL21" s="120">
        <v>43</v>
      </c>
      <c r="AM21" s="120">
        <v>43</v>
      </c>
      <c r="AN21" s="120">
        <v>43</v>
      </c>
    </row>
    <row r="22" spans="2:50" x14ac:dyDescent="0.25">
      <c r="B22" s="2" t="s">
        <v>464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95.980542519553097</v>
      </c>
      <c r="Y22" s="78">
        <v>95.980542519553097</v>
      </c>
      <c r="Z22" s="78">
        <v>95.980542519553097</v>
      </c>
      <c r="AA22" s="78">
        <v>95.980542519553097</v>
      </c>
      <c r="AB22" s="78">
        <v>95.980542519553097</v>
      </c>
      <c r="AC22" s="78">
        <v>95.980542519553097</v>
      </c>
      <c r="AD22" s="78">
        <v>95.980542519553097</v>
      </c>
      <c r="AE22" s="78">
        <v>95.980542519553097</v>
      </c>
      <c r="AF22" s="78">
        <v>95.980542519553083</v>
      </c>
      <c r="AG22" s="78">
        <v>95.980542519553097</v>
      </c>
      <c r="AH22" s="78">
        <v>95.980542519553097</v>
      </c>
      <c r="AI22" s="78">
        <v>95.980542519553097</v>
      </c>
      <c r="AJ22" s="78">
        <v>95.980542519553083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210.02666666666664</v>
      </c>
      <c r="Y23" s="52">
        <v>525.06666666666661</v>
      </c>
      <c r="Z23" s="52">
        <v>840.10666666666657</v>
      </c>
      <c r="AA23" s="52">
        <v>1155.1466666666665</v>
      </c>
      <c r="AB23" s="52">
        <v>1470.1866666666665</v>
      </c>
      <c r="AC23" s="52">
        <v>1785.2266666666665</v>
      </c>
      <c r="AD23" s="52">
        <v>2100.2666666666664</v>
      </c>
      <c r="AE23" s="52">
        <v>2310.2933333333331</v>
      </c>
      <c r="AF23" s="52">
        <v>2625.333333333333</v>
      </c>
      <c r="AG23" s="52">
        <v>2940.373333333333</v>
      </c>
      <c r="AH23" s="52">
        <v>3255.413333333333</v>
      </c>
      <c r="AI23" s="52">
        <v>3570.4533333333329</v>
      </c>
      <c r="AJ23" s="52">
        <v>3885.4933333333329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15641.71017552</v>
      </c>
      <c r="Y26" s="12">
        <v>39104.275438800003</v>
      </c>
      <c r="Z26" s="12">
        <v>62566.84070208</v>
      </c>
      <c r="AA26" s="12">
        <v>86029.405965359998</v>
      </c>
      <c r="AB26" s="12">
        <v>109491.97122864</v>
      </c>
      <c r="AC26" s="12">
        <v>132954.53649192001</v>
      </c>
      <c r="AD26" s="12">
        <v>156417.10175520001</v>
      </c>
      <c r="AE26" s="12">
        <v>172058.81193072</v>
      </c>
      <c r="AF26" s="12">
        <v>195521.377194</v>
      </c>
      <c r="AG26" s="12">
        <v>218983.94245728001</v>
      </c>
      <c r="AH26" s="12">
        <v>242446.50772056004</v>
      </c>
      <c r="AI26" s="12">
        <v>265909.07298384001</v>
      </c>
      <c r="AJ26" s="12">
        <v>289371.63824712002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1032.5442483199997</v>
      </c>
      <c r="Y27" s="12">
        <v>2581.3606207999992</v>
      </c>
      <c r="Z27" s="12">
        <v>4130.1769932799989</v>
      </c>
      <c r="AA27" s="12">
        <v>5678.9933657599995</v>
      </c>
      <c r="AB27" s="12">
        <v>7227.8097382399992</v>
      </c>
      <c r="AC27" s="12">
        <v>8776.6261107199989</v>
      </c>
      <c r="AD27" s="12">
        <v>10325.442483199997</v>
      </c>
      <c r="AE27" s="12">
        <v>11357.986731519999</v>
      </c>
      <c r="AF27" s="12">
        <v>12906.803103999997</v>
      </c>
      <c r="AG27" s="12">
        <v>14455.619476479998</v>
      </c>
      <c r="AH27" s="12">
        <v>16004.435848959998</v>
      </c>
      <c r="AI27" s="12">
        <v>17553.252221439998</v>
      </c>
      <c r="AJ27" s="12">
        <v>19102.068593919998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4265.9209569599998</v>
      </c>
      <c r="Y28" s="12">
        <v>10664.802392399999</v>
      </c>
      <c r="Z28" s="12">
        <v>17063.683827839999</v>
      </c>
      <c r="AA28" s="12">
        <v>23462.565263280005</v>
      </c>
      <c r="AB28" s="12">
        <v>29861.446698719999</v>
      </c>
      <c r="AC28" s="12">
        <v>36260.328134159994</v>
      </c>
      <c r="AD28" s="12">
        <v>42659.209569599996</v>
      </c>
      <c r="AE28" s="12">
        <v>46925.130526560009</v>
      </c>
      <c r="AF28" s="12">
        <v>53324.011961999997</v>
      </c>
      <c r="AG28" s="12">
        <v>59722.893397439999</v>
      </c>
      <c r="AH28" s="12">
        <v>66121.774832879993</v>
      </c>
      <c r="AI28" s="12">
        <v>72520.656268319988</v>
      </c>
      <c r="AJ28" s="12">
        <v>78919.537703759997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178.96634807999999</v>
      </c>
      <c r="Y29" s="12">
        <v>447.41587020000009</v>
      </c>
      <c r="Z29" s="12">
        <v>715.86539231999996</v>
      </c>
      <c r="AA29" s="12">
        <v>984.31491443999994</v>
      </c>
      <c r="AB29" s="12">
        <v>1252.7644365599999</v>
      </c>
      <c r="AC29" s="12">
        <v>1521.2139586799999</v>
      </c>
      <c r="AD29" s="12">
        <v>1789.6634808000003</v>
      </c>
      <c r="AE29" s="12">
        <v>1968.6298288799999</v>
      </c>
      <c r="AF29" s="12">
        <v>2237.0793509999999</v>
      </c>
      <c r="AG29" s="12">
        <v>2505.5288731199998</v>
      </c>
      <c r="AH29" s="12">
        <v>2773.9783952399998</v>
      </c>
      <c r="AI29" s="12">
        <v>3042.4279173599998</v>
      </c>
      <c r="AJ29" s="12">
        <v>3310.8774394799998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413.77305023999998</v>
      </c>
      <c r="Y30" s="12">
        <v>1034.4326255999999</v>
      </c>
      <c r="Z30" s="12">
        <v>1655.0922009599999</v>
      </c>
      <c r="AA30" s="12">
        <v>2275.7517763199999</v>
      </c>
      <c r="AB30" s="12">
        <v>2896.4113516799994</v>
      </c>
      <c r="AC30" s="12">
        <v>3517.0709270399998</v>
      </c>
      <c r="AD30" s="12">
        <v>4137.7305023999998</v>
      </c>
      <c r="AE30" s="12">
        <v>4551.5035526399997</v>
      </c>
      <c r="AF30" s="12">
        <v>5172.1631280000001</v>
      </c>
      <c r="AG30" s="12">
        <v>5792.8227033599987</v>
      </c>
      <c r="AH30" s="12">
        <v>6413.4822787199992</v>
      </c>
      <c r="AI30" s="12">
        <v>7034.1418540799996</v>
      </c>
      <c r="AJ30" s="12">
        <v>7654.80142944</v>
      </c>
      <c r="AK30" s="12">
        <v>8275.4610047999995</v>
      </c>
      <c r="AL30" s="12">
        <v>8275.4610047999995</v>
      </c>
      <c r="AM30" s="12">
        <v>8275.4610047999995</v>
      </c>
      <c r="AN30" s="12">
        <v>8275.4610047999995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-5684.4774364543991</v>
      </c>
      <c r="Y35" s="12">
        <v>-9560.4020966959979</v>
      </c>
      <c r="Z35" s="12">
        <v>-13436.3267569376</v>
      </c>
      <c r="AA35" s="12">
        <v>-17312.251417179199</v>
      </c>
      <c r="AB35" s="12">
        <v>-21188.176077420801</v>
      </c>
      <c r="AC35" s="12">
        <v>-25064.1007376624</v>
      </c>
      <c r="AD35" s="12">
        <v>-28940.025397903999</v>
      </c>
      <c r="AE35" s="12">
        <v>-31523.975171398397</v>
      </c>
      <c r="AF35" s="12">
        <v>-35399.899831639996</v>
      </c>
      <c r="AG35" s="12">
        <v>-39275.824491881605</v>
      </c>
      <c r="AH35" s="12">
        <v>-43151.7491521232</v>
      </c>
      <c r="AI35" s="12">
        <v>-47027.673812364803</v>
      </c>
      <c r="AJ35" s="12">
        <v>-50903.598472606398</v>
      </c>
      <c r="AK35" s="12">
        <v>-54779.523132848</v>
      </c>
      <c r="AL35" s="12">
        <v>-54779.523132848</v>
      </c>
      <c r="AM35" s="12">
        <v>-54779.523132848</v>
      </c>
      <c r="AN35" s="12">
        <v>-54779.523132848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40653.623619012258</v>
      </c>
      <c r="Y37" s="13">
        <v>67528.254754970665</v>
      </c>
      <c r="Z37" s="13">
        <v>94402.885890929057</v>
      </c>
      <c r="AA37" s="13">
        <v>121277.51702688746</v>
      </c>
      <c r="AB37" s="13">
        <v>148152.14816284587</v>
      </c>
      <c r="AC37" s="13">
        <v>175026.77929880426</v>
      </c>
      <c r="AD37" s="13">
        <v>201901.41043476266</v>
      </c>
      <c r="AE37" s="13">
        <v>219817.83119206826</v>
      </c>
      <c r="AF37" s="13">
        <v>246692.46232802665</v>
      </c>
      <c r="AG37" s="13">
        <v>273567.09346398507</v>
      </c>
      <c r="AH37" s="13">
        <v>300441.7245999435</v>
      </c>
      <c r="AI37" s="13">
        <v>327316.35573590186</v>
      </c>
      <c r="AJ37" s="13">
        <v>354190.98687186028</v>
      </c>
      <c r="AK37" s="13">
        <v>381065.6180078187</v>
      </c>
      <c r="AL37" s="13">
        <v>381065.6180078187</v>
      </c>
      <c r="AM37" s="13">
        <v>381065.6180078187</v>
      </c>
      <c r="AN37" s="13">
        <v>381065.6180078187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37345.562606491301</v>
      </c>
      <c r="Y40" s="12">
        <v>65078.216922894928</v>
      </c>
      <c r="Z40" s="12">
        <v>82977.436785965197</v>
      </c>
      <c r="AA40" s="12">
        <v>100588.2934090355</v>
      </c>
      <c r="AB40" s="12">
        <v>118223.28344543913</v>
      </c>
      <c r="AC40" s="12">
        <v>149442.34633002701</v>
      </c>
      <c r="AD40" s="12">
        <v>168878.61560340435</v>
      </c>
      <c r="AE40" s="12">
        <v>182025.56922521145</v>
      </c>
      <c r="AF40" s="12">
        <v>201472.01927725543</v>
      </c>
      <c r="AG40" s="12">
        <v>221024.08087196611</v>
      </c>
      <c r="AH40" s="12">
        <v>240420.81541201012</v>
      </c>
      <c r="AI40" s="12">
        <v>259931.59245205406</v>
      </c>
      <c r="AJ40" s="12">
        <v>279303.53473743139</v>
      </c>
      <c r="AK40" s="12">
        <v>293425.27379347541</v>
      </c>
      <c r="AL40" s="12">
        <v>293732.29725747538</v>
      </c>
      <c r="AM40" s="12">
        <v>294089.03623347537</v>
      </c>
      <c r="AN40" s="12">
        <v>294396.0596974754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371.442656</v>
      </c>
      <c r="Y44" s="12">
        <v>977.66510400000016</v>
      </c>
      <c r="Z44" s="12">
        <v>1019.7152160000001</v>
      </c>
      <c r="AA44" s="12">
        <v>1047.7486239999998</v>
      </c>
      <c r="AB44" s="12">
        <v>1082.7903840000001</v>
      </c>
      <c r="AC44" s="12">
        <v>1158.90108672</v>
      </c>
      <c r="AD44" s="12">
        <v>1191.7001740800001</v>
      </c>
      <c r="AE44" s="12">
        <v>1220.8549184000001</v>
      </c>
      <c r="AF44" s="12">
        <v>1253.6540057600002</v>
      </c>
      <c r="AG44" s="12">
        <v>1293.7417792000001</v>
      </c>
      <c r="AH44" s="12">
        <v>1326.54086656</v>
      </c>
      <c r="AI44" s="12">
        <v>1362.9842969600004</v>
      </c>
      <c r="AJ44" s="12">
        <v>1392.1390412800001</v>
      </c>
      <c r="AK44" s="12">
        <v>1188.0558310400002</v>
      </c>
      <c r="AL44" s="12">
        <v>1202.6332032000003</v>
      </c>
      <c r="AM44" s="12">
        <v>1217.2105753600003</v>
      </c>
      <c r="AN44" s="12">
        <v>1231.7879475200002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2723.3999999999996</v>
      </c>
      <c r="Y46" s="12">
        <v>4069.8</v>
      </c>
      <c r="Z46" s="12">
        <v>5005.6499999999996</v>
      </c>
      <c r="AA46" s="12">
        <v>5933.85</v>
      </c>
      <c r="AB46" s="12">
        <v>6862.0499999999993</v>
      </c>
      <c r="AC46" s="12">
        <v>7946.0550000000003</v>
      </c>
      <c r="AD46" s="12">
        <v>8895.42</v>
      </c>
      <c r="AE46" s="12">
        <v>9532.6649999999991</v>
      </c>
      <c r="AF46" s="12">
        <v>10479.429</v>
      </c>
      <c r="AG46" s="12">
        <v>11431.395</v>
      </c>
      <c r="AH46" s="12">
        <v>12378.159000000003</v>
      </c>
      <c r="AI46" s="12">
        <v>13327.523999999999</v>
      </c>
      <c r="AJ46" s="12">
        <v>14274.288</v>
      </c>
      <c r="AK46" s="12">
        <v>15051.986999999997</v>
      </c>
      <c r="AL46" s="12">
        <v>15062.391</v>
      </c>
      <c r="AM46" s="12">
        <v>15072.794999999998</v>
      </c>
      <c r="AN46" s="12">
        <v>15083.198999999999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126877.11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3646.253264015259</v>
      </c>
      <c r="Y49" s="12">
        <f>'Corp.'!Y$50*(Y$37-(Y31-Y32-Y34)*$C$35)/(SUM('MDA1:NCA9'!Y$37)-SUM('MDA1:NCA9'!Y$31)-SUM('MDA1:NCA9'!Y$32)-SUM('MDA1:NCA9'!Y$34))</f>
        <v>5936.4493806834816</v>
      </c>
      <c r="Z49" s="12">
        <f>'Corp.'!Z$50*(Z$37-(Z31-Z32-Z34)*$C$35)/(SUM('MDA1:NCA9'!Z$37)-SUM('MDA1:NCA9'!Z$31)-SUM('MDA1:NCA9'!Z$32)-SUM('MDA1:NCA9'!Z$34))</f>
        <v>8130.8716768973272</v>
      </c>
      <c r="AA49" s="12">
        <f>'Corp.'!AA$50*(AA$37-(AA31-AA32-AA34)*$C$35)/(SUM('MDA1:NCA9'!AA$37)-SUM('MDA1:NCA9'!AA$31)-SUM('MDA1:NCA9'!AA$32)-SUM('MDA1:NCA9'!AA$34))</f>
        <v>10221.540827711015</v>
      </c>
      <c r="AB49" s="12">
        <f>'Corp.'!AB$50*(AB$37-(AB31-AB32-AB34)*$C$35)/(SUM('MDA1:NCA9'!AB$37)-SUM('MDA1:NCA9'!AB$31)-SUM('MDA1:NCA9'!AB$32)-SUM('MDA1:NCA9'!AB$34))</f>
        <v>12219.095243771693</v>
      </c>
      <c r="AC49" s="12">
        <f>'Corp.'!AC$50*(AC$37-(AC31-AC32-AC34)*$C$35)/(SUM('MDA1:NCA9'!AC$37)-SUM('MDA1:NCA9'!AC$31)-SUM('MDA1:NCA9'!AC$32)-SUM('MDA1:NCA9'!AC$34))</f>
        <v>15621.336226543261</v>
      </c>
      <c r="AD49" s="12">
        <f>'Corp.'!AD$50*(AD$37-(AD31-AD32-AD34)*$C$35)/(SUM('MDA1:NCA9'!AD$37)-SUM('MDA1:NCA9'!AD$31)-SUM('MDA1:NCA9'!AD$32)-SUM('MDA1:NCA9'!AD$34))</f>
        <v>17743.247701207023</v>
      </c>
      <c r="AE49" s="12">
        <f>'Corp.'!AE$50*(AE$37-(AE31-AE32-AE34)*$C$35)/(SUM('MDA1:NCA9'!AE$37)-SUM('MDA1:NCA9'!AE$31)-SUM('MDA1:NCA9'!AE$32)-SUM('MDA1:NCA9'!AE$34))</f>
        <v>19032.576101351311</v>
      </c>
      <c r="AF49" s="12">
        <f>'Corp.'!AF$50*(AF$37-(AF31-AF32-AF34)*$C$35)/(SUM('MDA1:NCA9'!AF$37)-SUM('MDA1:NCA9'!AF$31)-SUM('MDA1:NCA9'!AF$32)-SUM('MDA1:NCA9'!AF$34))</f>
        <v>21058.514863513559</v>
      </c>
      <c r="AG49" s="12">
        <f>'Corp.'!AG$50*(AG$37-(AG31-AG32-AG34)*$C$35)/(SUM('MDA1:NCA9'!AG$37)-SUM('MDA1:NCA9'!AG$31)-SUM('MDA1:NCA9'!AG$32)-SUM('MDA1:NCA9'!AG$34))</f>
        <v>23086.845684241132</v>
      </c>
      <c r="AH49" s="12">
        <f>'Corp.'!AH$50*(AH$37-(AH31-AH32-AH34)*$C$35)/(SUM('MDA1:NCA9'!AH$37)-SUM('MDA1:NCA9'!AH$31)-SUM('MDA1:NCA9'!AH$32)-SUM('MDA1:NCA9'!AH$34))</f>
        <v>24967.874575045018</v>
      </c>
      <c r="AI49" s="12">
        <f>'Corp.'!AI$50*(AI$37-(AI31-AI32-AI34)*$C$35)/(SUM('MDA1:NCA9'!AI$37)-SUM('MDA1:NCA9'!AI$31)-SUM('MDA1:NCA9'!AI$32)-SUM('MDA1:NCA9'!AI$34))</f>
        <v>26764.174432863925</v>
      </c>
      <c r="AJ49" s="12">
        <f>'Corp.'!AJ$50*(AJ$37-(AJ31-AJ32-AJ34)*$C$35)/(SUM('MDA1:NCA9'!AJ$37)-SUM('MDA1:NCA9'!AJ$31)-SUM('MDA1:NCA9'!AJ$32)-SUM('MDA1:NCA9'!AJ$34))</f>
        <v>28473.40902083633</v>
      </c>
      <c r="AK49" s="12">
        <f>'Corp.'!AK$50*(AK$37-(AK31-AK32-AK34)*$C$35)/(SUM('MDA1:NCA9'!AK$37)-SUM('MDA1:NCA9'!AK$31)-SUM('MDA1:NCA9'!AK$32)-SUM('MDA1:NCA9'!AK$34))</f>
        <v>30148.631051449134</v>
      </c>
      <c r="AL49" s="12">
        <f>'Corp.'!AL$50*(AL$37-(AL31-AL32-AL34)*$C$35)/(SUM('MDA1:NCA9'!AL$37)-SUM('MDA1:NCA9'!AL$31)-SUM('MDA1:NCA9'!AL$32)-SUM('MDA1:NCA9'!AL$34))</f>
        <v>29702.608128637592</v>
      </c>
      <c r="AM49" s="12">
        <f>'Corp.'!AM$50*(AM$37-(AM31-AM32-AM34)*$C$35)/(SUM('MDA1:NCA9'!AM$37)-SUM('MDA1:NCA9'!AM$31)-SUM('MDA1:NCA9'!AM$32)-SUM('MDA1:NCA9'!AM$34))</f>
        <v>29221.702327487226</v>
      </c>
      <c r="AN49" s="12">
        <f>'Corp.'!AN$50*(AN$37-(AN31-AN32-AN34)*$C$35)/(SUM('MDA1:NCA9'!AN$37)-SUM('MDA1:NCA9'!AN$31)-SUM('MDA1:NCA9'!AN$32)-SUM('MDA1:NCA9'!AN$34))</f>
        <v>28812.404238052914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126877.11</v>
      </c>
      <c r="W50" s="13">
        <v>0</v>
      </c>
      <c r="X50" s="13">
        <v>74736.85697050656</v>
      </c>
      <c r="Y50" s="13">
        <v>106106.10740357841</v>
      </c>
      <c r="Z50" s="13">
        <v>127135.59956286252</v>
      </c>
      <c r="AA50" s="13">
        <v>147765.32533674652</v>
      </c>
      <c r="AB50" s="13">
        <v>168326.06978921083</v>
      </c>
      <c r="AC50" s="13">
        <v>205098.70788957027</v>
      </c>
      <c r="AD50" s="13">
        <v>227606.2536376114</v>
      </c>
      <c r="AE50" s="13">
        <v>242679.78065956279</v>
      </c>
      <c r="AF50" s="13">
        <v>265098.93347376899</v>
      </c>
      <c r="AG50" s="13">
        <v>287631.29188920726</v>
      </c>
      <c r="AH50" s="13">
        <v>309855.81932005513</v>
      </c>
      <c r="AI50" s="13">
        <v>332112.26121791801</v>
      </c>
      <c r="AJ50" s="13">
        <v>354140.20209126774</v>
      </c>
      <c r="AK50" s="13">
        <v>370714.8621779246</v>
      </c>
      <c r="AL50" s="13">
        <v>370586.26671911299</v>
      </c>
      <c r="AM50" s="13">
        <v>370472.5038939626</v>
      </c>
      <c r="AN50" s="13">
        <v>370380.63326852833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-126877.11</v>
      </c>
      <c r="W52" s="74">
        <f t="shared" si="0"/>
        <v>0</v>
      </c>
      <c r="X52" s="74">
        <f t="shared" si="0"/>
        <v>-34083.233351494302</v>
      </c>
      <c r="Y52" s="74">
        <f t="shared" si="0"/>
        <v>-38577.852648607746</v>
      </c>
      <c r="Z52" s="74">
        <f t="shared" si="0"/>
        <v>-32732.713671933467</v>
      </c>
      <c r="AA52" s="74">
        <f t="shared" si="0"/>
        <v>-26487.808309859058</v>
      </c>
      <c r="AB52" s="74">
        <f t="shared" si="0"/>
        <v>-20173.921626364958</v>
      </c>
      <c r="AC52" s="74">
        <f t="shared" si="0"/>
        <v>-30071.928590766009</v>
      </c>
      <c r="AD52" s="74">
        <f t="shared" si="0"/>
        <v>-25704.843202848744</v>
      </c>
      <c r="AE52" s="74">
        <f t="shared" si="0"/>
        <v>-22861.949467494531</v>
      </c>
      <c r="AF52" s="74">
        <f t="shared" si="0"/>
        <v>-18406.47114574234</v>
      </c>
      <c r="AG52" s="74">
        <f t="shared" si="0"/>
        <v>-14064.198425222188</v>
      </c>
      <c r="AH52" s="74">
        <f t="shared" si="0"/>
        <v>-9414.094720111636</v>
      </c>
      <c r="AI52" s="74">
        <f t="shared" si="0"/>
        <v>-4795.9054820161546</v>
      </c>
      <c r="AJ52" s="74">
        <f t="shared" si="0"/>
        <v>50.78478059254121</v>
      </c>
      <c r="AK52" s="74">
        <f t="shared" si="0"/>
        <v>10350.7558298941</v>
      </c>
      <c r="AL52" s="74">
        <f t="shared" si="0"/>
        <v>10479.351288705715</v>
      </c>
      <c r="AM52" s="74">
        <f t="shared" si="0"/>
        <v>10593.114113856107</v>
      </c>
      <c r="AN52" s="74">
        <f t="shared" si="0"/>
        <v>10684.984739290376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>
        <f t="shared" si="1"/>
        <v>-0.83838119009776979</v>
      </c>
      <c r="Y53" s="107">
        <f t="shared" si="1"/>
        <v>-0.57128460951033366</v>
      </c>
      <c r="Z53" s="107">
        <f t="shared" si="1"/>
        <v>-0.34673424824906413</v>
      </c>
      <c r="AA53" s="107">
        <f t="shared" si="1"/>
        <v>-0.21840658482467659</v>
      </c>
      <c r="AB53" s="107">
        <f t="shared" si="1"/>
        <v>-0.13617029436650616</v>
      </c>
      <c r="AC53" s="107">
        <f t="shared" si="1"/>
        <v>-0.17181330029176542</v>
      </c>
      <c r="AD53" s="107">
        <f t="shared" si="1"/>
        <v>-0.12731383672604091</v>
      </c>
      <c r="AE53" s="107">
        <f t="shared" si="1"/>
        <v>-0.10400407166022237</v>
      </c>
      <c r="AF53" s="107">
        <f t="shared" si="1"/>
        <v>-7.4613026162377347E-2</v>
      </c>
      <c r="AG53" s="107">
        <f t="shared" si="1"/>
        <v>-5.1410417265970371E-2</v>
      </c>
      <c r="AH53" s="107">
        <f t="shared" si="1"/>
        <v>-3.1334178808376495E-2</v>
      </c>
      <c r="AI53" s="107">
        <f t="shared" si="1"/>
        <v>-1.4652202366220201E-2</v>
      </c>
      <c r="AJ53" s="107">
        <f t="shared" si="1"/>
        <v>1.433824757684029E-4</v>
      </c>
      <c r="AK53" s="107">
        <f t="shared" si="1"/>
        <v>2.7162660026918837E-2</v>
      </c>
      <c r="AL53" s="107">
        <f t="shared" si="1"/>
        <v>2.7500122796412192E-2</v>
      </c>
      <c r="AM53" s="107">
        <f t="shared" si="1"/>
        <v>2.779866147262532E-2</v>
      </c>
      <c r="AN53" s="107">
        <f t="shared" si="1"/>
        <v>2.8039750201423685E-2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131140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-31615.276045409337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-33758.412997984517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-35364.057327840514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-37245.28150735762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-32587.012110458159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-39753.58041338039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-22222.82222442688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-26254.016894820637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-30285.211565214398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-32972.674678810239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-37003.869349203997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-41035.064019597761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-45066.258689991526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-49097.453360385276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-258017.11</v>
      </c>
      <c r="W58" s="13">
        <f t="shared" si="2"/>
        <v>-131140</v>
      </c>
      <c r="X58" s="13">
        <f t="shared" si="2"/>
        <v>-165223.2333514943</v>
      </c>
      <c r="Y58" s="13">
        <f t="shared" si="2"/>
        <v>-169717.85264860775</v>
      </c>
      <c r="Z58" s="13">
        <f t="shared" si="2"/>
        <v>-163872.71367193345</v>
      </c>
      <c r="AA58" s="13">
        <f t="shared" si="2"/>
        <v>-189243.08435526839</v>
      </c>
      <c r="AB58" s="13">
        <f t="shared" si="2"/>
        <v>-53932.334624349474</v>
      </c>
      <c r="AC58" s="13">
        <f t="shared" si="2"/>
        <v>-65435.985918606522</v>
      </c>
      <c r="AD58" s="13">
        <f t="shared" si="2"/>
        <v>-62950.124710206364</v>
      </c>
      <c r="AE58" s="13">
        <f t="shared" si="2"/>
        <v>-55448.961577952694</v>
      </c>
      <c r="AF58" s="13">
        <f t="shared" si="2"/>
        <v>-58160.05155912273</v>
      </c>
      <c r="AG58" s="13">
        <f t="shared" si="2"/>
        <v>-36287.020649649072</v>
      </c>
      <c r="AH58" s="13">
        <f t="shared" si="2"/>
        <v>-35668.111614932277</v>
      </c>
      <c r="AI58" s="13">
        <f t="shared" si="2"/>
        <v>-35081.117047230553</v>
      </c>
      <c r="AJ58" s="13">
        <f t="shared" si="2"/>
        <v>-32921.889898217698</v>
      </c>
      <c r="AK58" s="13">
        <f t="shared" si="2"/>
        <v>-26653.113519309896</v>
      </c>
      <c r="AL58" s="13">
        <f t="shared" si="2"/>
        <v>-30555.712730892046</v>
      </c>
      <c r="AM58" s="13">
        <f t="shared" si="2"/>
        <v>-34473.144576135419</v>
      </c>
      <c r="AN58" s="13">
        <f t="shared" si="2"/>
        <v>-38412.4686210949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-258017.11</v>
      </c>
      <c r="W59" s="12">
        <v>-389157.11</v>
      </c>
      <c r="X59" s="12">
        <v>-554380.34335149429</v>
      </c>
      <c r="Y59" s="12">
        <v>-724098.19600010198</v>
      </c>
      <c r="Z59" s="12">
        <v>-887970.90967203537</v>
      </c>
      <c r="AA59" s="12">
        <v>-1077213.9940273038</v>
      </c>
      <c r="AB59" s="12">
        <v>-1131146.3286516531</v>
      </c>
      <c r="AC59" s="12">
        <v>-1196582.3145702598</v>
      </c>
      <c r="AD59" s="12">
        <v>-1259532.4392804662</v>
      </c>
      <c r="AE59" s="12">
        <v>-1314981.4008584188</v>
      </c>
      <c r="AF59" s="12">
        <v>-1373141.4524175415</v>
      </c>
      <c r="AG59" s="12">
        <v>-1409428.4730671905</v>
      </c>
      <c r="AH59" s="12">
        <v>-1445096.5846821228</v>
      </c>
      <c r="AI59" s="12">
        <v>-1480177.7017293533</v>
      </c>
      <c r="AJ59" s="12">
        <v>-1513099.591627571</v>
      </c>
      <c r="AK59" s="12">
        <v>-1539752.7051468808</v>
      </c>
      <c r="AL59" s="12">
        <v>-1570308.4178777728</v>
      </c>
      <c r="AM59" s="12">
        <v>-1604781.5624539081</v>
      </c>
      <c r="AN59" s="12">
        <v>-1643194.0310750031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916.49684352511963</v>
      </c>
      <c r="Y63" s="12">
        <v>2291.242108812799</v>
      </c>
      <c r="Z63" s="12">
        <v>3665.9873741004785</v>
      </c>
      <c r="AA63" s="12">
        <v>5040.7326393881585</v>
      </c>
      <c r="AB63" s="12">
        <v>6415.4779046758376</v>
      </c>
      <c r="AC63" s="12">
        <v>7790.2231699635167</v>
      </c>
      <c r="AD63" s="12">
        <v>9164.9684352511958</v>
      </c>
      <c r="AE63" s="12">
        <v>10081.465278776317</v>
      </c>
      <c r="AF63" s="12">
        <v>11456.210544063997</v>
      </c>
      <c r="AG63" s="12">
        <v>12830.955809351675</v>
      </c>
      <c r="AH63" s="12">
        <v>14205.701074639357</v>
      </c>
      <c r="AI63" s="12">
        <v>15580.446339927033</v>
      </c>
      <c r="AJ63" s="12">
        <v>16955.191605214713</v>
      </c>
      <c r="AK63" s="12">
        <v>18329.936870502392</v>
      </c>
      <c r="AL63" s="12">
        <v>18329.936870502392</v>
      </c>
      <c r="AM63" s="12">
        <v>18329.936870502392</v>
      </c>
      <c r="AN63" s="12">
        <v>18329.936870502392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256.39874258943996</v>
      </c>
      <c r="Y64" s="12">
        <v>640.99685647359991</v>
      </c>
      <c r="Z64" s="12">
        <v>1025.5949703577598</v>
      </c>
      <c r="AA64" s="12">
        <v>1410.1930842419204</v>
      </c>
      <c r="AB64" s="12">
        <v>1794.7911981260802</v>
      </c>
      <c r="AC64" s="12">
        <v>2179.3893120102402</v>
      </c>
      <c r="AD64" s="12">
        <v>2563.9874258943996</v>
      </c>
      <c r="AE64" s="12">
        <v>2820.3861684838407</v>
      </c>
      <c r="AF64" s="12">
        <v>3204.9842823680005</v>
      </c>
      <c r="AG64" s="12">
        <v>3589.5823962521604</v>
      </c>
      <c r="AH64" s="12">
        <v>3974.1805101363202</v>
      </c>
      <c r="AI64" s="12">
        <v>4358.7786240204805</v>
      </c>
      <c r="AJ64" s="12">
        <v>4743.3767379046403</v>
      </c>
      <c r="AK64" s="12">
        <v>5127.9748517887992</v>
      </c>
      <c r="AL64" s="12">
        <v>5127.9748517887992</v>
      </c>
      <c r="AM64" s="12">
        <v>5127.9748517887992</v>
      </c>
      <c r="AN64" s="12">
        <v>5127.9748517887992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875.75412001791983</v>
      </c>
      <c r="Y65" s="12">
        <v>2189.3853000447994</v>
      </c>
      <c r="Z65" s="12">
        <v>3503.0164800716793</v>
      </c>
      <c r="AA65" s="12">
        <v>4816.6476600985588</v>
      </c>
      <c r="AB65" s="12">
        <v>6130.2788401254393</v>
      </c>
      <c r="AC65" s="12">
        <v>7443.9100201523179</v>
      </c>
      <c r="AD65" s="12">
        <v>8757.5412001791974</v>
      </c>
      <c r="AE65" s="12">
        <v>9633.2953201971177</v>
      </c>
      <c r="AF65" s="12">
        <v>10946.926500223999</v>
      </c>
      <c r="AG65" s="12">
        <v>12260.557680250879</v>
      </c>
      <c r="AH65" s="12">
        <v>13574.188860277758</v>
      </c>
      <c r="AI65" s="12">
        <v>14887.820040304636</v>
      </c>
      <c r="AJ65" s="12">
        <v>16201.451220331517</v>
      </c>
      <c r="AK65" s="12">
        <v>17515.082400358395</v>
      </c>
      <c r="AL65" s="12">
        <v>17515.082400358395</v>
      </c>
      <c r="AM65" s="12">
        <v>17515.082400358395</v>
      </c>
      <c r="AN65" s="12">
        <v>17515.082400358395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2048.6497061324794</v>
      </c>
      <c r="Y67" s="13">
        <v>5121.6242653311983</v>
      </c>
      <c r="Z67" s="13">
        <v>8194.5988245299177</v>
      </c>
      <c r="AA67" s="13">
        <v>11267.573383728639</v>
      </c>
      <c r="AB67" s="13">
        <v>14340.547942927358</v>
      </c>
      <c r="AC67" s="13">
        <v>17413.522502126074</v>
      </c>
      <c r="AD67" s="13">
        <v>20486.497061324793</v>
      </c>
      <c r="AE67" s="13">
        <v>22535.146767457278</v>
      </c>
      <c r="AF67" s="13">
        <v>25608.121326655997</v>
      </c>
      <c r="AG67" s="13">
        <v>28681.095885854716</v>
      </c>
      <c r="AH67" s="13">
        <v>31754.070445053436</v>
      </c>
      <c r="AI67" s="13">
        <v>34827.045004252148</v>
      </c>
      <c r="AJ67" s="13">
        <v>37900.019563450871</v>
      </c>
      <c r="AK67" s="13">
        <v>40972.994122649587</v>
      </c>
      <c r="AL67" s="13">
        <v>40972.994122649587</v>
      </c>
      <c r="AM67" s="13">
        <v>40972.994122649587</v>
      </c>
      <c r="AN67" s="13">
        <v>40972.994122649587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461.52787315796917</v>
      </c>
      <c r="Y72" s="12">
        <v>1153.8196828949231</v>
      </c>
      <c r="Z72" s="12">
        <v>1846.1114926318767</v>
      </c>
      <c r="AA72" s="12">
        <v>2538.4033023688321</v>
      </c>
      <c r="AB72" s="12">
        <v>3230.6951121057868</v>
      </c>
      <c r="AC72" s="12">
        <v>4315.2856140270133</v>
      </c>
      <c r="AD72" s="12">
        <v>5076.8066047376651</v>
      </c>
      <c r="AE72" s="12">
        <v>22287.327265211432</v>
      </c>
      <c r="AF72" s="12">
        <v>39751.688255922076</v>
      </c>
      <c r="AG72" s="12">
        <v>40513.20924663273</v>
      </c>
      <c r="AH72" s="12">
        <v>41274.730237343378</v>
      </c>
      <c r="AI72" s="12">
        <v>42036.251228054025</v>
      </c>
      <c r="AJ72" s="12">
        <v>42797.772218764672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1587.1218329745102</v>
      </c>
      <c r="Y75" s="74">
        <v>3967.8045824362753</v>
      </c>
      <c r="Z75" s="74">
        <v>6348.4873318980408</v>
      </c>
      <c r="AA75" s="74">
        <v>8729.1700813598072</v>
      </c>
      <c r="AB75" s="74">
        <v>11109.852830821572</v>
      </c>
      <c r="AC75" s="74">
        <v>13098.236888099062</v>
      </c>
      <c r="AD75" s="74">
        <v>15409.690456587128</v>
      </c>
      <c r="AE75" s="74">
        <v>247.8195022458458</v>
      </c>
      <c r="AF75" s="74">
        <v>-14143.566929266079</v>
      </c>
      <c r="AG75" s="74">
        <v>-11832.113360778014</v>
      </c>
      <c r="AH75" s="74">
        <v>-9520.6597922899418</v>
      </c>
      <c r="AI75" s="74">
        <v>-7209.2062238018771</v>
      </c>
      <c r="AJ75" s="74">
        <v>-4897.7526553138014</v>
      </c>
      <c r="AK75" s="74">
        <v>-2586.2990868257475</v>
      </c>
      <c r="AL75" s="74">
        <v>-2586.2990868257475</v>
      </c>
      <c r="AM75" s="74">
        <v>-2586.2990868257475</v>
      </c>
      <c r="AN75" s="74">
        <v>-2586.2990868257475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4F90-F8DA-49CD-833C-31D7D0EB30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85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2</v>
      </c>
      <c r="AI1" s="69">
        <v>5</v>
      </c>
      <c r="AJ1" s="69">
        <v>8</v>
      </c>
      <c r="AK1" s="69">
        <v>11</v>
      </c>
      <c r="AL1" s="69">
        <v>14</v>
      </c>
      <c r="AM1" s="69">
        <v>17</v>
      </c>
      <c r="AN1" s="69">
        <v>20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3.0238095238095237</v>
      </c>
      <c r="AJ2" s="69">
        <v>3.1904761904761907</v>
      </c>
      <c r="AK2" s="69">
        <v>3.3571428571428572</v>
      </c>
      <c r="AL2" s="69">
        <v>3.5238095238095237</v>
      </c>
      <c r="AM2" s="69">
        <v>3.6904761904761907</v>
      </c>
      <c r="AN2" s="69">
        <v>3.8571428571428572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2</v>
      </c>
      <c r="AI4" s="69">
        <v>8.0238095238095237</v>
      </c>
      <c r="AJ4" s="69">
        <v>11.19047619047619</v>
      </c>
      <c r="AK4" s="69">
        <v>14.357142857142858</v>
      </c>
      <c r="AL4" s="69">
        <v>17.523809523809526</v>
      </c>
      <c r="AM4" s="69">
        <v>20.69047619047619</v>
      </c>
      <c r="AN4" s="69">
        <v>23.857142857142858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4</v>
      </c>
      <c r="AI6" s="66">
        <v>10</v>
      </c>
      <c r="AJ6" s="66">
        <v>13</v>
      </c>
      <c r="AK6" s="66">
        <v>17</v>
      </c>
      <c r="AL6" s="66">
        <v>21</v>
      </c>
      <c r="AM6" s="66">
        <v>24</v>
      </c>
      <c r="AN6" s="66">
        <v>28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1.89</v>
      </c>
      <c r="AI7" s="108">
        <v>4.71</v>
      </c>
      <c r="AJ7" s="108">
        <v>7.5299999999999994</v>
      </c>
      <c r="AK7" s="108">
        <v>10.36</v>
      </c>
      <c r="AL7" s="108">
        <v>13.18</v>
      </c>
      <c r="AM7" s="108">
        <v>16</v>
      </c>
      <c r="AN7" s="108">
        <v>18.830000000000002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0.29000000000000004</v>
      </c>
      <c r="AI8" s="108">
        <v>0.72</v>
      </c>
      <c r="AJ8" s="108">
        <v>1.1499999999999999</v>
      </c>
      <c r="AK8" s="108">
        <v>1.58</v>
      </c>
      <c r="AL8" s="108">
        <v>2</v>
      </c>
      <c r="AM8" s="108">
        <v>2.4299999999999997</v>
      </c>
      <c r="AN8" s="108">
        <v>2.86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0.24000000000000002</v>
      </c>
      <c r="AJ12" s="108">
        <v>0.25</v>
      </c>
      <c r="AK12" s="108">
        <v>0.26</v>
      </c>
      <c r="AL12" s="108">
        <v>0.28000000000000003</v>
      </c>
      <c r="AM12" s="108">
        <v>0.29000000000000004</v>
      </c>
      <c r="AN12" s="108">
        <v>0.3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0.02</v>
      </c>
      <c r="AI13" s="108">
        <v>0.33</v>
      </c>
      <c r="AJ13" s="108">
        <v>0.37</v>
      </c>
      <c r="AK13" s="108">
        <v>0.4</v>
      </c>
      <c r="AL13" s="108">
        <v>0.43</v>
      </c>
      <c r="AM13" s="108">
        <v>0.47000000000000003</v>
      </c>
      <c r="AN13" s="108">
        <v>0.5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0.02</v>
      </c>
      <c r="AI14" s="108">
        <v>0.18000000000000002</v>
      </c>
      <c r="AJ14" s="108">
        <v>0.21000000000000002</v>
      </c>
      <c r="AK14" s="108">
        <v>0.23</v>
      </c>
      <c r="AL14" s="108">
        <v>0.26</v>
      </c>
      <c r="AM14" s="108">
        <v>0.28000000000000003</v>
      </c>
      <c r="AN14" s="108">
        <v>0.31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0.01</v>
      </c>
      <c r="AI15" s="108">
        <v>0.02</v>
      </c>
      <c r="AJ15" s="108">
        <v>0.04</v>
      </c>
      <c r="AK15" s="108">
        <v>0.05</v>
      </c>
      <c r="AL15" s="108">
        <v>6.0000000000000005E-2</v>
      </c>
      <c r="AM15" s="108">
        <v>6.9999999999999993E-2</v>
      </c>
      <c r="AN15" s="108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0.01</v>
      </c>
      <c r="AI16" s="108">
        <v>0.02</v>
      </c>
      <c r="AJ16" s="108">
        <v>0.04</v>
      </c>
      <c r="AK16" s="108">
        <v>0.05</v>
      </c>
      <c r="AL16" s="108">
        <v>6.0000000000000005E-2</v>
      </c>
      <c r="AM16" s="108">
        <v>6.9999999999999993E-2</v>
      </c>
      <c r="AN16" s="108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0.2</v>
      </c>
      <c r="AI17" s="108">
        <v>0.5</v>
      </c>
      <c r="AJ17" s="108">
        <v>0.8</v>
      </c>
      <c r="AK17" s="108">
        <v>1.1000000000000001</v>
      </c>
      <c r="AL17" s="108">
        <v>1.4</v>
      </c>
      <c r="AM17" s="108">
        <v>1.7</v>
      </c>
      <c r="AN17" s="108">
        <v>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2</v>
      </c>
      <c r="AI21" s="120">
        <v>5</v>
      </c>
      <c r="AJ21" s="120">
        <v>9</v>
      </c>
      <c r="AK21" s="120">
        <v>12</v>
      </c>
      <c r="AL21" s="120">
        <v>15</v>
      </c>
      <c r="AM21" s="120">
        <v>18</v>
      </c>
      <c r="AN21" s="120">
        <v>22</v>
      </c>
    </row>
    <row r="22" spans="2:50" x14ac:dyDescent="0.25">
      <c r="B22" s="2" t="s">
        <v>464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95.980542519553097</v>
      </c>
      <c r="AI22" s="78">
        <v>95.980542519553097</v>
      </c>
      <c r="AJ22" s="78">
        <v>95.980542519553097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210.02666666666664</v>
      </c>
      <c r="AI23" s="52">
        <v>525.06666666666661</v>
      </c>
      <c r="AJ23" s="52">
        <v>840.10666666666657</v>
      </c>
      <c r="AK23" s="52">
        <v>1155.1466666666665</v>
      </c>
      <c r="AL23" s="52">
        <v>1470.1866666666665</v>
      </c>
      <c r="AM23" s="52">
        <v>1785.2266666666665</v>
      </c>
      <c r="AN23" s="52">
        <v>2100.2666666666664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15641.71017552</v>
      </c>
      <c r="AI26" s="12">
        <v>39104.275438800003</v>
      </c>
      <c r="AJ26" s="12">
        <v>62566.84070208</v>
      </c>
      <c r="AK26" s="12">
        <v>86029.405965359998</v>
      </c>
      <c r="AL26" s="12">
        <v>109491.97122864</v>
      </c>
      <c r="AM26" s="12">
        <v>132954.53649192001</v>
      </c>
      <c r="AN26" s="12">
        <v>156417.10175520001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1032.5442483199997</v>
      </c>
      <c r="AI27" s="12">
        <v>2581.3606207999992</v>
      </c>
      <c r="AJ27" s="12">
        <v>4130.1769932799989</v>
      </c>
      <c r="AK27" s="12">
        <v>5678.9933657599995</v>
      </c>
      <c r="AL27" s="12">
        <v>7227.8097382399992</v>
      </c>
      <c r="AM27" s="12">
        <v>8776.6261107199989</v>
      </c>
      <c r="AN27" s="12">
        <v>10325.442483199997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4265.9209569599998</v>
      </c>
      <c r="AI28" s="12">
        <v>10664.802392399999</v>
      </c>
      <c r="AJ28" s="12">
        <v>17063.683827839999</v>
      </c>
      <c r="AK28" s="12">
        <v>23462.565263280005</v>
      </c>
      <c r="AL28" s="12">
        <v>29861.446698719999</v>
      </c>
      <c r="AM28" s="12">
        <v>36260.328134159994</v>
      </c>
      <c r="AN28" s="12">
        <v>42659.209569599996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178.96634807999999</v>
      </c>
      <c r="AI29" s="12">
        <v>447.41587020000009</v>
      </c>
      <c r="AJ29" s="12">
        <v>715.86539231999996</v>
      </c>
      <c r="AK29" s="12">
        <v>984.31491443999994</v>
      </c>
      <c r="AL29" s="12">
        <v>1252.7644365599999</v>
      </c>
      <c r="AM29" s="12">
        <v>1521.2139586799999</v>
      </c>
      <c r="AN29" s="12">
        <v>1789.6634808000003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413.77305023999998</v>
      </c>
      <c r="AI30" s="12">
        <v>1034.4326255999999</v>
      </c>
      <c r="AJ30" s="12">
        <v>1655.0922009599999</v>
      </c>
      <c r="AK30" s="12">
        <v>2275.7517763199999</v>
      </c>
      <c r="AL30" s="12">
        <v>2896.4113516799994</v>
      </c>
      <c r="AM30" s="12">
        <v>3517.0709270399998</v>
      </c>
      <c r="AN30" s="12">
        <v>4137.7305023999998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-5684.4774364543991</v>
      </c>
      <c r="AI35" s="12">
        <v>-9560.4020966959979</v>
      </c>
      <c r="AJ35" s="12">
        <v>-13436.3267569376</v>
      </c>
      <c r="AK35" s="12">
        <v>-17312.251417179199</v>
      </c>
      <c r="AL35" s="12">
        <v>-21188.176077420801</v>
      </c>
      <c r="AM35" s="12">
        <v>-25064.1007376624</v>
      </c>
      <c r="AN35" s="12">
        <v>-28940.025397903999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40653.623619012258</v>
      </c>
      <c r="AI37" s="13">
        <v>67528.254754970665</v>
      </c>
      <c r="AJ37" s="13">
        <v>94402.885890929057</v>
      </c>
      <c r="AK37" s="13">
        <v>121277.51702688746</v>
      </c>
      <c r="AL37" s="13">
        <v>148152.14816284587</v>
      </c>
      <c r="AM37" s="13">
        <v>175026.77929880426</v>
      </c>
      <c r="AN37" s="13">
        <v>201901.41043476266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41080.118867140438</v>
      </c>
      <c r="AI40" s="12">
        <v>71586.038615184429</v>
      </c>
      <c r="AJ40" s="12">
        <v>91275.180464561723</v>
      </c>
      <c r="AK40" s="12">
        <v>110647.12274993905</v>
      </c>
      <c r="AL40" s="12">
        <v>130045.61178998304</v>
      </c>
      <c r="AM40" s="12">
        <v>149442.34633002701</v>
      </c>
      <c r="AN40" s="12">
        <v>168878.61560340435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386.30036224000008</v>
      </c>
      <c r="AI44" s="12">
        <v>1016.7717081600003</v>
      </c>
      <c r="AJ44" s="12">
        <v>1060.5038246400002</v>
      </c>
      <c r="AK44" s="12">
        <v>1089.6585689599999</v>
      </c>
      <c r="AL44" s="12">
        <v>1126.1019993600005</v>
      </c>
      <c r="AM44" s="12">
        <v>1158.90108672</v>
      </c>
      <c r="AN44" s="12">
        <v>1191.7001740800001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2777.8679999999999</v>
      </c>
      <c r="AI46" s="12">
        <v>4151.1959999999999</v>
      </c>
      <c r="AJ46" s="12">
        <v>5105.7629999999999</v>
      </c>
      <c r="AK46" s="12">
        <v>6052.527</v>
      </c>
      <c r="AL46" s="12">
        <v>6999.2909999999993</v>
      </c>
      <c r="AM46" s="12">
        <v>7946.0550000000003</v>
      </c>
      <c r="AN46" s="12">
        <v>8895.42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126877.11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3378.4740681147609</v>
      </c>
      <c r="AI49" s="12">
        <f>'Corp.'!AI$50*(AI$37-(AI31-AI32-AI34)*$C$35)/(SUM('MDA1:NCA9'!AI$37)-SUM('MDA1:NCA9'!AI$31)-SUM('MDA1:NCA9'!AI$32)-SUM('MDA1:NCA9'!AI$34))</f>
        <v>5521.6855428610925</v>
      </c>
      <c r="AJ49" s="12">
        <f>'Corp.'!AJ$50*(AJ$37-(AJ31-AJ32-AJ34)*$C$35)/(SUM('MDA1:NCA9'!AJ$37)-SUM('MDA1:NCA9'!AJ$31)-SUM('MDA1:NCA9'!AJ$32)-SUM('MDA1:NCA9'!AJ$34))</f>
        <v>7589.0468203591545</v>
      </c>
      <c r="AK49" s="12">
        <f>'Corp.'!AK$50*(AK$37-(AK31-AK32-AK34)*$C$35)/(SUM('MDA1:NCA9'!AK$37)-SUM('MDA1:NCA9'!AK$31)-SUM('MDA1:NCA9'!AK$32)-SUM('MDA1:NCA9'!AK$34))</f>
        <v>9595.0695704183145</v>
      </c>
      <c r="AL49" s="12">
        <f>'Corp.'!AL$50*(AL$37-(AL31-AL32-AL34)*$C$35)/(SUM('MDA1:NCA9'!AL$37)-SUM('MDA1:NCA9'!AL$31)-SUM('MDA1:NCA9'!AL$32)-SUM('MDA1:NCA9'!AL$34))</f>
        <v>11547.893570935012</v>
      </c>
      <c r="AM49" s="12">
        <f>'Corp.'!AM$50*(AM$37-(AM31-AM32-AM34)*$C$35)/(SUM('MDA1:NCA9'!AM$37)-SUM('MDA1:NCA9'!AM$31)-SUM('MDA1:NCA9'!AM$32)-SUM('MDA1:NCA9'!AM$34))</f>
        <v>13421.784076839807</v>
      </c>
      <c r="AN49" s="12">
        <f>'Corp.'!AN$50*(AN$37-(AN31-AN32-AN34)*$C$35)/(SUM('MDA1:NCA9'!AN$37)-SUM('MDA1:NCA9'!AN$31)-SUM('MDA1:NCA9'!AN$32)-SUM('MDA1:NCA9'!AN$34))</f>
        <v>15265.783053563384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126877.11</v>
      </c>
      <c r="AG50" s="13">
        <v>0</v>
      </c>
      <c r="AH50" s="13">
        <v>79325.431268255212</v>
      </c>
      <c r="AI50" s="13">
        <v>113347.8904910455</v>
      </c>
      <c r="AJ50" s="13">
        <v>136058.96061792088</v>
      </c>
      <c r="AK50" s="13">
        <v>158383.68965335737</v>
      </c>
      <c r="AL50" s="13">
        <v>180681.76669391806</v>
      </c>
      <c r="AM50" s="13">
        <v>202899.15573986681</v>
      </c>
      <c r="AN50" s="13">
        <v>225128.78898996775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-126877.11</v>
      </c>
      <c r="AG52" s="74">
        <f t="shared" si="0"/>
        <v>0</v>
      </c>
      <c r="AH52" s="74">
        <f t="shared" si="0"/>
        <v>-38671.807649242954</v>
      </c>
      <c r="AI52" s="74">
        <f t="shared" si="0"/>
        <v>-45819.635736074837</v>
      </c>
      <c r="AJ52" s="74">
        <f t="shared" si="0"/>
        <v>-41656.074726991821</v>
      </c>
      <c r="AK52" s="74">
        <f t="shared" si="0"/>
        <v>-37106.17262646991</v>
      </c>
      <c r="AL52" s="74">
        <f t="shared" si="0"/>
        <v>-32529.618531072192</v>
      </c>
      <c r="AM52" s="74">
        <f t="shared" si="0"/>
        <v>-27872.376441062544</v>
      </c>
      <c r="AN52" s="74">
        <f t="shared" si="0"/>
        <v>-23227.378555205098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>
        <f t="shared" si="1"/>
        <v>-0.95125118517497964</v>
      </c>
      <c r="AI53" s="107">
        <f t="shared" si="1"/>
        <v>-0.67852539507104781</v>
      </c>
      <c r="AJ53" s="107">
        <f t="shared" si="1"/>
        <v>-0.44125848838053849</v>
      </c>
      <c r="AK53" s="107">
        <f t="shared" si="1"/>
        <v>-0.30596085355411257</v>
      </c>
      <c r="AL53" s="107">
        <f t="shared" si="1"/>
        <v>-0.21956899670004304</v>
      </c>
      <c r="AM53" s="107">
        <f t="shared" si="1"/>
        <v>-0.15924635391638586</v>
      </c>
      <c r="AN53" s="107">
        <f t="shared" si="1"/>
        <v>-0.11504317134381886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-31615.276045409337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-33758.412997984517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-35364.057327840514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-37245.28150735762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-258017.11</v>
      </c>
      <c r="AG58" s="13">
        <f t="shared" si="2"/>
        <v>-131140</v>
      </c>
      <c r="AH58" s="13">
        <f t="shared" si="2"/>
        <v>-169811.80764924295</v>
      </c>
      <c r="AI58" s="13">
        <f t="shared" si="2"/>
        <v>-176959.63573607482</v>
      </c>
      <c r="AJ58" s="13">
        <f t="shared" si="2"/>
        <v>-172796.07472699182</v>
      </c>
      <c r="AK58" s="13">
        <f t="shared" si="2"/>
        <v>-199861.44867187925</v>
      </c>
      <c r="AL58" s="13">
        <f t="shared" si="2"/>
        <v>-66288.031529056709</v>
      </c>
      <c r="AM58" s="13">
        <f t="shared" si="2"/>
        <v>-63236.433768903058</v>
      </c>
      <c r="AN58" s="13">
        <f t="shared" si="2"/>
        <v>-60472.660062562718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-258017.11</v>
      </c>
      <c r="AG59" s="12">
        <v>-389157.11</v>
      </c>
      <c r="AH59" s="12">
        <v>-558968.91764924291</v>
      </c>
      <c r="AI59" s="12">
        <v>-735928.55338531779</v>
      </c>
      <c r="AJ59" s="12">
        <v>-908724.62811230961</v>
      </c>
      <c r="AK59" s="12">
        <v>-1108586.0767841889</v>
      </c>
      <c r="AL59" s="12">
        <v>-1174874.1083132455</v>
      </c>
      <c r="AM59" s="12">
        <v>-1238110.5420821486</v>
      </c>
      <c r="AN59" s="12">
        <v>-1298583.2021447113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916.49684352511963</v>
      </c>
      <c r="AI63" s="12">
        <v>2291.242108812799</v>
      </c>
      <c r="AJ63" s="12">
        <v>3665.9873741004785</v>
      </c>
      <c r="AK63" s="12">
        <v>5040.7326393881585</v>
      </c>
      <c r="AL63" s="12">
        <v>6415.4779046758376</v>
      </c>
      <c r="AM63" s="12">
        <v>7790.2231699635167</v>
      </c>
      <c r="AN63" s="12">
        <v>9164.9684352511958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256.39874258943996</v>
      </c>
      <c r="AI64" s="12">
        <v>640.99685647359991</v>
      </c>
      <c r="AJ64" s="12">
        <v>1025.5949703577598</v>
      </c>
      <c r="AK64" s="12">
        <v>1410.1930842419204</v>
      </c>
      <c r="AL64" s="12">
        <v>1794.7911981260802</v>
      </c>
      <c r="AM64" s="12">
        <v>2179.3893120102402</v>
      </c>
      <c r="AN64" s="12">
        <v>2563.9874258943996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875.75412001791983</v>
      </c>
      <c r="AI65" s="12">
        <v>2189.3853000447994</v>
      </c>
      <c r="AJ65" s="12">
        <v>3503.0164800716793</v>
      </c>
      <c r="AK65" s="12">
        <v>4816.6476600985588</v>
      </c>
      <c r="AL65" s="12">
        <v>6130.2788401254393</v>
      </c>
      <c r="AM65" s="12">
        <v>7443.9100201523179</v>
      </c>
      <c r="AN65" s="12">
        <v>8757.5412001791974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2048.6497061324794</v>
      </c>
      <c r="AI67" s="13">
        <v>5121.6242653311983</v>
      </c>
      <c r="AJ67" s="13">
        <v>8194.5988245299177</v>
      </c>
      <c r="AK67" s="13">
        <v>11267.573383728639</v>
      </c>
      <c r="AL67" s="13">
        <v>14340.547942927358</v>
      </c>
      <c r="AM67" s="13">
        <v>17413.522502126074</v>
      </c>
      <c r="AN67" s="13">
        <v>20486.497061324793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507.6806604737663</v>
      </c>
      <c r="AI72" s="12">
        <v>1269.2016511844163</v>
      </c>
      <c r="AJ72" s="12">
        <v>2030.7226418950652</v>
      </c>
      <c r="AK72" s="12">
        <v>2792.243632605715</v>
      </c>
      <c r="AL72" s="12">
        <v>3553.7646233163646</v>
      </c>
      <c r="AM72" s="12">
        <v>4315.2856140270133</v>
      </c>
      <c r="AN72" s="12">
        <v>5076.8066047376651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1540.9690456587132</v>
      </c>
      <c r="AI75" s="74">
        <v>3852.4226141467821</v>
      </c>
      <c r="AJ75" s="74">
        <v>6163.8761826348527</v>
      </c>
      <c r="AK75" s="74">
        <v>8475.3297511229248</v>
      </c>
      <c r="AL75" s="74">
        <v>10786.783319610993</v>
      </c>
      <c r="AM75" s="74">
        <v>13098.236888099062</v>
      </c>
      <c r="AN75" s="74">
        <v>15409.690456587128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910B1-308F-4B95-BD4D-0633489D771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86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3</v>
      </c>
      <c r="K1" s="69">
        <v>6</v>
      </c>
      <c r="L1" s="69">
        <v>9</v>
      </c>
      <c r="M1" s="69">
        <v>12</v>
      </c>
      <c r="N1" s="69">
        <v>15</v>
      </c>
      <c r="O1" s="69">
        <v>18</v>
      </c>
      <c r="P1" s="69">
        <v>21</v>
      </c>
      <c r="Q1" s="69">
        <v>24</v>
      </c>
      <c r="R1" s="69">
        <v>27</v>
      </c>
      <c r="S1" s="69">
        <v>30</v>
      </c>
      <c r="T1" s="69">
        <v>33</v>
      </c>
      <c r="U1" s="69">
        <v>36</v>
      </c>
      <c r="V1" s="69">
        <v>39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3.1666666666666665</v>
      </c>
      <c r="L2" s="69">
        <v>3.3333333333333335</v>
      </c>
      <c r="M2" s="69">
        <v>3.5</v>
      </c>
      <c r="N2" s="69">
        <v>3.6666666666666665</v>
      </c>
      <c r="O2" s="69">
        <v>3.8333333333333335</v>
      </c>
      <c r="P2" s="69">
        <v>4</v>
      </c>
      <c r="Q2" s="69">
        <v>4.166666666666667</v>
      </c>
      <c r="R2" s="69">
        <v>4.333333333333333</v>
      </c>
      <c r="S2" s="69">
        <v>4.5</v>
      </c>
      <c r="T2" s="69">
        <v>4.666666666666667</v>
      </c>
      <c r="U2" s="69">
        <v>4.833333333333333</v>
      </c>
      <c r="V2" s="69">
        <v>5</v>
      </c>
      <c r="W2" s="69">
        <v>2.1666666666666665</v>
      </c>
      <c r="X2" s="69">
        <v>2.3333333333333335</v>
      </c>
      <c r="Y2" s="69">
        <v>2.5</v>
      </c>
      <c r="Z2" s="69">
        <v>2.6666666666666665</v>
      </c>
      <c r="AA2" s="69">
        <v>2.8333333333333335</v>
      </c>
      <c r="AB2" s="69">
        <v>3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0.16666666666666666</v>
      </c>
      <c r="L3" s="69">
        <v>0.33333333333333331</v>
      </c>
      <c r="M3" s="69">
        <v>0.5</v>
      </c>
      <c r="N3" s="69">
        <v>0.66666666666666663</v>
      </c>
      <c r="O3" s="69">
        <v>0.83333333333333337</v>
      </c>
      <c r="P3" s="69">
        <v>1</v>
      </c>
      <c r="Q3" s="69">
        <v>1.1666666666666667</v>
      </c>
      <c r="R3" s="69">
        <v>1.3333333333333333</v>
      </c>
      <c r="S3" s="69">
        <v>1.5</v>
      </c>
      <c r="T3" s="69">
        <v>1.6666666666666667</v>
      </c>
      <c r="U3" s="69">
        <v>1.8333333333333333</v>
      </c>
      <c r="V3" s="69">
        <v>2</v>
      </c>
      <c r="W3" s="69">
        <v>2.1666666666666665</v>
      </c>
      <c r="X3" s="69">
        <v>2.3333333333333335</v>
      </c>
      <c r="Y3" s="69">
        <v>2.5</v>
      </c>
      <c r="Z3" s="69">
        <v>2.6666666666666665</v>
      </c>
      <c r="AA3" s="69">
        <v>2.8333333333333335</v>
      </c>
      <c r="AB3" s="69">
        <v>3</v>
      </c>
      <c r="AC3" s="69">
        <v>3.1666666666666665</v>
      </c>
      <c r="AD3" s="69">
        <v>3.3333333333333335</v>
      </c>
      <c r="AE3" s="69">
        <v>3.5</v>
      </c>
      <c r="AF3" s="69">
        <v>3.6666666666666665</v>
      </c>
      <c r="AG3" s="69">
        <v>3.8333333333333335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3</v>
      </c>
      <c r="K4" s="69">
        <v>9.1666666666666661</v>
      </c>
      <c r="L4" s="69">
        <v>12.333333333333334</v>
      </c>
      <c r="M4" s="69">
        <v>15.5</v>
      </c>
      <c r="N4" s="69">
        <v>18.666666666666668</v>
      </c>
      <c r="O4" s="69">
        <v>21.833333333333332</v>
      </c>
      <c r="P4" s="69">
        <v>25</v>
      </c>
      <c r="Q4" s="69">
        <v>28.166666666666668</v>
      </c>
      <c r="R4" s="69">
        <v>31.333333333333332</v>
      </c>
      <c r="S4" s="69">
        <v>34.5</v>
      </c>
      <c r="T4" s="69">
        <v>37.666666666666664</v>
      </c>
      <c r="U4" s="69">
        <v>40.833333333333336</v>
      </c>
      <c r="V4" s="69">
        <v>44</v>
      </c>
      <c r="W4" s="69">
        <v>44.166666666666664</v>
      </c>
      <c r="X4" s="69">
        <v>44.333333333333336</v>
      </c>
      <c r="Y4" s="69">
        <v>44.5</v>
      </c>
      <c r="Z4" s="69">
        <v>44.666666666666664</v>
      </c>
      <c r="AA4" s="69">
        <v>44.833333333333336</v>
      </c>
      <c r="AB4" s="69">
        <v>45</v>
      </c>
      <c r="AC4" s="69">
        <v>45.166666666666664</v>
      </c>
      <c r="AD4" s="69">
        <v>45.333333333333336</v>
      </c>
      <c r="AE4" s="69">
        <v>45.5</v>
      </c>
      <c r="AF4" s="69">
        <v>45.666666666666664</v>
      </c>
      <c r="AG4" s="69">
        <v>45.833333333333336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6</v>
      </c>
      <c r="K6" s="66">
        <v>11</v>
      </c>
      <c r="L6" s="66">
        <v>15</v>
      </c>
      <c r="M6" s="66">
        <v>18</v>
      </c>
      <c r="N6" s="66">
        <v>22</v>
      </c>
      <c r="O6" s="66">
        <v>26</v>
      </c>
      <c r="P6" s="66">
        <v>29</v>
      </c>
      <c r="Q6" s="66">
        <v>33</v>
      </c>
      <c r="R6" s="66">
        <v>37</v>
      </c>
      <c r="S6" s="66">
        <v>40</v>
      </c>
      <c r="T6" s="66">
        <v>44</v>
      </c>
      <c r="U6" s="66">
        <v>47</v>
      </c>
      <c r="V6" s="66">
        <v>51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2.8299999999999996</v>
      </c>
      <c r="K7" s="108">
        <v>5.6499999999999995</v>
      </c>
      <c r="L7" s="108">
        <v>8.48</v>
      </c>
      <c r="M7" s="108">
        <v>11.299999999999999</v>
      </c>
      <c r="N7" s="108">
        <v>14.12</v>
      </c>
      <c r="O7" s="108">
        <v>16.950000000000003</v>
      </c>
      <c r="P7" s="108">
        <v>19.770000000000003</v>
      </c>
      <c r="Q7" s="108">
        <v>22.59</v>
      </c>
      <c r="R7" s="108">
        <v>25.42</v>
      </c>
      <c r="S7" s="108">
        <v>28.240000000000002</v>
      </c>
      <c r="T7" s="108">
        <v>31.060000000000002</v>
      </c>
      <c r="U7" s="108">
        <v>33.89</v>
      </c>
      <c r="V7" s="108">
        <v>36.71</v>
      </c>
      <c r="W7" s="108">
        <v>39.53</v>
      </c>
      <c r="X7" s="108">
        <v>39.53</v>
      </c>
      <c r="Y7" s="108">
        <v>39.53</v>
      </c>
      <c r="Z7" s="108">
        <v>39.53</v>
      </c>
      <c r="AA7" s="108">
        <v>39.53</v>
      </c>
      <c r="AB7" s="108">
        <v>39.53</v>
      </c>
      <c r="AC7" s="108">
        <v>39.53</v>
      </c>
      <c r="AD7" s="108">
        <v>39.53</v>
      </c>
      <c r="AE7" s="108">
        <v>39.53</v>
      </c>
      <c r="AF7" s="108">
        <v>39.53</v>
      </c>
      <c r="AG7" s="108">
        <v>39.53</v>
      </c>
      <c r="AH7" s="108">
        <v>39.53</v>
      </c>
      <c r="AI7" s="108">
        <v>39.53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0.43</v>
      </c>
      <c r="K8" s="108">
        <v>0.86</v>
      </c>
      <c r="L8" s="108">
        <v>1.29</v>
      </c>
      <c r="M8" s="108">
        <v>1.72</v>
      </c>
      <c r="N8" s="108">
        <v>2.15</v>
      </c>
      <c r="O8" s="108">
        <v>2.5799999999999996</v>
      </c>
      <c r="P8" s="108">
        <v>3</v>
      </c>
      <c r="Q8" s="108">
        <v>3.4299999999999997</v>
      </c>
      <c r="R8" s="108">
        <v>3.86</v>
      </c>
      <c r="S8" s="108">
        <v>4.29</v>
      </c>
      <c r="T8" s="108">
        <v>4.72</v>
      </c>
      <c r="U8" s="108">
        <v>5.1499999999999995</v>
      </c>
      <c r="V8" s="108">
        <v>5.58</v>
      </c>
      <c r="W8" s="108">
        <v>6</v>
      </c>
      <c r="X8" s="108">
        <v>6</v>
      </c>
      <c r="Y8" s="108">
        <v>6</v>
      </c>
      <c r="Z8" s="108">
        <v>6</v>
      </c>
      <c r="AA8" s="108">
        <v>6</v>
      </c>
      <c r="AB8" s="108">
        <v>6</v>
      </c>
      <c r="AC8" s="108">
        <v>6</v>
      </c>
      <c r="AD8" s="108">
        <v>6</v>
      </c>
      <c r="AE8" s="108">
        <v>6</v>
      </c>
      <c r="AF8" s="108">
        <v>6</v>
      </c>
      <c r="AG8" s="108">
        <v>6</v>
      </c>
      <c r="AH8" s="108">
        <v>6</v>
      </c>
      <c r="AI8" s="108">
        <v>6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0.25</v>
      </c>
      <c r="L12" s="108">
        <v>0.26</v>
      </c>
      <c r="M12" s="108">
        <v>0.27</v>
      </c>
      <c r="N12" s="108">
        <v>0.29000000000000004</v>
      </c>
      <c r="O12" s="108">
        <v>0.3</v>
      </c>
      <c r="P12" s="108">
        <v>0.31</v>
      </c>
      <c r="Q12" s="108">
        <v>0.33</v>
      </c>
      <c r="R12" s="108">
        <v>0.34</v>
      </c>
      <c r="S12" s="108">
        <v>0.35000000000000003</v>
      </c>
      <c r="T12" s="108">
        <v>0.36</v>
      </c>
      <c r="U12" s="108">
        <v>0.38</v>
      </c>
      <c r="V12" s="108">
        <v>0.39</v>
      </c>
      <c r="W12" s="108">
        <v>0.17</v>
      </c>
      <c r="X12" s="108">
        <v>0.18000000000000002</v>
      </c>
      <c r="Y12" s="108">
        <v>0.2</v>
      </c>
      <c r="Z12" s="108">
        <v>0.21000000000000002</v>
      </c>
      <c r="AA12" s="108">
        <v>0.22</v>
      </c>
      <c r="AB12" s="108">
        <v>0.24000000000000002</v>
      </c>
      <c r="AC12" s="108">
        <v>0.25</v>
      </c>
      <c r="AD12" s="108">
        <v>0.26</v>
      </c>
      <c r="AE12" s="108">
        <v>0.27</v>
      </c>
      <c r="AF12" s="108">
        <v>0.29000000000000004</v>
      </c>
      <c r="AG12" s="108">
        <v>0.3</v>
      </c>
      <c r="AH12" s="108">
        <v>0.31</v>
      </c>
      <c r="AI12" s="108">
        <v>0.31</v>
      </c>
      <c r="AJ12" s="108">
        <v>0.31</v>
      </c>
      <c r="AK12" s="108">
        <v>0.31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0.02</v>
      </c>
      <c r="K13" s="108">
        <v>0.35000000000000003</v>
      </c>
      <c r="L13" s="108">
        <v>0.39</v>
      </c>
      <c r="M13" s="108">
        <v>0.42</v>
      </c>
      <c r="N13" s="108">
        <v>0.45</v>
      </c>
      <c r="O13" s="108">
        <v>0.49</v>
      </c>
      <c r="P13" s="108">
        <v>0.52</v>
      </c>
      <c r="Q13" s="108">
        <v>0.55000000000000004</v>
      </c>
      <c r="R13" s="108">
        <v>0.59</v>
      </c>
      <c r="S13" s="108">
        <v>0.62</v>
      </c>
      <c r="T13" s="108">
        <v>0.65</v>
      </c>
      <c r="U13" s="108">
        <v>0.69000000000000006</v>
      </c>
      <c r="V13" s="108">
        <v>0.72</v>
      </c>
      <c r="W13" s="108">
        <v>0.45</v>
      </c>
      <c r="X13" s="108">
        <v>0.47000000000000003</v>
      </c>
      <c r="Y13" s="108">
        <v>0.49</v>
      </c>
      <c r="Z13" s="108">
        <v>0.5</v>
      </c>
      <c r="AA13" s="108">
        <v>0.52</v>
      </c>
      <c r="AB13" s="108">
        <v>0.54</v>
      </c>
      <c r="AC13" s="108">
        <v>0.55000000000000004</v>
      </c>
      <c r="AD13" s="108">
        <v>0.57000000000000006</v>
      </c>
      <c r="AE13" s="108">
        <v>0.59</v>
      </c>
      <c r="AF13" s="108">
        <v>0.6</v>
      </c>
      <c r="AG13" s="108">
        <v>0.62</v>
      </c>
      <c r="AH13" s="108">
        <v>0.64</v>
      </c>
      <c r="AI13" s="108">
        <v>0.64</v>
      </c>
      <c r="AJ13" s="108">
        <v>0.64</v>
      </c>
      <c r="AK13" s="108">
        <v>0.64</v>
      </c>
      <c r="AL13" s="108">
        <v>0.64</v>
      </c>
      <c r="AM13" s="108">
        <v>0.64</v>
      </c>
      <c r="AN13" s="108">
        <v>0.64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0.02</v>
      </c>
      <c r="K14" s="108">
        <v>0.2</v>
      </c>
      <c r="L14" s="108">
        <v>0.22</v>
      </c>
      <c r="M14" s="108">
        <v>0.25</v>
      </c>
      <c r="N14" s="108">
        <v>0.27</v>
      </c>
      <c r="O14" s="108">
        <v>0.3</v>
      </c>
      <c r="P14" s="108">
        <v>0.32</v>
      </c>
      <c r="Q14" s="108">
        <v>0.35000000000000003</v>
      </c>
      <c r="R14" s="108">
        <v>0.37</v>
      </c>
      <c r="S14" s="108">
        <v>0.39</v>
      </c>
      <c r="T14" s="108">
        <v>0.42</v>
      </c>
      <c r="U14" s="108">
        <v>0.44</v>
      </c>
      <c r="V14" s="108">
        <v>0.47000000000000003</v>
      </c>
      <c r="W14" s="108">
        <v>0.34</v>
      </c>
      <c r="X14" s="108">
        <v>0.35000000000000003</v>
      </c>
      <c r="Y14" s="108">
        <v>0.36</v>
      </c>
      <c r="Z14" s="108">
        <v>0.37</v>
      </c>
      <c r="AA14" s="108">
        <v>0.38</v>
      </c>
      <c r="AB14" s="108">
        <v>0.39</v>
      </c>
      <c r="AC14" s="108">
        <v>0.39</v>
      </c>
      <c r="AD14" s="108">
        <v>0.4</v>
      </c>
      <c r="AE14" s="108">
        <v>0.41000000000000003</v>
      </c>
      <c r="AF14" s="108">
        <v>0.42</v>
      </c>
      <c r="AG14" s="108">
        <v>0.43</v>
      </c>
      <c r="AH14" s="108">
        <v>0.44</v>
      </c>
      <c r="AI14" s="108">
        <v>0.44</v>
      </c>
      <c r="AJ14" s="108">
        <v>0.44</v>
      </c>
      <c r="AK14" s="108">
        <v>0.44</v>
      </c>
      <c r="AL14" s="108">
        <v>0.44</v>
      </c>
      <c r="AM14" s="108">
        <v>0.44</v>
      </c>
      <c r="AN14" s="108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0.02</v>
      </c>
      <c r="K15" s="108">
        <v>0.03</v>
      </c>
      <c r="L15" s="108">
        <v>0.04</v>
      </c>
      <c r="M15" s="108">
        <v>0.05</v>
      </c>
      <c r="N15" s="108">
        <v>0.06</v>
      </c>
      <c r="O15" s="108">
        <v>0.08</v>
      </c>
      <c r="P15" s="108">
        <v>0.09</v>
      </c>
      <c r="Q15" s="108">
        <v>9.9999999999999992E-2</v>
      </c>
      <c r="R15" s="108">
        <v>0.11</v>
      </c>
      <c r="S15" s="108">
        <v>0.12</v>
      </c>
      <c r="T15" s="108">
        <v>0.14000000000000001</v>
      </c>
      <c r="U15" s="108">
        <v>0.15000000000000002</v>
      </c>
      <c r="V15" s="108">
        <v>0.16</v>
      </c>
      <c r="W15" s="108">
        <v>0.17</v>
      </c>
      <c r="X15" s="108">
        <v>0.17</v>
      </c>
      <c r="Y15" s="108">
        <v>0.17</v>
      </c>
      <c r="Z15" s="108">
        <v>0.17</v>
      </c>
      <c r="AA15" s="108">
        <v>0.17</v>
      </c>
      <c r="AB15" s="108">
        <v>0.17</v>
      </c>
      <c r="AC15" s="108">
        <v>0.17</v>
      </c>
      <c r="AD15" s="108">
        <v>0.17</v>
      </c>
      <c r="AE15" s="108">
        <v>0.17</v>
      </c>
      <c r="AF15" s="108">
        <v>0.17</v>
      </c>
      <c r="AG15" s="108">
        <v>0.17</v>
      </c>
      <c r="AH15" s="108">
        <v>0.17</v>
      </c>
      <c r="AI15" s="108">
        <v>0.17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0.02</v>
      </c>
      <c r="K16" s="108">
        <v>0.03</v>
      </c>
      <c r="L16" s="108">
        <v>0.04</v>
      </c>
      <c r="M16" s="108">
        <v>0.05</v>
      </c>
      <c r="N16" s="108">
        <v>0.06</v>
      </c>
      <c r="O16" s="108">
        <v>0.08</v>
      </c>
      <c r="P16" s="108">
        <v>0.09</v>
      </c>
      <c r="Q16" s="108">
        <v>9.9999999999999992E-2</v>
      </c>
      <c r="R16" s="108">
        <v>0.11</v>
      </c>
      <c r="S16" s="108">
        <v>0.12</v>
      </c>
      <c r="T16" s="108">
        <v>0.14000000000000001</v>
      </c>
      <c r="U16" s="108">
        <v>0.15000000000000002</v>
      </c>
      <c r="V16" s="108">
        <v>0.16</v>
      </c>
      <c r="W16" s="108">
        <v>0.17</v>
      </c>
      <c r="X16" s="108">
        <v>0.17</v>
      </c>
      <c r="Y16" s="108">
        <v>0.17</v>
      </c>
      <c r="Z16" s="108">
        <v>0.17</v>
      </c>
      <c r="AA16" s="108">
        <v>0.17</v>
      </c>
      <c r="AB16" s="108">
        <v>0.17</v>
      </c>
      <c r="AC16" s="108">
        <v>0.17</v>
      </c>
      <c r="AD16" s="108">
        <v>0.17</v>
      </c>
      <c r="AE16" s="108">
        <v>0.17</v>
      </c>
      <c r="AF16" s="108">
        <v>0.17</v>
      </c>
      <c r="AG16" s="108">
        <v>0.17</v>
      </c>
      <c r="AH16" s="108">
        <v>0.17</v>
      </c>
      <c r="AI16" s="108">
        <v>0.17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0.3</v>
      </c>
      <c r="K17" s="108">
        <v>0.6</v>
      </c>
      <c r="L17" s="108">
        <v>0.9</v>
      </c>
      <c r="M17" s="108">
        <v>1.2</v>
      </c>
      <c r="N17" s="108">
        <v>1.5</v>
      </c>
      <c r="O17" s="108">
        <v>1.8</v>
      </c>
      <c r="P17" s="108">
        <v>2.1</v>
      </c>
      <c r="Q17" s="108">
        <v>2.4</v>
      </c>
      <c r="R17" s="108">
        <v>2.7</v>
      </c>
      <c r="S17" s="108">
        <v>3</v>
      </c>
      <c r="T17" s="108">
        <v>3.3</v>
      </c>
      <c r="U17" s="108">
        <v>3.6</v>
      </c>
      <c r="V17" s="108">
        <v>3.9</v>
      </c>
      <c r="W17" s="108">
        <v>4.2</v>
      </c>
      <c r="X17" s="108">
        <v>4.2</v>
      </c>
      <c r="Y17" s="108">
        <v>4.2</v>
      </c>
      <c r="Z17" s="108">
        <v>4.2</v>
      </c>
      <c r="AA17" s="108">
        <v>4.2</v>
      </c>
      <c r="AB17" s="108">
        <v>4.2</v>
      </c>
      <c r="AC17" s="108">
        <v>4.2</v>
      </c>
      <c r="AD17" s="108">
        <v>4.2</v>
      </c>
      <c r="AE17" s="108">
        <v>4.2</v>
      </c>
      <c r="AF17" s="108">
        <v>4.2</v>
      </c>
      <c r="AG17" s="108">
        <v>4.2</v>
      </c>
      <c r="AH17" s="108">
        <v>4.2</v>
      </c>
      <c r="AI17" s="108">
        <v>4.2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1</v>
      </c>
      <c r="K20" s="108">
        <v>1</v>
      </c>
      <c r="L20" s="108">
        <v>1</v>
      </c>
      <c r="M20" s="108">
        <v>1</v>
      </c>
      <c r="N20" s="108">
        <v>1</v>
      </c>
      <c r="O20" s="108">
        <v>1</v>
      </c>
      <c r="P20" s="108">
        <v>1</v>
      </c>
      <c r="Q20" s="108">
        <v>1</v>
      </c>
      <c r="R20" s="108">
        <v>1</v>
      </c>
      <c r="S20" s="108">
        <v>1</v>
      </c>
      <c r="T20" s="108">
        <v>1</v>
      </c>
      <c r="U20" s="108">
        <v>1</v>
      </c>
      <c r="V20" s="108">
        <v>1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3</v>
      </c>
      <c r="K21" s="120">
        <v>7</v>
      </c>
      <c r="L21" s="120">
        <v>10</v>
      </c>
      <c r="M21" s="120">
        <v>13</v>
      </c>
      <c r="N21" s="120">
        <v>16</v>
      </c>
      <c r="O21" s="120">
        <v>20</v>
      </c>
      <c r="P21" s="120">
        <v>23</v>
      </c>
      <c r="Q21" s="120">
        <v>26</v>
      </c>
      <c r="R21" s="120">
        <v>29</v>
      </c>
      <c r="S21" s="120">
        <v>33</v>
      </c>
      <c r="T21" s="120">
        <v>36</v>
      </c>
      <c r="U21" s="120">
        <v>39</v>
      </c>
      <c r="V21" s="120">
        <v>42</v>
      </c>
      <c r="W21" s="120">
        <v>46</v>
      </c>
      <c r="X21" s="120">
        <v>46</v>
      </c>
      <c r="Y21" s="120">
        <v>46</v>
      </c>
      <c r="Z21" s="120">
        <v>46</v>
      </c>
      <c r="AA21" s="120">
        <v>46</v>
      </c>
      <c r="AB21" s="120">
        <v>46</v>
      </c>
      <c r="AC21" s="120">
        <v>46</v>
      </c>
      <c r="AD21" s="120">
        <v>46</v>
      </c>
      <c r="AE21" s="120">
        <v>46</v>
      </c>
      <c r="AF21" s="120">
        <v>46</v>
      </c>
      <c r="AG21" s="120">
        <v>46</v>
      </c>
      <c r="AH21" s="120">
        <v>46</v>
      </c>
      <c r="AI21" s="120">
        <v>46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91.979665027932953</v>
      </c>
      <c r="K22" s="78">
        <v>91.979665027932953</v>
      </c>
      <c r="L22" s="78">
        <v>91.979665027932953</v>
      </c>
      <c r="M22" s="78">
        <v>91.979665027932953</v>
      </c>
      <c r="N22" s="78">
        <v>91.979665027932995</v>
      </c>
      <c r="O22" s="78">
        <v>91.979665027932953</v>
      </c>
      <c r="P22" s="78">
        <v>91.979665027932967</v>
      </c>
      <c r="Q22" s="78">
        <v>94.739054978770966</v>
      </c>
      <c r="R22" s="78">
        <v>94.739054978770966</v>
      </c>
      <c r="S22" s="78">
        <v>94.739054978770966</v>
      </c>
      <c r="T22" s="78">
        <v>94.739054978770966</v>
      </c>
      <c r="U22" s="78">
        <v>94.739054978770952</v>
      </c>
      <c r="V22" s="78">
        <v>94.739054978770966</v>
      </c>
      <c r="W22" s="78">
        <v>94.739054978770966</v>
      </c>
      <c r="X22" s="78">
        <v>94.739054978770966</v>
      </c>
      <c r="Y22" s="78">
        <v>94.739054978770966</v>
      </c>
      <c r="Z22" s="78">
        <v>94.739054978770966</v>
      </c>
      <c r="AA22" s="78">
        <v>94.739054978770966</v>
      </c>
      <c r="AB22" s="78">
        <v>94.739054978770966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94.739054978770966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315.03999999999996</v>
      </c>
      <c r="K23" s="52">
        <v>630.07999999999993</v>
      </c>
      <c r="L23" s="52">
        <v>945.11999999999989</v>
      </c>
      <c r="M23" s="52">
        <v>1260.1599999999999</v>
      </c>
      <c r="N23" s="52">
        <v>1575.1999999999996</v>
      </c>
      <c r="O23" s="52">
        <v>1890.2399999999998</v>
      </c>
      <c r="P23" s="52">
        <v>2205.2799999999997</v>
      </c>
      <c r="Q23" s="52">
        <v>2520.3199999999997</v>
      </c>
      <c r="R23" s="52">
        <v>2835.3599999999992</v>
      </c>
      <c r="S23" s="52">
        <v>3150.3999999999992</v>
      </c>
      <c r="T23" s="52">
        <v>3465.4399999999996</v>
      </c>
      <c r="U23" s="52">
        <v>3780.4799999999996</v>
      </c>
      <c r="V23" s="52">
        <v>4095.5199999999995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21550.246660799996</v>
      </c>
      <c r="K26" s="12">
        <v>43100.493321599992</v>
      </c>
      <c r="L26" s="12">
        <v>64650.739982399995</v>
      </c>
      <c r="M26" s="12">
        <v>86200.986643199984</v>
      </c>
      <c r="N26" s="12">
        <v>107751.23330399999</v>
      </c>
      <c r="O26" s="12">
        <v>129301.47996479999</v>
      </c>
      <c r="P26" s="12">
        <v>150851.72662559999</v>
      </c>
      <c r="Q26" s="12">
        <v>177574.03248499197</v>
      </c>
      <c r="R26" s="12">
        <v>199770.78654561599</v>
      </c>
      <c r="S26" s="12">
        <v>221967.54060624001</v>
      </c>
      <c r="T26" s="12">
        <v>244164.29466686401</v>
      </c>
      <c r="U26" s="12">
        <v>266361.04872748797</v>
      </c>
      <c r="V26" s="12">
        <v>288557.80278811202</v>
      </c>
      <c r="W26" s="12">
        <v>310754.55684873601</v>
      </c>
      <c r="X26" s="12">
        <v>310754.55684873601</v>
      </c>
      <c r="Y26" s="12">
        <v>310754.55684873601</v>
      </c>
      <c r="Z26" s="12">
        <v>310754.55684873601</v>
      </c>
      <c r="AA26" s="12">
        <v>310754.55684873601</v>
      </c>
      <c r="AB26" s="12">
        <v>310754.55684873601</v>
      </c>
      <c r="AC26" s="12">
        <v>310754.55684873601</v>
      </c>
      <c r="AD26" s="12">
        <v>310754.55684873601</v>
      </c>
      <c r="AE26" s="12">
        <v>310754.55684873601</v>
      </c>
      <c r="AF26" s="12">
        <v>310754.55684873601</v>
      </c>
      <c r="AG26" s="12">
        <v>310754.55684873601</v>
      </c>
      <c r="AH26" s="12">
        <v>310754.55684873601</v>
      </c>
      <c r="AI26" s="12">
        <v>310754.55684873601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4131.8263999999999</v>
      </c>
      <c r="K27" s="12">
        <v>8263.6527999999998</v>
      </c>
      <c r="L27" s="12">
        <v>12395.479199999998</v>
      </c>
      <c r="M27" s="12">
        <v>16527.3056</v>
      </c>
      <c r="N27" s="12">
        <v>20659.131999999998</v>
      </c>
      <c r="O27" s="12">
        <v>24790.958399999996</v>
      </c>
      <c r="P27" s="12">
        <v>28922.784799999998</v>
      </c>
      <c r="Q27" s="12">
        <v>34046.249535999996</v>
      </c>
      <c r="R27" s="12">
        <v>38302.030727999998</v>
      </c>
      <c r="S27" s="12">
        <v>42557.81192</v>
      </c>
      <c r="T27" s="12">
        <v>46813.593112000002</v>
      </c>
      <c r="U27" s="12">
        <v>51069.37430399999</v>
      </c>
      <c r="V27" s="12">
        <v>55325.155495999992</v>
      </c>
      <c r="W27" s="12">
        <v>59580.936688000002</v>
      </c>
      <c r="X27" s="12">
        <v>59580.936688000002</v>
      </c>
      <c r="Y27" s="12">
        <v>59580.936688000002</v>
      </c>
      <c r="Z27" s="12">
        <v>59580.936688000002</v>
      </c>
      <c r="AA27" s="12">
        <v>59580.936688000002</v>
      </c>
      <c r="AB27" s="12">
        <v>59580.936688000002</v>
      </c>
      <c r="AC27" s="12">
        <v>59580.936688000002</v>
      </c>
      <c r="AD27" s="12">
        <v>59580.936688000002</v>
      </c>
      <c r="AE27" s="12">
        <v>59580.936688000002</v>
      </c>
      <c r="AF27" s="12">
        <v>59580.936688000002</v>
      </c>
      <c r="AG27" s="12">
        <v>59580.936688000002</v>
      </c>
      <c r="AH27" s="12">
        <v>59580.936688000002</v>
      </c>
      <c r="AI27" s="12">
        <v>59580.936688000002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4549.9253904000007</v>
      </c>
      <c r="K28" s="12">
        <v>9099.8507808000013</v>
      </c>
      <c r="L28" s="12">
        <v>13649.776171199999</v>
      </c>
      <c r="M28" s="12">
        <v>18199.701561600003</v>
      </c>
      <c r="N28" s="12">
        <v>22749.626952000002</v>
      </c>
      <c r="O28" s="12">
        <v>27299.552342399998</v>
      </c>
      <c r="P28" s="12">
        <v>31849.477732800002</v>
      </c>
      <c r="Q28" s="12">
        <v>37491.385216896007</v>
      </c>
      <c r="R28" s="12">
        <v>42177.808369008009</v>
      </c>
      <c r="S28" s="12">
        <v>46864.231521120004</v>
      </c>
      <c r="T28" s="12">
        <v>51550.654673231998</v>
      </c>
      <c r="U28" s="12">
        <v>56237.077825344</v>
      </c>
      <c r="V28" s="12">
        <v>60923.500977456002</v>
      </c>
      <c r="W28" s="12">
        <v>65609.924129568011</v>
      </c>
      <c r="X28" s="12">
        <v>65609.924129568011</v>
      </c>
      <c r="Y28" s="12">
        <v>65609.924129568011</v>
      </c>
      <c r="Z28" s="12">
        <v>65609.924129568011</v>
      </c>
      <c r="AA28" s="12">
        <v>65609.924129568011</v>
      </c>
      <c r="AB28" s="12">
        <v>65609.924129568011</v>
      </c>
      <c r="AC28" s="12">
        <v>65609.924129568011</v>
      </c>
      <c r="AD28" s="12">
        <v>65609.924129568011</v>
      </c>
      <c r="AE28" s="12">
        <v>65609.924129568011</v>
      </c>
      <c r="AF28" s="12">
        <v>65609.924129568011</v>
      </c>
      <c r="AG28" s="12">
        <v>65609.924129568011</v>
      </c>
      <c r="AH28" s="12">
        <v>65609.924129568011</v>
      </c>
      <c r="AI28" s="12">
        <v>65609.924129568011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257.444568</v>
      </c>
      <c r="K29" s="12">
        <v>514.88913600000001</v>
      </c>
      <c r="L29" s="12">
        <v>772.33370400000001</v>
      </c>
      <c r="M29" s="12">
        <v>1029.778272</v>
      </c>
      <c r="N29" s="12">
        <v>1287.2228399999999</v>
      </c>
      <c r="O29" s="12">
        <v>1544.667408</v>
      </c>
      <c r="P29" s="12">
        <v>1802.1119759999999</v>
      </c>
      <c r="Q29" s="12">
        <v>2121.3432403199999</v>
      </c>
      <c r="R29" s="12">
        <v>2386.5111453600002</v>
      </c>
      <c r="S29" s="12">
        <v>2651.6790504000001</v>
      </c>
      <c r="T29" s="12">
        <v>2916.8469554399999</v>
      </c>
      <c r="U29" s="12">
        <v>3182.0148604800002</v>
      </c>
      <c r="V29" s="12">
        <v>3447.18276552</v>
      </c>
      <c r="W29" s="12">
        <v>3712.3506705599998</v>
      </c>
      <c r="X29" s="12">
        <v>3712.3506705599998</v>
      </c>
      <c r="Y29" s="12">
        <v>3712.3506705599998</v>
      </c>
      <c r="Z29" s="12">
        <v>3712.3506705599998</v>
      </c>
      <c r="AA29" s="12">
        <v>3712.3506705599998</v>
      </c>
      <c r="AB29" s="12">
        <v>3712.3506705599998</v>
      </c>
      <c r="AC29" s="12">
        <v>3712.3506705599998</v>
      </c>
      <c r="AD29" s="12">
        <v>3712.3506705599998</v>
      </c>
      <c r="AE29" s="12">
        <v>3712.3506705599998</v>
      </c>
      <c r="AF29" s="12">
        <v>3712.3506705599998</v>
      </c>
      <c r="AG29" s="12">
        <v>3712.3506705599998</v>
      </c>
      <c r="AH29" s="12">
        <v>3712.3506705599998</v>
      </c>
      <c r="AI29" s="12">
        <v>3712.3506705599998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463.553856</v>
      </c>
      <c r="K30" s="12">
        <v>927.10771199999999</v>
      </c>
      <c r="L30" s="12">
        <v>1390.661568</v>
      </c>
      <c r="M30" s="12">
        <v>1854.215424</v>
      </c>
      <c r="N30" s="12">
        <v>2317.7692800000004</v>
      </c>
      <c r="O30" s="12">
        <v>2781.323136</v>
      </c>
      <c r="P30" s="12">
        <v>3244.876992</v>
      </c>
      <c r="Q30" s="12">
        <v>3819.6837734399996</v>
      </c>
      <c r="R30" s="12">
        <v>4297.1442451199991</v>
      </c>
      <c r="S30" s="12">
        <v>4774.6047168000005</v>
      </c>
      <c r="T30" s="12">
        <v>5252.06518848</v>
      </c>
      <c r="U30" s="12">
        <v>5729.5256601600004</v>
      </c>
      <c r="V30" s="12">
        <v>6206.9861318399999</v>
      </c>
      <c r="W30" s="12">
        <v>6684.4466035200003</v>
      </c>
      <c r="X30" s="12">
        <v>6684.4466035200003</v>
      </c>
      <c r="Y30" s="12">
        <v>6684.4466035200003</v>
      </c>
      <c r="Z30" s="12">
        <v>6684.4466035200003</v>
      </c>
      <c r="AA30" s="12">
        <v>6684.4466035200003</v>
      </c>
      <c r="AB30" s="12">
        <v>6684.4466035200003</v>
      </c>
      <c r="AC30" s="12">
        <v>6684.4466035200003</v>
      </c>
      <c r="AD30" s="12">
        <v>6684.4466035200003</v>
      </c>
      <c r="AE30" s="12">
        <v>6684.4466035200003</v>
      </c>
      <c r="AF30" s="12">
        <v>6684.4466035200003</v>
      </c>
      <c r="AG30" s="12">
        <v>6684.4466035200003</v>
      </c>
      <c r="AH30" s="12">
        <v>6684.4466035200003</v>
      </c>
      <c r="AI30" s="12">
        <v>6684.4466035200003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-6565.7499850239983</v>
      </c>
      <c r="K35" s="12">
        <v>-10280.109610047997</v>
      </c>
      <c r="L35" s="12">
        <v>-13994.469235071998</v>
      </c>
      <c r="M35" s="12">
        <v>-17708.828860095997</v>
      </c>
      <c r="N35" s="12">
        <v>-21423.188485120001</v>
      </c>
      <c r="O35" s="12">
        <v>-25137.548110143995</v>
      </c>
      <c r="P35" s="12">
        <v>-28851.907735167995</v>
      </c>
      <c r="Q35" s="12">
        <v>-33543.255380997762</v>
      </c>
      <c r="R35" s="12">
        <v>-37369.045794772479</v>
      </c>
      <c r="S35" s="12">
        <v>-41194.836208547196</v>
      </c>
      <c r="T35" s="12">
        <v>-45020.626622321928</v>
      </c>
      <c r="U35" s="12">
        <v>-48846.417036096631</v>
      </c>
      <c r="V35" s="12">
        <v>-52672.207449871363</v>
      </c>
      <c r="W35" s="12">
        <v>-56497.997863646087</v>
      </c>
      <c r="X35" s="12">
        <v>-56497.997863646087</v>
      </c>
      <c r="Y35" s="12">
        <v>-56497.997863646087</v>
      </c>
      <c r="Z35" s="12">
        <v>-56497.997863646087</v>
      </c>
      <c r="AA35" s="12">
        <v>-56497.997863646087</v>
      </c>
      <c r="AB35" s="12">
        <v>-56497.997863646087</v>
      </c>
      <c r="AC35" s="12">
        <v>-56497.997863646087</v>
      </c>
      <c r="AD35" s="12">
        <v>-56497.997863646087</v>
      </c>
      <c r="AE35" s="12">
        <v>-56497.997863646087</v>
      </c>
      <c r="AF35" s="12">
        <v>-56497.997863646087</v>
      </c>
      <c r="AG35" s="12">
        <v>-56497.997863646087</v>
      </c>
      <c r="AH35" s="12">
        <v>-56497.997863646087</v>
      </c>
      <c r="AI35" s="12">
        <v>-56497.997863646087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44017.006823509328</v>
      </c>
      <c r="K37" s="13">
        <v>67123.817673685335</v>
      </c>
      <c r="L37" s="13">
        <v>90230.62852386132</v>
      </c>
      <c r="M37" s="13">
        <v>113337.43937403732</v>
      </c>
      <c r="N37" s="13">
        <v>136444.25022421335</v>
      </c>
      <c r="O37" s="13">
        <v>159551.06107438932</v>
      </c>
      <c r="P37" s="13">
        <v>182657.87192456532</v>
      </c>
      <c r="Q37" s="13">
        <v>211937.62325798356</v>
      </c>
      <c r="R37" s="13">
        <v>235737.63843366489</v>
      </c>
      <c r="S37" s="13">
        <v>259537.6536093461</v>
      </c>
      <c r="T37" s="13">
        <v>283337.66878502746</v>
      </c>
      <c r="U37" s="13">
        <v>307137.68396070867</v>
      </c>
      <c r="V37" s="13">
        <v>330937.69913639</v>
      </c>
      <c r="W37" s="13">
        <v>354737.71431207133</v>
      </c>
      <c r="X37" s="13">
        <v>354737.71431207133</v>
      </c>
      <c r="Y37" s="13">
        <v>354737.71431207133</v>
      </c>
      <c r="Z37" s="13">
        <v>354737.71431207133</v>
      </c>
      <c r="AA37" s="13">
        <v>354737.71431207133</v>
      </c>
      <c r="AB37" s="13">
        <v>354737.71431207133</v>
      </c>
      <c r="AC37" s="13">
        <v>354737.71431207133</v>
      </c>
      <c r="AD37" s="13">
        <v>354737.71431207133</v>
      </c>
      <c r="AE37" s="13">
        <v>354737.71431207133</v>
      </c>
      <c r="AF37" s="13">
        <v>354737.71431207133</v>
      </c>
      <c r="AG37" s="13">
        <v>354737.71431207133</v>
      </c>
      <c r="AH37" s="13">
        <v>354737.71431207133</v>
      </c>
      <c r="AI37" s="13">
        <v>354737.71431207133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40072.159524003298</v>
      </c>
      <c r="K40" s="12">
        <v>65384.479048006564</v>
      </c>
      <c r="L40" s="12">
        <v>81299.638572009862</v>
      </c>
      <c r="M40" s="12">
        <v>97182.124762679814</v>
      </c>
      <c r="N40" s="12">
        <v>113103.27762001645</v>
      </c>
      <c r="O40" s="12">
        <v>129260.1038106864</v>
      </c>
      <c r="P40" s="12">
        <v>145000.00666802304</v>
      </c>
      <c r="Q40" s="12">
        <v>177071.75881122897</v>
      </c>
      <c r="R40" s="12">
        <v>194578.43428763261</v>
      </c>
      <c r="S40" s="12">
        <v>211990.68576403626</v>
      </c>
      <c r="T40" s="12">
        <v>229668.77057377316</v>
      </c>
      <c r="U40" s="12">
        <v>247276.46271684344</v>
      </c>
      <c r="V40" s="12">
        <v>264747.19752658036</v>
      </c>
      <c r="W40" s="12">
        <v>277105.95733631734</v>
      </c>
      <c r="X40" s="12">
        <v>277382.42400298396</v>
      </c>
      <c r="Y40" s="12">
        <v>277759.90733631735</v>
      </c>
      <c r="Z40" s="12">
        <v>277977.89066965069</v>
      </c>
      <c r="AA40" s="12">
        <v>278254.35733631731</v>
      </c>
      <c r="AB40" s="12">
        <v>278631.8406696507</v>
      </c>
      <c r="AC40" s="12">
        <v>306670.47473661578</v>
      </c>
      <c r="AD40" s="12">
        <v>306974.58806994918</v>
      </c>
      <c r="AE40" s="12">
        <v>307278.70140328241</v>
      </c>
      <c r="AF40" s="12">
        <v>307629.60140328243</v>
      </c>
      <c r="AG40" s="12">
        <v>307933.71473661577</v>
      </c>
      <c r="AH40" s="12">
        <v>308237.82806994912</v>
      </c>
      <c r="AI40" s="12">
        <v>308237.82806994912</v>
      </c>
      <c r="AJ40" s="12">
        <v>308237.82806994912</v>
      </c>
      <c r="AK40" s="12">
        <v>308237.82806994912</v>
      </c>
      <c r="AL40" s="12">
        <v>308237.82806994912</v>
      </c>
      <c r="AM40" s="12">
        <v>308237.82806994912</v>
      </c>
      <c r="AN40" s="12">
        <v>308237.82806994912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363.89520000000005</v>
      </c>
      <c r="K44" s="12">
        <v>963.64839999999992</v>
      </c>
      <c r="L44" s="12">
        <v>993.97300000000007</v>
      </c>
      <c r="M44" s="12">
        <v>1024.2975999999999</v>
      </c>
      <c r="N44" s="12">
        <v>1054.6222</v>
      </c>
      <c r="O44" s="12">
        <v>1095.0550000000001</v>
      </c>
      <c r="P44" s="12">
        <v>1122.0101999999999</v>
      </c>
      <c r="Q44" s="12">
        <v>1201.932368</v>
      </c>
      <c r="R44" s="12">
        <v>1233.4699519999999</v>
      </c>
      <c r="S44" s="12">
        <v>1261.5033600000002</v>
      </c>
      <c r="T44" s="12">
        <v>1300.0492959999999</v>
      </c>
      <c r="U44" s="12">
        <v>1335.0910559999998</v>
      </c>
      <c r="V44" s="12">
        <v>1366.6286400000004</v>
      </c>
      <c r="W44" s="12">
        <v>1156.37808</v>
      </c>
      <c r="X44" s="12">
        <v>1170.3947840000001</v>
      </c>
      <c r="Y44" s="12">
        <v>1187.9156640000001</v>
      </c>
      <c r="Z44" s="12">
        <v>1198.4281919999999</v>
      </c>
      <c r="AA44" s="12">
        <v>1212.444896</v>
      </c>
      <c r="AB44" s="12">
        <v>1229.965776</v>
      </c>
      <c r="AC44" s="12">
        <v>1286.4530931200002</v>
      </c>
      <c r="AD44" s="12">
        <v>1301.03046528</v>
      </c>
      <c r="AE44" s="12">
        <v>1315.6078374400001</v>
      </c>
      <c r="AF44" s="12">
        <v>1330.1852096000002</v>
      </c>
      <c r="AG44" s="12">
        <v>1344.7625817600001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3533.9999999999991</v>
      </c>
      <c r="K46" s="12">
        <v>5399.4999999999991</v>
      </c>
      <c r="L46" s="12">
        <v>6677</v>
      </c>
      <c r="M46" s="12">
        <v>7950.9999999999991</v>
      </c>
      <c r="N46" s="12">
        <v>9224.9999999999982</v>
      </c>
      <c r="O46" s="12">
        <v>10513</v>
      </c>
      <c r="P46" s="12">
        <v>11780.000000000002</v>
      </c>
      <c r="Q46" s="12">
        <v>13318.650000000001</v>
      </c>
      <c r="R46" s="12">
        <v>14621.7</v>
      </c>
      <c r="S46" s="12">
        <v>15917.609999999999</v>
      </c>
      <c r="T46" s="12">
        <v>17224.23</v>
      </c>
      <c r="U46" s="12">
        <v>18530.849999999999</v>
      </c>
      <c r="V46" s="12">
        <v>19830.329999999998</v>
      </c>
      <c r="W46" s="12">
        <v>20879.910000000007</v>
      </c>
      <c r="X46" s="12">
        <v>20894.190000000002</v>
      </c>
      <c r="Y46" s="12">
        <v>20912.040000000005</v>
      </c>
      <c r="Z46" s="12">
        <v>20922.750000000004</v>
      </c>
      <c r="AA46" s="12">
        <v>20937.030000000006</v>
      </c>
      <c r="AB46" s="12">
        <v>20954.880000000005</v>
      </c>
      <c r="AC46" s="12">
        <v>21381.260400000003</v>
      </c>
      <c r="AD46" s="12">
        <v>21395.826000000001</v>
      </c>
      <c r="AE46" s="12">
        <v>21410.391600000003</v>
      </c>
      <c r="AF46" s="12">
        <v>21424.957200000004</v>
      </c>
      <c r="AG46" s="12">
        <v>21439.522800000002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104139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7081.4134721358305</v>
      </c>
      <c r="K49" s="12">
        <f>'Corp.'!K$50*(K$37-(K31-K32-K34)*$C$35)/(SUM('MDA1:NCA9'!K$37)-SUM('MDA1:NCA9'!K$31)-SUM('MDA1:NCA9'!K$32)-SUM('MDA1:NCA9'!K$34))</f>
        <v>9944.1675132232285</v>
      </c>
      <c r="L49" s="12">
        <f>'Corp.'!L$50*(L$37-(L31-L32-L34)*$C$35)/(SUM('MDA1:NCA9'!L$37)-SUM('MDA1:NCA9'!L$31)-SUM('MDA1:NCA9'!L$32)-SUM('MDA1:NCA9'!L$34))</f>
        <v>12652.950922487178</v>
      </c>
      <c r="M49" s="12">
        <f>'Corp.'!M$50*(M$37-(M31-M32-M34)*$C$35)/(SUM('MDA1:NCA9'!M$37)-SUM('MDA1:NCA9'!M$31)-SUM('MDA1:NCA9'!M$32)-SUM('MDA1:NCA9'!M$34))</f>
        <v>14927.740877084378</v>
      </c>
      <c r="N49" s="12">
        <f>'Corp.'!N$50*(N$37-(N31-N32-N34)*$C$35)/(SUM('MDA1:NCA9'!N$37)-SUM('MDA1:NCA9'!N$31)-SUM('MDA1:NCA9'!N$32)-SUM('MDA1:NCA9'!N$34))</f>
        <v>16973.672461848837</v>
      </c>
      <c r="O49" s="12">
        <f>'Corp.'!O$50*(O$37-(O31-O32-O34)*$C$35)/(SUM('MDA1:NCA9'!O$37)-SUM('MDA1:NCA9'!O$31)-SUM('MDA1:NCA9'!O$32)-SUM('MDA1:NCA9'!O$34))</f>
        <v>18624.44890012118</v>
      </c>
      <c r="P49" s="12">
        <f>'Corp.'!P$50*(P$37-(P31-P32-P34)*$C$35)/(SUM('MDA1:NCA9'!P$37)-SUM('MDA1:NCA9'!P$31)-SUM('MDA1:NCA9'!P$32)-SUM('MDA1:NCA9'!P$34))</f>
        <v>20174.121166516903</v>
      </c>
      <c r="Q49" s="12">
        <f>'Corp.'!Q$50*(Q$37-(Q31-Q32-Q34)*$C$35)/(SUM('MDA1:NCA9'!Q$37)-SUM('MDA1:NCA9'!Q$31)-SUM('MDA1:NCA9'!Q$32)-SUM('MDA1:NCA9'!Q$34))</f>
        <v>23754.843167869072</v>
      </c>
      <c r="R49" s="12">
        <f>'Corp.'!R$50*(R$37-(R31-R32-R34)*$C$35)/(SUM('MDA1:NCA9'!R$37)-SUM('MDA1:NCA9'!R$31)-SUM('MDA1:NCA9'!R$32)-SUM('MDA1:NCA9'!R$34))</f>
        <v>25472.197544605846</v>
      </c>
      <c r="S49" s="12">
        <f>'Corp.'!S$50*(S$37-(S31-S32-S34)*$C$35)/(SUM('MDA1:NCA9'!S$37)-SUM('MDA1:NCA9'!S$31)-SUM('MDA1:NCA9'!S$32)-SUM('MDA1:NCA9'!S$34))</f>
        <v>26885.773181552453</v>
      </c>
      <c r="T49" s="12">
        <f>'Corp.'!T$50*(T$37-(T31-T32-T34)*$C$35)/(SUM('MDA1:NCA9'!T$37)-SUM('MDA1:NCA9'!T$31)-SUM('MDA1:NCA9'!T$32)-SUM('MDA1:NCA9'!T$34))</f>
        <v>28285.176758927191</v>
      </c>
      <c r="U49" s="12">
        <f>'Corp.'!U$50*(U$37-(U31-U32-U34)*$C$35)/(SUM('MDA1:NCA9'!U$37)-SUM('MDA1:NCA9'!U$31)-SUM('MDA1:NCA9'!U$32)-SUM('MDA1:NCA9'!U$34))</f>
        <v>29872.533119163676</v>
      </c>
      <c r="V49" s="12">
        <f>'Corp.'!V$50*(V$37-(V31-V32-V34)*$C$35)/(SUM('MDA1:NCA9'!V$37)-SUM('MDA1:NCA9'!V$31)-SUM('MDA1:NCA9'!V$32)-SUM('MDA1:NCA9'!V$34))</f>
        <v>31497.814865352135</v>
      </c>
      <c r="W49" s="12">
        <f>'Corp.'!W$50*(W$37-(W31-W32-W34)*$C$35)/(SUM('MDA1:NCA9'!W$37)-SUM('MDA1:NCA9'!W$31)-SUM('MDA1:NCA9'!W$32)-SUM('MDA1:NCA9'!W$34))</f>
        <v>32791.283440312131</v>
      </c>
      <c r="X49" s="12">
        <f>'Corp.'!X$50*(X$37-(X31-X32-X34)*$C$35)/(SUM('MDA1:NCA9'!X$37)-SUM('MDA1:NCA9'!X$31)-SUM('MDA1:NCA9'!X$32)-SUM('MDA1:NCA9'!X$34))</f>
        <v>31816.685292348586</v>
      </c>
      <c r="Y49" s="12">
        <f>'Corp.'!Y$50*(Y$37-(Y31-Y32-Y34)*$C$35)/(SUM('MDA1:NCA9'!Y$37)-SUM('MDA1:NCA9'!Y$31)-SUM('MDA1:NCA9'!Y$32)-SUM('MDA1:NCA9'!Y$34))</f>
        <v>31185.205245926463</v>
      </c>
      <c r="Z49" s="12">
        <f>'Corp.'!Z$50*(Z$37-(Z31-Z32-Z34)*$C$35)/(SUM('MDA1:NCA9'!Z$37)-SUM('MDA1:NCA9'!Z$31)-SUM('MDA1:NCA9'!Z$32)-SUM('MDA1:NCA9'!Z$34))</f>
        <v>30553.375638958772</v>
      </c>
      <c r="AA49" s="12">
        <f>'Corp.'!AA$50*(AA$37-(AA31-AA32-AA34)*$C$35)/(SUM('MDA1:NCA9'!AA$37)-SUM('MDA1:NCA9'!AA$31)-SUM('MDA1:NCA9'!AA$32)-SUM('MDA1:NCA9'!AA$34))</f>
        <v>29898.089265513565</v>
      </c>
      <c r="AB49" s="12">
        <f>'Corp.'!AB$50*(AB$37-(AB31-AB32-AB34)*$C$35)/(SUM('MDA1:NCA9'!AB$37)-SUM('MDA1:NCA9'!AB$31)-SUM('MDA1:NCA9'!AB$32)-SUM('MDA1:NCA9'!AB$34))</f>
        <v>29257.583987054953</v>
      </c>
      <c r="AC49" s="12">
        <f>'Corp.'!AC$50*(AC$37-(AC31-AC32-AC34)*$C$35)/(SUM('MDA1:NCA9'!AC$37)-SUM('MDA1:NCA9'!AC$31)-SUM('MDA1:NCA9'!AC$32)-SUM('MDA1:NCA9'!AC$34))</f>
        <v>31660.738600714063</v>
      </c>
      <c r="AD49" s="12">
        <f>'Corp.'!AD$50*(AD$37-(AD31-AD32-AD34)*$C$35)/(SUM('MDA1:NCA9'!AD$37)-SUM('MDA1:NCA9'!AD$31)-SUM('MDA1:NCA9'!AD$32)-SUM('MDA1:NCA9'!AD$34))</f>
        <v>31174.616960057556</v>
      </c>
      <c r="AE49" s="12">
        <f>'Corp.'!AE$50*(AE$37-(AE31-AE32-AE34)*$C$35)/(SUM('MDA1:NCA9'!AE$37)-SUM('MDA1:NCA9'!AE$31)-SUM('MDA1:NCA9'!AE$32)-SUM('MDA1:NCA9'!AE$34))</f>
        <v>30714.398859502242</v>
      </c>
      <c r="AF49" s="12">
        <f>'Corp.'!AF$50*(AF$37-(AF31-AF32-AF34)*$C$35)/(SUM('MDA1:NCA9'!AF$37)-SUM('MDA1:NCA9'!AF$31)-SUM('MDA1:NCA9'!AF$32)-SUM('MDA1:NCA9'!AF$34))</f>
        <v>30281.628222415649</v>
      </c>
      <c r="AG49" s="12">
        <f>'Corp.'!AG$50*(AG$37-(AG31-AG32-AG34)*$C$35)/(SUM('MDA1:NCA9'!AG$37)-SUM('MDA1:NCA9'!AG$31)-SUM('MDA1:NCA9'!AG$32)-SUM('MDA1:NCA9'!AG$34))</f>
        <v>29936.988272244031</v>
      </c>
      <c r="AH49" s="12">
        <f>'Corp.'!AH$50*(AH$37-(AH31-AH32-AH34)*$C$35)/(SUM('MDA1:NCA9'!AH$37)-SUM('MDA1:NCA9'!AH$31)-SUM('MDA1:NCA9'!AH$32)-SUM('MDA1:NCA9'!AH$34))</f>
        <v>29480.082268119208</v>
      </c>
      <c r="AI49" s="12">
        <f>'Corp.'!AI$50*(AI$37-(AI31-AI32-AI34)*$C$35)/(SUM('MDA1:NCA9'!AI$37)-SUM('MDA1:NCA9'!AI$31)-SUM('MDA1:NCA9'!AI$32)-SUM('MDA1:NCA9'!AI$34))</f>
        <v>29006.378377939222</v>
      </c>
      <c r="AJ49" s="12">
        <f>'Corp.'!AJ$50*(AJ$37-(AJ31-AJ32-AJ34)*$C$35)/(SUM('MDA1:NCA9'!AJ$37)-SUM('MDA1:NCA9'!AJ$31)-SUM('MDA1:NCA9'!AJ$32)-SUM('MDA1:NCA9'!AJ$34))</f>
        <v>28517.360432941787</v>
      </c>
      <c r="AK49" s="12">
        <f>'Corp.'!AK$50*(AK$37-(AK31-AK32-AK34)*$C$35)/(SUM('MDA1:NCA9'!AK$37)-SUM('MDA1:NCA9'!AK$31)-SUM('MDA1:NCA9'!AK$32)-SUM('MDA1:NCA9'!AK$34))</f>
        <v>28065.655791096771</v>
      </c>
      <c r="AL49" s="12">
        <f>'Corp.'!AL$50*(AL$37-(AL31-AL32-AL34)*$C$35)/(SUM('MDA1:NCA9'!AL$37)-SUM('MDA1:NCA9'!AL$31)-SUM('MDA1:NCA9'!AL$32)-SUM('MDA1:NCA9'!AL$34))</f>
        <v>27650.448685832002</v>
      </c>
      <c r="AM49" s="12">
        <f>'Corp.'!AM$50*(AM$37-(AM31-AM32-AM34)*$C$35)/(SUM('MDA1:NCA9'!AM$37)-SUM('MDA1:NCA9'!AM$31)-SUM('MDA1:NCA9'!AM$32)-SUM('MDA1:NCA9'!AM$34))</f>
        <v>27202.768767629575</v>
      </c>
      <c r="AN49" s="12">
        <f>'Corp.'!AN$50*(AN$37-(AN31-AN32-AN34)*$C$35)/(SUM('MDA1:NCA9'!AN$37)-SUM('MDA1:NCA9'!AN$31)-SUM('MDA1:NCA9'!AN$32)-SUM('MDA1:NCA9'!AN$34))</f>
        <v>26821.749169279861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104139</v>
      </c>
      <c r="I50" s="13">
        <v>0</v>
      </c>
      <c r="J50" s="13">
        <v>73750.572996139133</v>
      </c>
      <c r="K50" s="13">
        <v>103791.14656122979</v>
      </c>
      <c r="L50" s="13">
        <v>123692.58949449704</v>
      </c>
      <c r="M50" s="13">
        <v>143123.8656397642</v>
      </c>
      <c r="N50" s="13">
        <v>162364.9500818653</v>
      </c>
      <c r="O50" s="13">
        <v>181460.55271080756</v>
      </c>
      <c r="P50" s="13">
        <v>200017.12783453995</v>
      </c>
      <c r="Q50" s="13">
        <v>237991.14197909806</v>
      </c>
      <c r="R50" s="13">
        <v>258518.22183223849</v>
      </c>
      <c r="S50" s="13">
        <v>278639.95894558873</v>
      </c>
      <c r="T50" s="13">
        <v>299024.06733270036</v>
      </c>
      <c r="U50" s="13">
        <v>319525.73583600711</v>
      </c>
      <c r="V50" s="13">
        <v>339921.23239193251</v>
      </c>
      <c r="W50" s="13">
        <v>354623.04077662952</v>
      </c>
      <c r="X50" s="13">
        <v>353939.18929533253</v>
      </c>
      <c r="Y50" s="13">
        <v>353703.0425822438</v>
      </c>
      <c r="Z50" s="13">
        <v>353299.90630860947</v>
      </c>
      <c r="AA50" s="13">
        <v>352935.36660183093</v>
      </c>
      <c r="AB50" s="13">
        <v>352690.19465670566</v>
      </c>
      <c r="AC50" s="13">
        <v>384370.5304373299</v>
      </c>
      <c r="AD50" s="13">
        <v>384203.08773000678</v>
      </c>
      <c r="AE50" s="13">
        <v>384061.54856278462</v>
      </c>
      <c r="AF50" s="13">
        <v>383994.24352569808</v>
      </c>
      <c r="AG50" s="13">
        <v>383968.28250885982</v>
      </c>
      <c r="AH50" s="13">
        <v>383830.05543806835</v>
      </c>
      <c r="AI50" s="13">
        <v>383356.35154788836</v>
      </c>
      <c r="AJ50" s="13">
        <v>382867.33360289095</v>
      </c>
      <c r="AK50" s="13">
        <v>382415.62896104594</v>
      </c>
      <c r="AL50" s="13">
        <v>382000.42185578111</v>
      </c>
      <c r="AM50" s="13">
        <v>381552.74193757871</v>
      </c>
      <c r="AN50" s="13">
        <v>381171.72233922902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-104139</v>
      </c>
      <c r="I52" s="74">
        <f t="shared" si="0"/>
        <v>0</v>
      </c>
      <c r="J52" s="74">
        <f t="shared" si="0"/>
        <v>-29733.566172629806</v>
      </c>
      <c r="K52" s="74">
        <f t="shared" si="0"/>
        <v>-36667.328887544456</v>
      </c>
      <c r="L52" s="74">
        <f t="shared" si="0"/>
        <v>-33461.960970635715</v>
      </c>
      <c r="M52" s="74">
        <f t="shared" si="0"/>
        <v>-29786.426265726885</v>
      </c>
      <c r="N52" s="74">
        <f t="shared" si="0"/>
        <v>-25920.699857651955</v>
      </c>
      <c r="O52" s="74">
        <f t="shared" si="0"/>
        <v>-21909.491636418243</v>
      </c>
      <c r="P52" s="74">
        <f t="shared" si="0"/>
        <v>-17359.255909974629</v>
      </c>
      <c r="Q52" s="74">
        <f t="shared" si="0"/>
        <v>-26053.518721114495</v>
      </c>
      <c r="R52" s="74">
        <f t="shared" si="0"/>
        <v>-22780.583398573595</v>
      </c>
      <c r="S52" s="74">
        <f t="shared" si="0"/>
        <v>-19102.305336242629</v>
      </c>
      <c r="T52" s="74">
        <f t="shared" si="0"/>
        <v>-15686.398547672899</v>
      </c>
      <c r="U52" s="74">
        <f t="shared" si="0"/>
        <v>-12388.051875298435</v>
      </c>
      <c r="V52" s="74">
        <f t="shared" si="0"/>
        <v>-8983.5332555425121</v>
      </c>
      <c r="W52" s="74">
        <f t="shared" si="0"/>
        <v>114.67353544180514</v>
      </c>
      <c r="X52" s="74">
        <f t="shared" si="0"/>
        <v>798.52501673880033</v>
      </c>
      <c r="Y52" s="74">
        <f t="shared" si="0"/>
        <v>1034.6717298275325</v>
      </c>
      <c r="Z52" s="74">
        <f t="shared" si="0"/>
        <v>1437.8080034618615</v>
      </c>
      <c r="AA52" s="74">
        <f t="shared" si="0"/>
        <v>1802.3477102403995</v>
      </c>
      <c r="AB52" s="74">
        <f t="shared" si="0"/>
        <v>2047.5196553656715</v>
      </c>
      <c r="AC52" s="74">
        <f t="shared" si="0"/>
        <v>-29632.816125258571</v>
      </c>
      <c r="AD52" s="74">
        <f t="shared" si="0"/>
        <v>-29465.373417935451</v>
      </c>
      <c r="AE52" s="74">
        <f t="shared" si="0"/>
        <v>-29323.834250713291</v>
      </c>
      <c r="AF52" s="74">
        <f t="shared" si="0"/>
        <v>-29256.529213626753</v>
      </c>
      <c r="AG52" s="74">
        <f t="shared" si="0"/>
        <v>-29230.568196788488</v>
      </c>
      <c r="AH52" s="74">
        <f t="shared" si="0"/>
        <v>-29092.341125997016</v>
      </c>
      <c r="AI52" s="74">
        <f t="shared" si="0"/>
        <v>-28618.637235817034</v>
      </c>
      <c r="AJ52" s="74">
        <f t="shared" si="0"/>
        <v>-28129.619290819624</v>
      </c>
      <c r="AK52" s="74">
        <f t="shared" si="0"/>
        <v>-27677.914648974605</v>
      </c>
      <c r="AL52" s="74">
        <f t="shared" si="0"/>
        <v>-27262.707543709781</v>
      </c>
      <c r="AM52" s="74">
        <f t="shared" si="0"/>
        <v>-26815.027625507384</v>
      </c>
      <c r="AN52" s="74">
        <f t="shared" si="0"/>
        <v>-26434.008027157688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>
        <f t="shared" si="1"/>
        <v>-0.67550177348154472</v>
      </c>
      <c r="K53" s="107">
        <f t="shared" si="1"/>
        <v>-0.54626405586461768</v>
      </c>
      <c r="L53" s="107">
        <f t="shared" si="1"/>
        <v>-0.3708492506154577</v>
      </c>
      <c r="M53" s="107">
        <f t="shared" si="1"/>
        <v>-0.26281188661255556</v>
      </c>
      <c r="N53" s="107">
        <f t="shared" si="1"/>
        <v>-0.18997282637456331</v>
      </c>
      <c r="O53" s="107">
        <f t="shared" si="1"/>
        <v>-0.13731962350412155</v>
      </c>
      <c r="P53" s="107">
        <f t="shared" si="1"/>
        <v>-9.5036998554016414E-2</v>
      </c>
      <c r="Q53" s="107">
        <f t="shared" si="1"/>
        <v>-0.12293012595220312</v>
      </c>
      <c r="R53" s="107">
        <f t="shared" si="1"/>
        <v>-9.6635325397916513E-2</v>
      </c>
      <c r="S53" s="107">
        <f t="shared" si="1"/>
        <v>-7.3601287021709996E-2</v>
      </c>
      <c r="T53" s="107">
        <f t="shared" si="1"/>
        <v>-5.5362912439201314E-2</v>
      </c>
      <c r="U53" s="107">
        <f t="shared" si="1"/>
        <v>-4.0333871492249734E-2</v>
      </c>
      <c r="V53" s="107">
        <f t="shared" si="1"/>
        <v>-2.7145693219557048E-2</v>
      </c>
      <c r="W53" s="107">
        <f t="shared" si="1"/>
        <v>3.2326288075737014E-4</v>
      </c>
      <c r="X53" s="107">
        <f t="shared" si="1"/>
        <v>2.2510293789521308E-3</v>
      </c>
      <c r="Y53" s="107">
        <f t="shared" si="1"/>
        <v>2.9167232241827743E-3</v>
      </c>
      <c r="Z53" s="107">
        <f t="shared" si="1"/>
        <v>4.0531579966064371E-3</v>
      </c>
      <c r="AA53" s="107">
        <f t="shared" si="1"/>
        <v>5.0807896581721518E-3</v>
      </c>
      <c r="AB53" s="107">
        <f t="shared" si="1"/>
        <v>5.7719254896151781E-3</v>
      </c>
      <c r="AC53" s="107">
        <f t="shared" si="1"/>
        <v>-8.3534439473751207E-2</v>
      </c>
      <c r="AD53" s="107">
        <f t="shared" si="1"/>
        <v>-8.3062421132967135E-2</v>
      </c>
      <c r="AE53" s="107">
        <f t="shared" si="1"/>
        <v>-8.266342446159082E-2</v>
      </c>
      <c r="AF53" s="107">
        <f t="shared" si="1"/>
        <v>-8.2473692627700351E-2</v>
      </c>
      <c r="AG53" s="107">
        <f t="shared" si="1"/>
        <v>-8.2400508932280181E-2</v>
      </c>
      <c r="AH53" s="107">
        <f t="shared" si="1"/>
        <v>-8.2010849008300774E-2</v>
      </c>
      <c r="AI53" s="107">
        <f t="shared" si="1"/>
        <v>-8.0675485242148598E-2</v>
      </c>
      <c r="AJ53" s="107">
        <f t="shared" si="1"/>
        <v>-7.9296951397937118E-2</v>
      </c>
      <c r="AK53" s="107">
        <f t="shared" si="1"/>
        <v>-7.8023603164521935E-2</v>
      </c>
      <c r="AL53" s="107">
        <f t="shared" si="1"/>
        <v>-7.6853140908852216E-2</v>
      </c>
      <c r="AM53" s="107">
        <f t="shared" si="1"/>
        <v>-7.559113830766119E-2</v>
      </c>
      <c r="AN53" s="107">
        <f t="shared" si="1"/>
        <v>-7.4517050092686374E-2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131140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-28179.749709263793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-29841.158766312979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-31040.431606358601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-32657.908365870921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-38781.631678150086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-37263.112710168367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-20466.637533632002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-23932.659161158397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-27398.680788684796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-235279</v>
      </c>
      <c r="I58" s="13">
        <f t="shared" si="2"/>
        <v>-131140</v>
      </c>
      <c r="J58" s="13">
        <f t="shared" si="2"/>
        <v>-160873.5661726298</v>
      </c>
      <c r="K58" s="13">
        <f t="shared" si="2"/>
        <v>-167807.32888754446</v>
      </c>
      <c r="L58" s="13">
        <f t="shared" si="2"/>
        <v>-164601.9609706357</v>
      </c>
      <c r="M58" s="13">
        <f t="shared" si="2"/>
        <v>-189106.17597499068</v>
      </c>
      <c r="N58" s="13">
        <f t="shared" si="2"/>
        <v>-55761.85862396493</v>
      </c>
      <c r="O58" s="13">
        <f t="shared" si="2"/>
        <v>-52949.923242776844</v>
      </c>
      <c r="P58" s="13">
        <f t="shared" si="2"/>
        <v>-50017.164275845549</v>
      </c>
      <c r="Q58" s="13">
        <f t="shared" si="2"/>
        <v>-64835.150399264581</v>
      </c>
      <c r="R58" s="13">
        <f t="shared" si="2"/>
        <v>-60043.696108741962</v>
      </c>
      <c r="S58" s="13">
        <f t="shared" si="2"/>
        <v>-39568.942869874634</v>
      </c>
      <c r="T58" s="13">
        <f t="shared" si="2"/>
        <v>-39619.0577088313</v>
      </c>
      <c r="U58" s="13">
        <f t="shared" si="2"/>
        <v>-39786.732663983232</v>
      </c>
      <c r="V58" s="13">
        <f t="shared" si="2"/>
        <v>-40774.176744240045</v>
      </c>
      <c r="W58" s="13">
        <f t="shared" si="2"/>
        <v>-35245.972229607927</v>
      </c>
      <c r="X58" s="13">
        <f t="shared" si="2"/>
        <v>-38132.123024663117</v>
      </c>
      <c r="Y58" s="13">
        <f t="shared" si="2"/>
        <v>-41465.978587926584</v>
      </c>
      <c r="Z58" s="13">
        <f t="shared" si="2"/>
        <v>-44632.844590644439</v>
      </c>
      <c r="AA58" s="13">
        <f t="shared" si="2"/>
        <v>-47838.307160218101</v>
      </c>
      <c r="AB58" s="13">
        <f t="shared" si="2"/>
        <v>-51163.137491445028</v>
      </c>
      <c r="AC58" s="13">
        <f t="shared" si="2"/>
        <v>-82843.47327206927</v>
      </c>
      <c r="AD58" s="13">
        <f t="shared" si="2"/>
        <v>-82676.03056474615</v>
      </c>
      <c r="AE58" s="13">
        <f t="shared" si="2"/>
        <v>-82534.491397523991</v>
      </c>
      <c r="AF58" s="13">
        <f t="shared" si="2"/>
        <v>-82467.186360437452</v>
      </c>
      <c r="AG58" s="13">
        <f t="shared" si="2"/>
        <v>-82441.225343599188</v>
      </c>
      <c r="AH58" s="13">
        <f t="shared" si="2"/>
        <v>-82302.998272807716</v>
      </c>
      <c r="AI58" s="13">
        <f t="shared" si="2"/>
        <v>-81829.294382627733</v>
      </c>
      <c r="AJ58" s="13">
        <f t="shared" si="2"/>
        <v>-81340.276437630324</v>
      </c>
      <c r="AK58" s="13">
        <f t="shared" si="2"/>
        <v>-80888.571795785305</v>
      </c>
      <c r="AL58" s="13">
        <f t="shared" si="2"/>
        <v>-80473.364690520481</v>
      </c>
      <c r="AM58" s="13">
        <f t="shared" si="2"/>
        <v>-80025.684772318084</v>
      </c>
      <c r="AN58" s="13">
        <f t="shared" si="2"/>
        <v>-79644.665173968388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-235279</v>
      </c>
      <c r="I59" s="12">
        <v>-366419</v>
      </c>
      <c r="J59" s="12">
        <v>-527292.56617262983</v>
      </c>
      <c r="K59" s="12">
        <v>-695099.89506017428</v>
      </c>
      <c r="L59" s="12">
        <v>-859701.85603080993</v>
      </c>
      <c r="M59" s="12">
        <v>-1048808.0320058006</v>
      </c>
      <c r="N59" s="12">
        <v>-1104569.8906297656</v>
      </c>
      <c r="O59" s="12">
        <v>-1157519.8138725425</v>
      </c>
      <c r="P59" s="12">
        <v>-1207536.978148388</v>
      </c>
      <c r="Q59" s="12">
        <v>-1272372.1285476526</v>
      </c>
      <c r="R59" s="12">
        <v>-1332415.8246563945</v>
      </c>
      <c r="S59" s="12">
        <v>-1371984.7675262692</v>
      </c>
      <c r="T59" s="12">
        <v>-1411603.8252351005</v>
      </c>
      <c r="U59" s="12">
        <v>-1451390.5578990837</v>
      </c>
      <c r="V59" s="12">
        <v>-1492164.7346433238</v>
      </c>
      <c r="W59" s="12">
        <v>-1527410.7068729317</v>
      </c>
      <c r="X59" s="12">
        <v>-1565542.8298975949</v>
      </c>
      <c r="Y59" s="12">
        <v>-1607008.8084855215</v>
      </c>
      <c r="Z59" s="12">
        <v>-1651641.6530761658</v>
      </c>
      <c r="AA59" s="12">
        <v>-1699479.9602363838</v>
      </c>
      <c r="AB59" s="12">
        <v>-1750643.0977278289</v>
      </c>
      <c r="AC59" s="12">
        <v>-1833486.5709998982</v>
      </c>
      <c r="AD59" s="12">
        <v>-1916162.6015646444</v>
      </c>
      <c r="AE59" s="12">
        <v>-1998697.0929621684</v>
      </c>
      <c r="AF59" s="12">
        <v>-2081164.2793226058</v>
      </c>
      <c r="AG59" s="12">
        <v>-2163605.504666205</v>
      </c>
      <c r="AH59" s="12">
        <v>-2245908.5029390128</v>
      </c>
      <c r="AI59" s="12">
        <v>-2327737.7973216404</v>
      </c>
      <c r="AJ59" s="12">
        <v>-2409078.0737592708</v>
      </c>
      <c r="AK59" s="12">
        <v>-2489966.6455550562</v>
      </c>
      <c r="AL59" s="12">
        <v>-2570440.0102455765</v>
      </c>
      <c r="AM59" s="12">
        <v>-2650465.6950178947</v>
      </c>
      <c r="AN59" s="12">
        <v>-2730110.360191863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1307.7031418879999</v>
      </c>
      <c r="K63" s="12">
        <v>2615.4062837759998</v>
      </c>
      <c r="L63" s="12">
        <v>3923.1094256640004</v>
      </c>
      <c r="M63" s="12">
        <v>5230.8125675519996</v>
      </c>
      <c r="N63" s="12">
        <v>6538.5157094400001</v>
      </c>
      <c r="O63" s="12">
        <v>7846.2188513280007</v>
      </c>
      <c r="P63" s="12">
        <v>9153.9219932159995</v>
      </c>
      <c r="Q63" s="12">
        <v>10775.473889157121</v>
      </c>
      <c r="R63" s="12">
        <v>12122.408125301761</v>
      </c>
      <c r="S63" s="12">
        <v>13469.342361446403</v>
      </c>
      <c r="T63" s="12">
        <v>14816.276597591041</v>
      </c>
      <c r="U63" s="12">
        <v>16163.210833735679</v>
      </c>
      <c r="V63" s="12">
        <v>17510.145069880324</v>
      </c>
      <c r="W63" s="12">
        <v>18857.07930602496</v>
      </c>
      <c r="X63" s="12">
        <v>18857.07930602496</v>
      </c>
      <c r="Y63" s="12">
        <v>18857.07930602496</v>
      </c>
      <c r="Z63" s="12">
        <v>18857.07930602496</v>
      </c>
      <c r="AA63" s="12">
        <v>18857.07930602496</v>
      </c>
      <c r="AB63" s="12">
        <v>18857.07930602496</v>
      </c>
      <c r="AC63" s="12">
        <v>18857.07930602496</v>
      </c>
      <c r="AD63" s="12">
        <v>18857.07930602496</v>
      </c>
      <c r="AE63" s="12">
        <v>18857.07930602496</v>
      </c>
      <c r="AF63" s="12">
        <v>18857.07930602496</v>
      </c>
      <c r="AG63" s="12">
        <v>18857.07930602496</v>
      </c>
      <c r="AH63" s="12">
        <v>18857.07930602496</v>
      </c>
      <c r="AI63" s="12">
        <v>18857.07930602496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353.59405171200007</v>
      </c>
      <c r="K64" s="12">
        <v>707.18810342400013</v>
      </c>
      <c r="L64" s="12">
        <v>1060.7821551360003</v>
      </c>
      <c r="M64" s="12">
        <v>1414.3762068480003</v>
      </c>
      <c r="N64" s="12">
        <v>1767.9702585600003</v>
      </c>
      <c r="O64" s="12">
        <v>2121.5643102720005</v>
      </c>
      <c r="P64" s="12">
        <v>2475.1583619840007</v>
      </c>
      <c r="Q64" s="12">
        <v>2913.6149861068807</v>
      </c>
      <c r="R64" s="12">
        <v>3277.8168593702403</v>
      </c>
      <c r="S64" s="12">
        <v>3642.0187326336004</v>
      </c>
      <c r="T64" s="12">
        <v>4006.2206058969605</v>
      </c>
      <c r="U64" s="12">
        <v>4370.4224791603219</v>
      </c>
      <c r="V64" s="12">
        <v>4734.6243524236816</v>
      </c>
      <c r="W64" s="12">
        <v>5098.8262256870412</v>
      </c>
      <c r="X64" s="12">
        <v>5098.8262256870412</v>
      </c>
      <c r="Y64" s="12">
        <v>5098.8262256870412</v>
      </c>
      <c r="Z64" s="12">
        <v>5098.8262256870412</v>
      </c>
      <c r="AA64" s="12">
        <v>5098.8262256870412</v>
      </c>
      <c r="AB64" s="12">
        <v>5098.8262256870412</v>
      </c>
      <c r="AC64" s="12">
        <v>5098.8262256870412</v>
      </c>
      <c r="AD64" s="12">
        <v>5098.8262256870412</v>
      </c>
      <c r="AE64" s="12">
        <v>5098.8262256870412</v>
      </c>
      <c r="AF64" s="12">
        <v>5098.8262256870412</v>
      </c>
      <c r="AG64" s="12">
        <v>5098.8262256870412</v>
      </c>
      <c r="AH64" s="12">
        <v>5098.8262256870412</v>
      </c>
      <c r="AI64" s="12">
        <v>5098.8262256870412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974.64780441600021</v>
      </c>
      <c r="K65" s="12">
        <v>1949.2956088320004</v>
      </c>
      <c r="L65" s="12">
        <v>2923.9434132480005</v>
      </c>
      <c r="M65" s="12">
        <v>3898.5912176640009</v>
      </c>
      <c r="N65" s="12">
        <v>4873.2390220800007</v>
      </c>
      <c r="O65" s="12">
        <v>5847.886826496001</v>
      </c>
      <c r="P65" s="12">
        <v>6822.5346309120005</v>
      </c>
      <c r="Q65" s="12">
        <v>8031.097908387841</v>
      </c>
      <c r="R65" s="12">
        <v>9034.9851469363202</v>
      </c>
      <c r="S65" s="12">
        <v>10038.872385484801</v>
      </c>
      <c r="T65" s="12">
        <v>11042.759624033282</v>
      </c>
      <c r="U65" s="12">
        <v>12046.64686258176</v>
      </c>
      <c r="V65" s="12">
        <v>13050.534101130241</v>
      </c>
      <c r="W65" s="12">
        <v>14054.421339678722</v>
      </c>
      <c r="X65" s="12">
        <v>14054.421339678722</v>
      </c>
      <c r="Y65" s="12">
        <v>14054.421339678722</v>
      </c>
      <c r="Z65" s="12">
        <v>14054.421339678722</v>
      </c>
      <c r="AA65" s="12">
        <v>14054.421339678722</v>
      </c>
      <c r="AB65" s="12">
        <v>14054.421339678722</v>
      </c>
      <c r="AC65" s="12">
        <v>14054.421339678722</v>
      </c>
      <c r="AD65" s="12">
        <v>14054.421339678722</v>
      </c>
      <c r="AE65" s="12">
        <v>14054.421339678722</v>
      </c>
      <c r="AF65" s="12">
        <v>14054.421339678722</v>
      </c>
      <c r="AG65" s="12">
        <v>14054.421339678722</v>
      </c>
      <c r="AH65" s="12">
        <v>14054.421339678722</v>
      </c>
      <c r="AI65" s="12">
        <v>14054.421339678722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2635.9449980160002</v>
      </c>
      <c r="K67" s="13">
        <v>5271.8899960320005</v>
      </c>
      <c r="L67" s="13">
        <v>7907.8349940480002</v>
      </c>
      <c r="M67" s="13">
        <v>10543.779992064001</v>
      </c>
      <c r="N67" s="13">
        <v>13179.724990080002</v>
      </c>
      <c r="O67" s="13">
        <v>15815.669988096</v>
      </c>
      <c r="P67" s="13">
        <v>18451.614986111999</v>
      </c>
      <c r="Q67" s="13">
        <v>21720.186783651843</v>
      </c>
      <c r="R67" s="13">
        <v>24435.210131608321</v>
      </c>
      <c r="S67" s="13">
        <v>27150.233479564806</v>
      </c>
      <c r="T67" s="13">
        <v>29865.256827521283</v>
      </c>
      <c r="U67" s="13">
        <v>32580.280175477761</v>
      </c>
      <c r="V67" s="13">
        <v>35295.303523434246</v>
      </c>
      <c r="W67" s="13">
        <v>38010.326871390724</v>
      </c>
      <c r="X67" s="13">
        <v>38010.326871390724</v>
      </c>
      <c r="Y67" s="13">
        <v>38010.326871390724</v>
      </c>
      <c r="Z67" s="13">
        <v>38010.326871390724</v>
      </c>
      <c r="AA67" s="13">
        <v>38010.326871390724</v>
      </c>
      <c r="AB67" s="13">
        <v>38010.326871390724</v>
      </c>
      <c r="AC67" s="13">
        <v>38010.326871390724</v>
      </c>
      <c r="AD67" s="13">
        <v>38010.326871390724</v>
      </c>
      <c r="AE67" s="13">
        <v>38010.326871390724</v>
      </c>
      <c r="AF67" s="13">
        <v>38010.326871390724</v>
      </c>
      <c r="AG67" s="13">
        <v>38010.326871390724</v>
      </c>
      <c r="AH67" s="13">
        <v>38010.326871390724</v>
      </c>
      <c r="AI67" s="13">
        <v>38010.326871390724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1</v>
      </c>
      <c r="Q69" s="108">
        <v>1</v>
      </c>
      <c r="R69" s="108">
        <v>1</v>
      </c>
      <c r="S69" s="108">
        <v>1</v>
      </c>
      <c r="T69" s="108">
        <v>1</v>
      </c>
      <c r="U69" s="108">
        <v>1</v>
      </c>
      <c r="V69" s="108">
        <v>1</v>
      </c>
      <c r="W69" s="108">
        <v>1</v>
      </c>
      <c r="X69" s="108">
        <v>1</v>
      </c>
      <c r="Y69" s="108">
        <v>1</v>
      </c>
      <c r="Z69" s="108">
        <v>1</v>
      </c>
      <c r="AA69" s="108">
        <v>1</v>
      </c>
      <c r="AB69" s="108">
        <v>1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1</v>
      </c>
      <c r="R70" s="108">
        <v>1</v>
      </c>
      <c r="S70" s="108">
        <v>1</v>
      </c>
      <c r="T70" s="108">
        <v>1</v>
      </c>
      <c r="U70" s="108">
        <v>1</v>
      </c>
      <c r="V70" s="108">
        <v>1</v>
      </c>
      <c r="W70" s="108">
        <v>1</v>
      </c>
      <c r="X70" s="108">
        <v>1</v>
      </c>
      <c r="Y70" s="108">
        <v>1</v>
      </c>
      <c r="Z70" s="108">
        <v>1</v>
      </c>
      <c r="AA70" s="108">
        <v>1</v>
      </c>
      <c r="AB70" s="108">
        <v>1</v>
      </c>
      <c r="AC70" s="108">
        <v>1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629.35619066995855</v>
      </c>
      <c r="K72" s="12">
        <v>1258.7123813399171</v>
      </c>
      <c r="L72" s="12">
        <v>1888.0685720098741</v>
      </c>
      <c r="M72" s="12">
        <v>2517.4247626798342</v>
      </c>
      <c r="N72" s="12">
        <v>3146.7809533497898</v>
      </c>
      <c r="O72" s="12">
        <v>3776.1371440197481</v>
      </c>
      <c r="P72" s="12">
        <v>18209.493334689705</v>
      </c>
      <c r="Q72" s="12">
        <v>35907.134477895634</v>
      </c>
      <c r="R72" s="12">
        <v>36599.426287632588</v>
      </c>
      <c r="S72" s="12">
        <v>37291.718097369543</v>
      </c>
      <c r="T72" s="12">
        <v>37984.009907106498</v>
      </c>
      <c r="U72" s="12">
        <v>38676.301716843453</v>
      </c>
      <c r="V72" s="12">
        <v>39368.5935265804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2006.5888073460417</v>
      </c>
      <c r="K75" s="74">
        <v>4013.1776146920834</v>
      </c>
      <c r="L75" s="74">
        <v>6019.7664220381266</v>
      </c>
      <c r="M75" s="74">
        <v>8026.3552293841667</v>
      </c>
      <c r="N75" s="74">
        <v>10032.944036730212</v>
      </c>
      <c r="O75" s="74">
        <v>12039.532844076253</v>
      </c>
      <c r="P75" s="74">
        <v>242.12165142229424</v>
      </c>
      <c r="Q75" s="74">
        <v>-14186.94769424379</v>
      </c>
      <c r="R75" s="74">
        <v>-12164.216156024268</v>
      </c>
      <c r="S75" s="74">
        <v>-10141.484617804737</v>
      </c>
      <c r="T75" s="74">
        <v>-8118.7530795852144</v>
      </c>
      <c r="U75" s="74">
        <v>-6096.0215413656915</v>
      </c>
      <c r="V75" s="74">
        <v>-4073.290003146154</v>
      </c>
      <c r="W75" s="74">
        <v>-2050.5584649266384</v>
      </c>
      <c r="X75" s="74">
        <v>-2050.5584649266384</v>
      </c>
      <c r="Y75" s="74">
        <v>-2050.5584649266384</v>
      </c>
      <c r="Z75" s="74">
        <v>-2050.5584649266384</v>
      </c>
      <c r="AA75" s="74">
        <v>-2050.5584649266384</v>
      </c>
      <c r="AB75" s="74">
        <v>-2050.5584649266384</v>
      </c>
      <c r="AC75" s="74">
        <v>-6056.6469985583681</v>
      </c>
      <c r="AD75" s="74">
        <v>-6056.6469985583681</v>
      </c>
      <c r="AE75" s="74">
        <v>-6056.6469985583681</v>
      </c>
      <c r="AF75" s="74">
        <v>-6056.6469985583681</v>
      </c>
      <c r="AG75" s="74">
        <v>-6056.6469985583681</v>
      </c>
      <c r="AH75" s="74">
        <v>-6056.6469985583681</v>
      </c>
      <c r="AI75" s="74">
        <v>-6056.6469985583681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A56D-EF40-4FB8-B2A0-CF840563A004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88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2</v>
      </c>
      <c r="O1" s="69">
        <v>5</v>
      </c>
      <c r="P1" s="69">
        <v>8</v>
      </c>
      <c r="Q1" s="69">
        <v>11</v>
      </c>
      <c r="R1" s="69">
        <v>14</v>
      </c>
      <c r="S1" s="69">
        <v>17</v>
      </c>
      <c r="T1" s="69">
        <v>20</v>
      </c>
      <c r="U1" s="69">
        <v>22</v>
      </c>
      <c r="V1" s="69">
        <v>25</v>
      </c>
      <c r="W1" s="69">
        <v>28</v>
      </c>
      <c r="X1" s="69">
        <v>31</v>
      </c>
      <c r="Y1" s="69">
        <v>34</v>
      </c>
      <c r="Z1" s="69">
        <v>37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3.0238095238095237</v>
      </c>
      <c r="P2" s="69">
        <v>3.1904761904761907</v>
      </c>
      <c r="Q2" s="69">
        <v>3.3571428571428572</v>
      </c>
      <c r="R2" s="69">
        <v>3.5238095238095237</v>
      </c>
      <c r="S2" s="69">
        <v>3.6904761904761907</v>
      </c>
      <c r="T2" s="69">
        <v>3.8571428571428572</v>
      </c>
      <c r="U2" s="69">
        <v>4.0238095238095237</v>
      </c>
      <c r="V2" s="69">
        <v>4.1904761904761907</v>
      </c>
      <c r="W2" s="69">
        <v>4.3571428571428577</v>
      </c>
      <c r="X2" s="69">
        <v>4.5238095238095237</v>
      </c>
      <c r="Y2" s="69">
        <v>4.6904761904761907</v>
      </c>
      <c r="Z2" s="69">
        <v>4.8571428571428577</v>
      </c>
      <c r="AA2" s="69">
        <v>2.1666666666666665</v>
      </c>
      <c r="AB2" s="69">
        <v>2.3333333333333335</v>
      </c>
      <c r="AC2" s="69">
        <v>2.5</v>
      </c>
      <c r="AD2" s="69">
        <v>2.6666666666666665</v>
      </c>
      <c r="AE2" s="69">
        <v>2.8333333333333335</v>
      </c>
      <c r="AF2" s="69">
        <v>3</v>
      </c>
      <c r="AG2" s="69">
        <v>3.1666666666666665</v>
      </c>
      <c r="AH2" s="69">
        <v>3.3333333333333335</v>
      </c>
      <c r="AI2" s="69">
        <v>3.5</v>
      </c>
      <c r="AJ2" s="69">
        <v>3.6666666666666665</v>
      </c>
      <c r="AK2" s="69">
        <v>3.8333333333333335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2.1666666666666665</v>
      </c>
      <c r="AB3" s="69">
        <v>2.3333333333333335</v>
      </c>
      <c r="AC3" s="69">
        <v>2.5</v>
      </c>
      <c r="AD3" s="69">
        <v>2.6666666666666665</v>
      </c>
      <c r="AE3" s="69">
        <v>2.8333333333333335</v>
      </c>
      <c r="AF3" s="69">
        <v>3</v>
      </c>
      <c r="AG3" s="69">
        <v>3.1666666666666665</v>
      </c>
      <c r="AH3" s="69">
        <v>3.3333333333333335</v>
      </c>
      <c r="AI3" s="69">
        <v>3.5</v>
      </c>
      <c r="AJ3" s="69">
        <v>3.6666666666666665</v>
      </c>
      <c r="AK3" s="69">
        <v>3.8333333333333335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2</v>
      </c>
      <c r="O4" s="69">
        <v>8.0238095238095237</v>
      </c>
      <c r="P4" s="69">
        <v>11.19047619047619</v>
      </c>
      <c r="Q4" s="69">
        <v>14.357142857142858</v>
      </c>
      <c r="R4" s="69">
        <v>17.523809523809526</v>
      </c>
      <c r="S4" s="69">
        <v>20.69047619047619</v>
      </c>
      <c r="T4" s="69">
        <v>23.857142857142858</v>
      </c>
      <c r="U4" s="69">
        <v>26.023809523809526</v>
      </c>
      <c r="V4" s="69">
        <v>29.19047619047619</v>
      </c>
      <c r="W4" s="69">
        <v>32.357142857142861</v>
      </c>
      <c r="X4" s="69">
        <v>35.523809523809526</v>
      </c>
      <c r="Y4" s="69">
        <v>38.69047619047619</v>
      </c>
      <c r="Z4" s="69">
        <v>41.857142857142861</v>
      </c>
      <c r="AA4" s="69">
        <v>42.166666666666664</v>
      </c>
      <c r="AB4" s="69">
        <v>42.333333333333336</v>
      </c>
      <c r="AC4" s="69">
        <v>42.5</v>
      </c>
      <c r="AD4" s="69">
        <v>42.666666666666664</v>
      </c>
      <c r="AE4" s="69">
        <v>42.833333333333336</v>
      </c>
      <c r="AF4" s="69">
        <v>43</v>
      </c>
      <c r="AG4" s="69">
        <v>43.166666666666664</v>
      </c>
      <c r="AH4" s="69">
        <v>43.333333333333336</v>
      </c>
      <c r="AI4" s="69">
        <v>43.5</v>
      </c>
      <c r="AJ4" s="69">
        <v>43.666666666666664</v>
      </c>
      <c r="AK4" s="69">
        <v>43.833333333333336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3</v>
      </c>
      <c r="O6" s="66">
        <v>9</v>
      </c>
      <c r="P6" s="66">
        <v>12</v>
      </c>
      <c r="Q6" s="66">
        <v>16</v>
      </c>
      <c r="R6" s="66">
        <v>20</v>
      </c>
      <c r="S6" s="66">
        <v>23</v>
      </c>
      <c r="T6" s="66">
        <v>27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48</v>
      </c>
      <c r="AA6" s="66">
        <v>51</v>
      </c>
      <c r="AB6" s="66">
        <v>51</v>
      </c>
      <c r="AC6" s="66">
        <v>51</v>
      </c>
      <c r="AD6" s="66">
        <v>51</v>
      </c>
      <c r="AE6" s="66">
        <v>51</v>
      </c>
      <c r="AF6" s="66">
        <v>51</v>
      </c>
      <c r="AG6" s="66">
        <v>51</v>
      </c>
      <c r="AH6" s="66">
        <v>51</v>
      </c>
      <c r="AI6" s="66">
        <v>51</v>
      </c>
      <c r="AJ6" s="66">
        <v>51</v>
      </c>
      <c r="AK6" s="66">
        <v>51</v>
      </c>
      <c r="AL6" s="66">
        <v>51</v>
      </c>
      <c r="AM6" s="66">
        <v>51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1.89</v>
      </c>
      <c r="O7" s="108">
        <v>4.71</v>
      </c>
      <c r="P7" s="108">
        <v>7.5299999999999994</v>
      </c>
      <c r="Q7" s="108">
        <v>10.36</v>
      </c>
      <c r="R7" s="108">
        <v>13.18</v>
      </c>
      <c r="S7" s="108">
        <v>16</v>
      </c>
      <c r="T7" s="108">
        <v>18.830000000000002</v>
      </c>
      <c r="U7" s="108">
        <v>20.71</v>
      </c>
      <c r="V7" s="108">
        <v>23.53</v>
      </c>
      <c r="W7" s="108">
        <v>26.360000000000003</v>
      </c>
      <c r="X7" s="108">
        <v>29.180000000000003</v>
      </c>
      <c r="Y7" s="108">
        <v>32</v>
      </c>
      <c r="Z7" s="108">
        <v>34.83</v>
      </c>
      <c r="AA7" s="108">
        <v>37.65</v>
      </c>
      <c r="AB7" s="108">
        <v>37.65</v>
      </c>
      <c r="AC7" s="108">
        <v>37.65</v>
      </c>
      <c r="AD7" s="108">
        <v>37.65</v>
      </c>
      <c r="AE7" s="108">
        <v>37.65</v>
      </c>
      <c r="AF7" s="108">
        <v>37.65</v>
      </c>
      <c r="AG7" s="108">
        <v>37.65</v>
      </c>
      <c r="AH7" s="108">
        <v>37.65</v>
      </c>
      <c r="AI7" s="108">
        <v>37.65</v>
      </c>
      <c r="AJ7" s="108">
        <v>37.65</v>
      </c>
      <c r="AK7" s="108">
        <v>37.65</v>
      </c>
      <c r="AL7" s="108">
        <v>37.65</v>
      </c>
      <c r="AM7" s="108">
        <v>37.65</v>
      </c>
      <c r="AN7" s="108">
        <v>37.65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0.29000000000000004</v>
      </c>
      <c r="O8" s="108">
        <v>0.72</v>
      </c>
      <c r="P8" s="108">
        <v>1.1499999999999999</v>
      </c>
      <c r="Q8" s="108">
        <v>1.58</v>
      </c>
      <c r="R8" s="108">
        <v>2</v>
      </c>
      <c r="S8" s="108">
        <v>2.4299999999999997</v>
      </c>
      <c r="T8" s="108">
        <v>2.86</v>
      </c>
      <c r="U8" s="108">
        <v>3.15</v>
      </c>
      <c r="V8" s="108">
        <v>3.5799999999999996</v>
      </c>
      <c r="W8" s="108">
        <v>4</v>
      </c>
      <c r="X8" s="108">
        <v>4.43</v>
      </c>
      <c r="Y8" s="108">
        <v>4.8599999999999994</v>
      </c>
      <c r="Z8" s="108">
        <v>5.29</v>
      </c>
      <c r="AA8" s="108">
        <v>5.72</v>
      </c>
      <c r="AB8" s="108">
        <v>5.72</v>
      </c>
      <c r="AC8" s="108">
        <v>5.72</v>
      </c>
      <c r="AD8" s="108">
        <v>5.72</v>
      </c>
      <c r="AE8" s="108">
        <v>5.72</v>
      </c>
      <c r="AF8" s="108">
        <v>5.72</v>
      </c>
      <c r="AG8" s="108">
        <v>5.72</v>
      </c>
      <c r="AH8" s="108">
        <v>5.72</v>
      </c>
      <c r="AI8" s="108">
        <v>5.72</v>
      </c>
      <c r="AJ8" s="108">
        <v>5.72</v>
      </c>
      <c r="AK8" s="108">
        <v>5.72</v>
      </c>
      <c r="AL8" s="108">
        <v>5.72</v>
      </c>
      <c r="AM8" s="108">
        <v>5.72</v>
      </c>
      <c r="AN8" s="108">
        <v>5.72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0.24000000000000002</v>
      </c>
      <c r="P12" s="108">
        <v>0.25</v>
      </c>
      <c r="Q12" s="108">
        <v>0.26</v>
      </c>
      <c r="R12" s="108">
        <v>0.28000000000000003</v>
      </c>
      <c r="S12" s="108">
        <v>0.29000000000000004</v>
      </c>
      <c r="T12" s="108">
        <v>0.3</v>
      </c>
      <c r="U12" s="108">
        <v>0.31</v>
      </c>
      <c r="V12" s="108">
        <v>0.33</v>
      </c>
      <c r="W12" s="108">
        <v>0.34</v>
      </c>
      <c r="X12" s="108">
        <v>0.35000000000000003</v>
      </c>
      <c r="Y12" s="108">
        <v>0.37</v>
      </c>
      <c r="Z12" s="108">
        <v>0.38</v>
      </c>
      <c r="AA12" s="108">
        <v>0.17</v>
      </c>
      <c r="AB12" s="108">
        <v>0.18000000000000002</v>
      </c>
      <c r="AC12" s="108">
        <v>0.2</v>
      </c>
      <c r="AD12" s="108">
        <v>0.21000000000000002</v>
      </c>
      <c r="AE12" s="108">
        <v>0.22</v>
      </c>
      <c r="AF12" s="108">
        <v>0.24000000000000002</v>
      </c>
      <c r="AG12" s="108">
        <v>0.25</v>
      </c>
      <c r="AH12" s="108">
        <v>0.26</v>
      </c>
      <c r="AI12" s="108">
        <v>0.27</v>
      </c>
      <c r="AJ12" s="108">
        <v>0.29000000000000004</v>
      </c>
      <c r="AK12" s="108">
        <v>0.3</v>
      </c>
      <c r="AL12" s="108">
        <v>0.31</v>
      </c>
      <c r="AM12" s="108">
        <v>0.31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0.02</v>
      </c>
      <c r="O13" s="108">
        <v>0.33</v>
      </c>
      <c r="P13" s="108">
        <v>0.37</v>
      </c>
      <c r="Q13" s="108">
        <v>0.4</v>
      </c>
      <c r="R13" s="108">
        <v>0.43</v>
      </c>
      <c r="S13" s="108">
        <v>0.47000000000000003</v>
      </c>
      <c r="T13" s="108">
        <v>0.5</v>
      </c>
      <c r="U13" s="108">
        <v>0.53</v>
      </c>
      <c r="V13" s="108">
        <v>0.56000000000000005</v>
      </c>
      <c r="W13" s="108">
        <v>0.59</v>
      </c>
      <c r="X13" s="108">
        <v>0.63</v>
      </c>
      <c r="Y13" s="108">
        <v>0.66</v>
      </c>
      <c r="Z13" s="108">
        <v>0.69000000000000006</v>
      </c>
      <c r="AA13" s="108">
        <v>0.44</v>
      </c>
      <c r="AB13" s="108">
        <v>0.46</v>
      </c>
      <c r="AC13" s="108">
        <v>0.47</v>
      </c>
      <c r="AD13" s="108">
        <v>0.49</v>
      </c>
      <c r="AE13" s="108">
        <v>0.51</v>
      </c>
      <c r="AF13" s="108">
        <v>0.52</v>
      </c>
      <c r="AG13" s="108">
        <v>0.54</v>
      </c>
      <c r="AH13" s="108">
        <v>0.56000000000000005</v>
      </c>
      <c r="AI13" s="108">
        <v>0.56999999999999995</v>
      </c>
      <c r="AJ13" s="108">
        <v>0.59</v>
      </c>
      <c r="AK13" s="108">
        <v>0.61</v>
      </c>
      <c r="AL13" s="108">
        <v>0.62</v>
      </c>
      <c r="AM13" s="108">
        <v>0.62</v>
      </c>
      <c r="AN13" s="108">
        <v>0.62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0.02</v>
      </c>
      <c r="O14" s="108">
        <v>0.18000000000000002</v>
      </c>
      <c r="P14" s="108">
        <v>0.21000000000000002</v>
      </c>
      <c r="Q14" s="108">
        <v>0.23</v>
      </c>
      <c r="R14" s="108">
        <v>0.26</v>
      </c>
      <c r="S14" s="108">
        <v>0.28000000000000003</v>
      </c>
      <c r="T14" s="108">
        <v>0.31</v>
      </c>
      <c r="U14" s="108">
        <v>0.33</v>
      </c>
      <c r="V14" s="108">
        <v>0.35000000000000003</v>
      </c>
      <c r="W14" s="108">
        <v>0.38</v>
      </c>
      <c r="X14" s="108">
        <v>0.4</v>
      </c>
      <c r="Y14" s="108">
        <v>0.43</v>
      </c>
      <c r="Z14" s="108">
        <v>0.45</v>
      </c>
      <c r="AA14" s="108">
        <v>0.33</v>
      </c>
      <c r="AB14" s="108">
        <v>0.34</v>
      </c>
      <c r="AC14" s="108">
        <v>0.35000000000000003</v>
      </c>
      <c r="AD14" s="108">
        <v>0.36</v>
      </c>
      <c r="AE14" s="108">
        <v>0.37</v>
      </c>
      <c r="AF14" s="108">
        <v>0.37</v>
      </c>
      <c r="AG14" s="108">
        <v>0.38</v>
      </c>
      <c r="AH14" s="108">
        <v>0.39</v>
      </c>
      <c r="AI14" s="108">
        <v>0.4</v>
      </c>
      <c r="AJ14" s="108">
        <v>0.41000000000000003</v>
      </c>
      <c r="AK14" s="108">
        <v>0.42</v>
      </c>
      <c r="AL14" s="108">
        <v>0.42</v>
      </c>
      <c r="AM14" s="108">
        <v>0.42</v>
      </c>
      <c r="AN14" s="108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0.01</v>
      </c>
      <c r="O15" s="108">
        <v>0.02</v>
      </c>
      <c r="P15" s="108">
        <v>0.04</v>
      </c>
      <c r="Q15" s="108">
        <v>0.05</v>
      </c>
      <c r="R15" s="108">
        <v>6.0000000000000005E-2</v>
      </c>
      <c r="S15" s="108">
        <v>6.9999999999999993E-2</v>
      </c>
      <c r="T15" s="108">
        <v>0.08</v>
      </c>
      <c r="U15" s="108">
        <v>0.09</v>
      </c>
      <c r="V15" s="108">
        <v>0.1</v>
      </c>
      <c r="W15" s="108">
        <v>0.12</v>
      </c>
      <c r="X15" s="108">
        <v>0.13</v>
      </c>
      <c r="Y15" s="108">
        <v>0.14000000000000001</v>
      </c>
      <c r="Z15" s="108">
        <v>0.15000000000000002</v>
      </c>
      <c r="AA15" s="108">
        <v>0.16</v>
      </c>
      <c r="AB15" s="108">
        <v>0.16</v>
      </c>
      <c r="AC15" s="108">
        <v>0.16</v>
      </c>
      <c r="AD15" s="108">
        <v>0.16</v>
      </c>
      <c r="AE15" s="108">
        <v>0.16</v>
      </c>
      <c r="AF15" s="108">
        <v>0.16</v>
      </c>
      <c r="AG15" s="108">
        <v>0.16</v>
      </c>
      <c r="AH15" s="108">
        <v>0.16</v>
      </c>
      <c r="AI15" s="108">
        <v>0.16</v>
      </c>
      <c r="AJ15" s="108">
        <v>0.16</v>
      </c>
      <c r="AK15" s="108">
        <v>0.16</v>
      </c>
      <c r="AL15" s="108">
        <v>0.16</v>
      </c>
      <c r="AM15" s="108">
        <v>0.16</v>
      </c>
      <c r="AN15" s="108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0.01</v>
      </c>
      <c r="O16" s="108">
        <v>0.02</v>
      </c>
      <c r="P16" s="108">
        <v>0.04</v>
      </c>
      <c r="Q16" s="108">
        <v>0.05</v>
      </c>
      <c r="R16" s="108">
        <v>6.0000000000000005E-2</v>
      </c>
      <c r="S16" s="108">
        <v>6.9999999999999993E-2</v>
      </c>
      <c r="T16" s="108">
        <v>0.08</v>
      </c>
      <c r="U16" s="108">
        <v>0.09</v>
      </c>
      <c r="V16" s="108">
        <v>0.1</v>
      </c>
      <c r="W16" s="108">
        <v>0.12</v>
      </c>
      <c r="X16" s="108">
        <v>0.13</v>
      </c>
      <c r="Y16" s="108">
        <v>0.14000000000000001</v>
      </c>
      <c r="Z16" s="108">
        <v>0.15000000000000002</v>
      </c>
      <c r="AA16" s="108">
        <v>0.16</v>
      </c>
      <c r="AB16" s="108">
        <v>0.16</v>
      </c>
      <c r="AC16" s="108">
        <v>0.16</v>
      </c>
      <c r="AD16" s="108">
        <v>0.16</v>
      </c>
      <c r="AE16" s="108">
        <v>0.16</v>
      </c>
      <c r="AF16" s="108">
        <v>0.16</v>
      </c>
      <c r="AG16" s="108">
        <v>0.16</v>
      </c>
      <c r="AH16" s="108">
        <v>0.16</v>
      </c>
      <c r="AI16" s="108">
        <v>0.16</v>
      </c>
      <c r="AJ16" s="108">
        <v>0.16</v>
      </c>
      <c r="AK16" s="108">
        <v>0.16</v>
      </c>
      <c r="AL16" s="108">
        <v>0.16</v>
      </c>
      <c r="AM16" s="108">
        <v>0.16</v>
      </c>
      <c r="AN16" s="108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0.2</v>
      </c>
      <c r="O17" s="108">
        <v>0.5</v>
      </c>
      <c r="P17" s="108">
        <v>0.8</v>
      </c>
      <c r="Q17" s="108">
        <v>1.1000000000000001</v>
      </c>
      <c r="R17" s="108">
        <v>1.4</v>
      </c>
      <c r="S17" s="108">
        <v>1.7</v>
      </c>
      <c r="T17" s="108">
        <v>2</v>
      </c>
      <c r="U17" s="108">
        <v>2.2000000000000002</v>
      </c>
      <c r="V17" s="108">
        <v>2.5</v>
      </c>
      <c r="W17" s="108">
        <v>2.8</v>
      </c>
      <c r="X17" s="108">
        <v>3.1</v>
      </c>
      <c r="Y17" s="108">
        <v>3.4</v>
      </c>
      <c r="Z17" s="108">
        <v>3.7</v>
      </c>
      <c r="AA17" s="108">
        <v>4</v>
      </c>
      <c r="AB17" s="108">
        <v>4</v>
      </c>
      <c r="AC17" s="108">
        <v>4</v>
      </c>
      <c r="AD17" s="108">
        <v>4</v>
      </c>
      <c r="AE17" s="108">
        <v>4</v>
      </c>
      <c r="AF17" s="108">
        <v>4</v>
      </c>
      <c r="AG17" s="108">
        <v>4</v>
      </c>
      <c r="AH17" s="108">
        <v>4</v>
      </c>
      <c r="AI17" s="108">
        <v>4</v>
      </c>
      <c r="AJ17" s="108">
        <v>4</v>
      </c>
      <c r="AK17" s="108">
        <v>4</v>
      </c>
      <c r="AL17" s="108">
        <v>4</v>
      </c>
      <c r="AM17" s="108">
        <v>4</v>
      </c>
      <c r="AN17" s="108">
        <v>4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2</v>
      </c>
      <c r="O21" s="120">
        <v>5</v>
      </c>
      <c r="P21" s="120">
        <v>9</v>
      </c>
      <c r="Q21" s="120">
        <v>12</v>
      </c>
      <c r="R21" s="120">
        <v>15</v>
      </c>
      <c r="S21" s="120">
        <v>18</v>
      </c>
      <c r="T21" s="120">
        <v>22</v>
      </c>
      <c r="U21" s="120">
        <v>24</v>
      </c>
      <c r="V21" s="120">
        <v>27</v>
      </c>
      <c r="W21" s="120">
        <v>30</v>
      </c>
      <c r="X21" s="120">
        <v>34</v>
      </c>
      <c r="Y21" s="120">
        <v>37</v>
      </c>
      <c r="Z21" s="120">
        <v>40</v>
      </c>
      <c r="AA21" s="120">
        <v>43</v>
      </c>
      <c r="AB21" s="120">
        <v>43</v>
      </c>
      <c r="AC21" s="120">
        <v>43</v>
      </c>
      <c r="AD21" s="120">
        <v>43</v>
      </c>
      <c r="AE21" s="120">
        <v>43</v>
      </c>
      <c r="AF21" s="120">
        <v>43</v>
      </c>
      <c r="AG21" s="120">
        <v>43</v>
      </c>
      <c r="AH21" s="120">
        <v>43</v>
      </c>
      <c r="AI21" s="120">
        <v>43</v>
      </c>
      <c r="AJ21" s="120">
        <v>43</v>
      </c>
      <c r="AK21" s="120">
        <v>43</v>
      </c>
      <c r="AL21" s="120">
        <v>43</v>
      </c>
      <c r="AM21" s="120">
        <v>43</v>
      </c>
      <c r="AN21" s="120">
        <v>43</v>
      </c>
    </row>
    <row r="22" spans="2:50" x14ac:dyDescent="0.25">
      <c r="B22" s="2" t="s">
        <v>464</v>
      </c>
      <c r="C22" s="3"/>
      <c r="D22" s="77">
        <f>MAX(_xlfn.ANCHORARRAY(E22))</f>
        <v>94.73905497877098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91.979665027932981</v>
      </c>
      <c r="O22" s="78">
        <v>91.979665027932953</v>
      </c>
      <c r="P22" s="78">
        <v>91.979665027932981</v>
      </c>
      <c r="Q22" s="78">
        <v>94.739054978770952</v>
      </c>
      <c r="R22" s="78">
        <v>94.73905497877098</v>
      </c>
      <c r="S22" s="78">
        <v>94.739054978770952</v>
      </c>
      <c r="T22" s="78">
        <v>94.739054978770938</v>
      </c>
      <c r="U22" s="78">
        <v>94.739054978770952</v>
      </c>
      <c r="V22" s="78">
        <v>94.739054978770966</v>
      </c>
      <c r="W22" s="78">
        <v>94.73905497877098</v>
      </c>
      <c r="X22" s="78">
        <v>94.739054978770966</v>
      </c>
      <c r="Y22" s="78">
        <v>94.739054978770952</v>
      </c>
      <c r="Z22" s="78">
        <v>94.739054978770966</v>
      </c>
      <c r="AA22" s="78">
        <v>94.739054978770938</v>
      </c>
      <c r="AB22" s="78">
        <v>94.739054978770938</v>
      </c>
      <c r="AC22" s="78">
        <v>94.739054978770938</v>
      </c>
      <c r="AD22" s="78">
        <v>94.739054978770938</v>
      </c>
      <c r="AE22" s="78">
        <v>94.739054978770938</v>
      </c>
      <c r="AF22" s="78">
        <v>94.739054978770938</v>
      </c>
      <c r="AG22" s="78">
        <v>94.739054978770938</v>
      </c>
      <c r="AH22" s="78">
        <v>94.739054978770938</v>
      </c>
      <c r="AI22" s="78">
        <v>94.739054978770938</v>
      </c>
      <c r="AJ22" s="78">
        <v>94.739054978770938</v>
      </c>
      <c r="AK22" s="78">
        <v>94.739054978770938</v>
      </c>
      <c r="AL22" s="78">
        <v>94.739054978770938</v>
      </c>
      <c r="AM22" s="78">
        <v>94.739054978770938</v>
      </c>
      <c r="AN22" s="78">
        <v>94.739054978770938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210.02666666666664</v>
      </c>
      <c r="O23" s="52">
        <v>525.06666666666661</v>
      </c>
      <c r="P23" s="52">
        <v>840.10666666666657</v>
      </c>
      <c r="Q23" s="52">
        <v>1155.1466666666665</v>
      </c>
      <c r="R23" s="52">
        <v>1470.1866666666665</v>
      </c>
      <c r="S23" s="52">
        <v>1785.2266666666665</v>
      </c>
      <c r="T23" s="52">
        <v>2100.2666666666664</v>
      </c>
      <c r="U23" s="52">
        <v>2310.2933333333331</v>
      </c>
      <c r="V23" s="52">
        <v>2625.333333333333</v>
      </c>
      <c r="W23" s="52">
        <v>2940.373333333333</v>
      </c>
      <c r="X23" s="52">
        <v>3255.413333333333</v>
      </c>
      <c r="Y23" s="52">
        <v>3570.4533333333329</v>
      </c>
      <c r="Z23" s="52">
        <v>3885.4933333333329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14366.8311072</v>
      </c>
      <c r="O26" s="12">
        <v>35917.077767999988</v>
      </c>
      <c r="P26" s="12">
        <v>57467.324428799999</v>
      </c>
      <c r="Q26" s="12">
        <v>81388.098222287997</v>
      </c>
      <c r="R26" s="12">
        <v>103584.85228291202</v>
      </c>
      <c r="S26" s="12">
        <v>125781.606343536</v>
      </c>
      <c r="T26" s="12">
        <v>147978.36040415996</v>
      </c>
      <c r="U26" s="12">
        <v>162776.19644457599</v>
      </c>
      <c r="V26" s="12">
        <v>184972.95050520002</v>
      </c>
      <c r="W26" s="12">
        <v>207169.70456582404</v>
      </c>
      <c r="X26" s="12">
        <v>229366.45862644797</v>
      </c>
      <c r="Y26" s="12">
        <v>251563.21268707199</v>
      </c>
      <c r="Z26" s="12">
        <v>273759.96674769599</v>
      </c>
      <c r="AA26" s="12">
        <v>295956.72080831992</v>
      </c>
      <c r="AB26" s="12">
        <v>295956.72080831992</v>
      </c>
      <c r="AC26" s="12">
        <v>295956.72080831992</v>
      </c>
      <c r="AD26" s="12">
        <v>295956.72080831992</v>
      </c>
      <c r="AE26" s="12">
        <v>295956.72080831992</v>
      </c>
      <c r="AF26" s="12">
        <v>295956.72080831992</v>
      </c>
      <c r="AG26" s="12">
        <v>295956.72080831992</v>
      </c>
      <c r="AH26" s="12">
        <v>295956.72080831992</v>
      </c>
      <c r="AI26" s="12">
        <v>295956.72080831992</v>
      </c>
      <c r="AJ26" s="12">
        <v>295956.72080831992</v>
      </c>
      <c r="AK26" s="12">
        <v>295956.72080831992</v>
      </c>
      <c r="AL26" s="12">
        <v>295956.72080831992</v>
      </c>
      <c r="AM26" s="12">
        <v>295956.72080831992</v>
      </c>
      <c r="AN26" s="12">
        <v>295956.72080831992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2754.550933333333</v>
      </c>
      <c r="O27" s="12">
        <v>6886.377333333332</v>
      </c>
      <c r="P27" s="12">
        <v>11018.203733333332</v>
      </c>
      <c r="Q27" s="12">
        <v>15604.531037333334</v>
      </c>
      <c r="R27" s="12">
        <v>19860.312229333333</v>
      </c>
      <c r="S27" s="12">
        <v>24116.093421333331</v>
      </c>
      <c r="T27" s="12">
        <v>28371.874613333326</v>
      </c>
      <c r="U27" s="12">
        <v>31209.062074666668</v>
      </c>
      <c r="V27" s="12">
        <v>35464.843266666663</v>
      </c>
      <c r="W27" s="12">
        <v>39720.624458666665</v>
      </c>
      <c r="X27" s="12">
        <v>43976.40565066666</v>
      </c>
      <c r="Y27" s="12">
        <v>48232.186842666662</v>
      </c>
      <c r="Z27" s="12">
        <v>52487.968034666657</v>
      </c>
      <c r="AA27" s="12">
        <v>56743.749226666652</v>
      </c>
      <c r="AB27" s="12">
        <v>56743.749226666652</v>
      </c>
      <c r="AC27" s="12">
        <v>56743.749226666652</v>
      </c>
      <c r="AD27" s="12">
        <v>56743.749226666652</v>
      </c>
      <c r="AE27" s="12">
        <v>56743.749226666652</v>
      </c>
      <c r="AF27" s="12">
        <v>56743.749226666652</v>
      </c>
      <c r="AG27" s="12">
        <v>56743.749226666652</v>
      </c>
      <c r="AH27" s="12">
        <v>56743.749226666652</v>
      </c>
      <c r="AI27" s="12">
        <v>56743.749226666652</v>
      </c>
      <c r="AJ27" s="12">
        <v>56743.749226666652</v>
      </c>
      <c r="AK27" s="12">
        <v>56743.749226666652</v>
      </c>
      <c r="AL27" s="12">
        <v>56743.749226666652</v>
      </c>
      <c r="AM27" s="12">
        <v>56743.749226666652</v>
      </c>
      <c r="AN27" s="12">
        <v>56743.749226666652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3033.2835935999997</v>
      </c>
      <c r="O28" s="12">
        <v>7583.208983999999</v>
      </c>
      <c r="P28" s="12">
        <v>12133.134374399999</v>
      </c>
      <c r="Q28" s="12">
        <v>17183.551557744002</v>
      </c>
      <c r="R28" s="12">
        <v>21869.974709856004</v>
      </c>
      <c r="S28" s="12">
        <v>26556.397861968002</v>
      </c>
      <c r="T28" s="12">
        <v>31242.821014079997</v>
      </c>
      <c r="U28" s="12">
        <v>34367.103115488004</v>
      </c>
      <c r="V28" s="12">
        <v>39053.526267600006</v>
      </c>
      <c r="W28" s="12">
        <v>43739.949419712008</v>
      </c>
      <c r="X28" s="12">
        <v>48426.372571824002</v>
      </c>
      <c r="Y28" s="12">
        <v>53112.795723936004</v>
      </c>
      <c r="Z28" s="12">
        <v>57799.218876048006</v>
      </c>
      <c r="AA28" s="12">
        <v>62485.642028159993</v>
      </c>
      <c r="AB28" s="12">
        <v>62485.642028159993</v>
      </c>
      <c r="AC28" s="12">
        <v>62485.642028159993</v>
      </c>
      <c r="AD28" s="12">
        <v>62485.642028159993</v>
      </c>
      <c r="AE28" s="12">
        <v>62485.642028159993</v>
      </c>
      <c r="AF28" s="12">
        <v>62485.642028159993</v>
      </c>
      <c r="AG28" s="12">
        <v>62485.642028159993</v>
      </c>
      <c r="AH28" s="12">
        <v>62485.642028159993</v>
      </c>
      <c r="AI28" s="12">
        <v>62485.642028159993</v>
      </c>
      <c r="AJ28" s="12">
        <v>62485.642028159993</v>
      </c>
      <c r="AK28" s="12">
        <v>62485.642028159993</v>
      </c>
      <c r="AL28" s="12">
        <v>62485.642028159993</v>
      </c>
      <c r="AM28" s="12">
        <v>62485.642028159993</v>
      </c>
      <c r="AN28" s="12">
        <v>62485.642028159993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171.62971199999998</v>
      </c>
      <c r="O29" s="12">
        <v>429.07427999999999</v>
      </c>
      <c r="P29" s="12">
        <v>686.51884799999993</v>
      </c>
      <c r="Q29" s="12">
        <v>972.28231847999984</v>
      </c>
      <c r="R29" s="12">
        <v>1237.45022352</v>
      </c>
      <c r="S29" s="12">
        <v>1502.6181285599998</v>
      </c>
      <c r="T29" s="12">
        <v>1767.7860336000001</v>
      </c>
      <c r="U29" s="12">
        <v>1944.5646369599997</v>
      </c>
      <c r="V29" s="12">
        <v>2209.7325420000002</v>
      </c>
      <c r="W29" s="12">
        <v>2474.90044704</v>
      </c>
      <c r="X29" s="12">
        <v>2740.0683520799998</v>
      </c>
      <c r="Y29" s="12">
        <v>3005.2362571199997</v>
      </c>
      <c r="Z29" s="12">
        <v>3270.4041621600004</v>
      </c>
      <c r="AA29" s="12">
        <v>3535.5720672000002</v>
      </c>
      <c r="AB29" s="12">
        <v>3535.5720672000002</v>
      </c>
      <c r="AC29" s="12">
        <v>3535.5720672000002</v>
      </c>
      <c r="AD29" s="12">
        <v>3535.5720672000002</v>
      </c>
      <c r="AE29" s="12">
        <v>3535.5720672000002</v>
      </c>
      <c r="AF29" s="12">
        <v>3535.5720672000002</v>
      </c>
      <c r="AG29" s="12">
        <v>3535.5720672000002</v>
      </c>
      <c r="AH29" s="12">
        <v>3535.5720672000002</v>
      </c>
      <c r="AI29" s="12">
        <v>3535.5720672000002</v>
      </c>
      <c r="AJ29" s="12">
        <v>3535.5720672000002</v>
      </c>
      <c r="AK29" s="12">
        <v>3535.5720672000002</v>
      </c>
      <c r="AL29" s="12">
        <v>3535.5720672000002</v>
      </c>
      <c r="AM29" s="12">
        <v>3535.5720672000002</v>
      </c>
      <c r="AN29" s="12">
        <v>3535.5720672000002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309.03590400000002</v>
      </c>
      <c r="O30" s="12">
        <v>772.58975999999996</v>
      </c>
      <c r="P30" s="12">
        <v>1236.1436160000001</v>
      </c>
      <c r="Q30" s="12">
        <v>1750.6883961599999</v>
      </c>
      <c r="R30" s="12">
        <v>2228.1488678400001</v>
      </c>
      <c r="S30" s="12">
        <v>2705.6093395199996</v>
      </c>
      <c r="T30" s="12">
        <v>3183.0698112</v>
      </c>
      <c r="U30" s="12">
        <v>3501.3767923199998</v>
      </c>
      <c r="V30" s="12">
        <v>3978.8372640000002</v>
      </c>
      <c r="W30" s="12">
        <v>4456.2977356800002</v>
      </c>
      <c r="X30" s="12">
        <v>4933.7582073599997</v>
      </c>
      <c r="Y30" s="12">
        <v>5411.2186790399992</v>
      </c>
      <c r="Z30" s="12">
        <v>5888.6791507199996</v>
      </c>
      <c r="AA30" s="12">
        <v>6366.1396224</v>
      </c>
      <c r="AB30" s="12">
        <v>6366.1396224</v>
      </c>
      <c r="AC30" s="12">
        <v>6366.1396224</v>
      </c>
      <c r="AD30" s="12">
        <v>6366.1396224</v>
      </c>
      <c r="AE30" s="12">
        <v>6366.1396224</v>
      </c>
      <c r="AF30" s="12">
        <v>6366.1396224</v>
      </c>
      <c r="AG30" s="12">
        <v>6366.1396224</v>
      </c>
      <c r="AH30" s="12">
        <v>6366.1396224</v>
      </c>
      <c r="AI30" s="12">
        <v>6366.1396224</v>
      </c>
      <c r="AJ30" s="12">
        <v>6366.1396224</v>
      </c>
      <c r="AK30" s="12">
        <v>6366.1396224</v>
      </c>
      <c r="AL30" s="12">
        <v>6366.1396224</v>
      </c>
      <c r="AM30" s="12">
        <v>6366.1396224</v>
      </c>
      <c r="AN30" s="12">
        <v>6366.1396224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-2476.239750016</v>
      </c>
      <c r="O35" s="12">
        <v>-6190.5993750399984</v>
      </c>
      <c r="P35" s="12">
        <v>-9904.9590000640001</v>
      </c>
      <c r="Q35" s="12">
        <v>-14027.898183840638</v>
      </c>
      <c r="R35" s="12">
        <v>-17853.688597615364</v>
      </c>
      <c r="S35" s="12">
        <v>-21679.479011390074</v>
      </c>
      <c r="T35" s="12">
        <v>-25505.269425164788</v>
      </c>
      <c r="U35" s="12">
        <v>-28055.796367681276</v>
      </c>
      <c r="V35" s="12">
        <v>-31881.586781456004</v>
      </c>
      <c r="W35" s="12">
        <v>-35707.377195230729</v>
      </c>
      <c r="X35" s="12">
        <v>-39533.167609005432</v>
      </c>
      <c r="Y35" s="12">
        <v>-43358.958022780149</v>
      </c>
      <c r="Z35" s="12">
        <v>-47184.748436554881</v>
      </c>
      <c r="AA35" s="12">
        <v>-51010.538850329576</v>
      </c>
      <c r="AB35" s="12">
        <v>-51010.538850329576</v>
      </c>
      <c r="AC35" s="12">
        <v>-51010.538850329576</v>
      </c>
      <c r="AD35" s="12">
        <v>-51010.538850329576</v>
      </c>
      <c r="AE35" s="12">
        <v>-51010.538850329576</v>
      </c>
      <c r="AF35" s="12">
        <v>-51010.538850329576</v>
      </c>
      <c r="AG35" s="12">
        <v>-51010.538850329576</v>
      </c>
      <c r="AH35" s="12">
        <v>-51010.538850329576</v>
      </c>
      <c r="AI35" s="12">
        <v>-51010.538850329576</v>
      </c>
      <c r="AJ35" s="12">
        <v>-51010.538850329576</v>
      </c>
      <c r="AK35" s="12">
        <v>-51010.538850329576</v>
      </c>
      <c r="AL35" s="12">
        <v>-51010.538850329576</v>
      </c>
      <c r="AM35" s="12">
        <v>-51010.538850329576</v>
      </c>
      <c r="AN35" s="12">
        <v>-51010.538850329576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15404.540566784002</v>
      </c>
      <c r="O37" s="13">
        <v>38511.351416959988</v>
      </c>
      <c r="P37" s="13">
        <v>61618.162267136009</v>
      </c>
      <c r="Q37" s="13">
        <v>87266.722310831348</v>
      </c>
      <c r="R37" s="13">
        <v>111066.73748651266</v>
      </c>
      <c r="S37" s="13">
        <v>134866.7526621939</v>
      </c>
      <c r="T37" s="13">
        <v>158666.76783787514</v>
      </c>
      <c r="U37" s="13">
        <v>174533.4446216627</v>
      </c>
      <c r="V37" s="13">
        <v>198333.45979734405</v>
      </c>
      <c r="W37" s="13">
        <v>222133.47497302532</v>
      </c>
      <c r="X37" s="13">
        <v>245933.49014870651</v>
      </c>
      <c r="Y37" s="13">
        <v>269733.50532438781</v>
      </c>
      <c r="Z37" s="13">
        <v>293533.52050006913</v>
      </c>
      <c r="AA37" s="13">
        <v>317333.53567575029</v>
      </c>
      <c r="AB37" s="13">
        <v>317333.53567575029</v>
      </c>
      <c r="AC37" s="13">
        <v>317333.53567575029</v>
      </c>
      <c r="AD37" s="13">
        <v>317333.53567575029</v>
      </c>
      <c r="AE37" s="13">
        <v>317333.53567575029</v>
      </c>
      <c r="AF37" s="13">
        <v>317333.53567575029</v>
      </c>
      <c r="AG37" s="13">
        <v>317333.53567575029</v>
      </c>
      <c r="AH37" s="13">
        <v>317333.53567575029</v>
      </c>
      <c r="AI37" s="13">
        <v>317333.53567575029</v>
      </c>
      <c r="AJ37" s="13">
        <v>317333.53567575029</v>
      </c>
      <c r="AK37" s="13">
        <v>317333.53567575029</v>
      </c>
      <c r="AL37" s="13">
        <v>317333.53567575029</v>
      </c>
      <c r="AM37" s="13">
        <v>317333.53567575029</v>
      </c>
      <c r="AN37" s="13">
        <v>317333.53567575029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20108.830793779969</v>
      </c>
      <c r="O40" s="12">
        <v>44862.900317783264</v>
      </c>
      <c r="P40" s="12">
        <v>60677.719841786544</v>
      </c>
      <c r="Q40" s="12">
        <v>83853.41730236882</v>
      </c>
      <c r="R40" s="12">
        <v>100997.1771121058</v>
      </c>
      <c r="S40" s="12">
        <v>118127.64525517606</v>
      </c>
      <c r="T40" s="12">
        <v>135294.05406491304</v>
      </c>
      <c r="U40" s="12">
        <v>146906.65227140434</v>
      </c>
      <c r="V40" s="12">
        <v>164082.31208114128</v>
      </c>
      <c r="W40" s="12">
        <v>181365.68755754494</v>
      </c>
      <c r="X40" s="12">
        <v>198496.1557006152</v>
      </c>
      <c r="Y40" s="12">
        <v>215730.29884368545</v>
      </c>
      <c r="Z40" s="12">
        <v>232838.22432008907</v>
      </c>
      <c r="AA40" s="12">
        <v>245173.05912982603</v>
      </c>
      <c r="AB40" s="12">
        <v>245452.18412982608</v>
      </c>
      <c r="AC40" s="12">
        <v>270354.15087614203</v>
      </c>
      <c r="AD40" s="12">
        <v>270661.18837614206</v>
      </c>
      <c r="AE40" s="12">
        <v>270968.22587614204</v>
      </c>
      <c r="AF40" s="12">
        <v>271260.64254280872</v>
      </c>
      <c r="AG40" s="12">
        <v>271567.6800428087</v>
      </c>
      <c r="AH40" s="12">
        <v>271874.71754280868</v>
      </c>
      <c r="AI40" s="12">
        <v>272117.42337614205</v>
      </c>
      <c r="AJ40" s="12">
        <v>272538.50337614201</v>
      </c>
      <c r="AK40" s="12">
        <v>272845.54087614204</v>
      </c>
      <c r="AL40" s="12">
        <v>273023.91504280869</v>
      </c>
      <c r="AM40" s="12">
        <v>273023.91504280869</v>
      </c>
      <c r="AN40" s="12">
        <v>273023.91504280869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4600</v>
      </c>
      <c r="O43" s="12">
        <v>4600</v>
      </c>
      <c r="P43" s="12">
        <v>4600</v>
      </c>
      <c r="Q43" s="12">
        <v>4784</v>
      </c>
      <c r="R43" s="12">
        <v>4784</v>
      </c>
      <c r="S43" s="12">
        <v>4784</v>
      </c>
      <c r="T43" s="12">
        <v>4784</v>
      </c>
      <c r="U43" s="12">
        <v>4784</v>
      </c>
      <c r="V43" s="12">
        <v>4784</v>
      </c>
      <c r="W43" s="12">
        <v>4784</v>
      </c>
      <c r="X43" s="12">
        <v>4784</v>
      </c>
      <c r="Y43" s="12">
        <v>4784</v>
      </c>
      <c r="Z43" s="12">
        <v>4784</v>
      </c>
      <c r="AA43" s="12">
        <v>4784</v>
      </c>
      <c r="AB43" s="12">
        <v>4784</v>
      </c>
      <c r="AC43" s="12">
        <v>4975.3600000000006</v>
      </c>
      <c r="AD43" s="12">
        <v>4975.3600000000006</v>
      </c>
      <c r="AE43" s="12">
        <v>4975.3600000000006</v>
      </c>
      <c r="AF43" s="12">
        <v>4975.3600000000006</v>
      </c>
      <c r="AG43" s="12">
        <v>4975.3600000000006</v>
      </c>
      <c r="AH43" s="12">
        <v>4975.3600000000006</v>
      </c>
      <c r="AI43" s="12">
        <v>4975.3600000000006</v>
      </c>
      <c r="AJ43" s="12">
        <v>4975.3600000000006</v>
      </c>
      <c r="AK43" s="12">
        <v>4975.3600000000006</v>
      </c>
      <c r="AL43" s="12">
        <v>4975.3600000000006</v>
      </c>
      <c r="AM43" s="12">
        <v>4975.3600000000006</v>
      </c>
      <c r="AN43" s="12">
        <v>4975.3600000000006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357.15640000000002</v>
      </c>
      <c r="O44" s="12">
        <v>940.0626000000002</v>
      </c>
      <c r="P44" s="12">
        <v>980.49540000000002</v>
      </c>
      <c r="Q44" s="12">
        <v>1047.7486239999998</v>
      </c>
      <c r="R44" s="12">
        <v>1082.7903840000001</v>
      </c>
      <c r="S44" s="12">
        <v>1114.3279679999998</v>
      </c>
      <c r="T44" s="12">
        <v>1145.865552</v>
      </c>
      <c r="U44" s="12">
        <v>1173.8989599999998</v>
      </c>
      <c r="V44" s="12">
        <v>1205.4365440000001</v>
      </c>
      <c r="W44" s="12">
        <v>1243.9824799999999</v>
      </c>
      <c r="X44" s="12">
        <v>1275.5200639999998</v>
      </c>
      <c r="Y44" s="12">
        <v>1310.5618240000001</v>
      </c>
      <c r="Z44" s="12">
        <v>1338.5952319999999</v>
      </c>
      <c r="AA44" s="12">
        <v>1142.3613760000001</v>
      </c>
      <c r="AB44" s="12">
        <v>1156.3780800000002</v>
      </c>
      <c r="AC44" s="12">
        <v>1217.2105753600003</v>
      </c>
      <c r="AD44" s="12">
        <v>1231.7879475200002</v>
      </c>
      <c r="AE44" s="12">
        <v>1246.3653196800005</v>
      </c>
      <c r="AF44" s="12">
        <v>1257.2983488000004</v>
      </c>
      <c r="AG44" s="12">
        <v>1271.8757209600003</v>
      </c>
      <c r="AH44" s="12">
        <v>1286.4530931200002</v>
      </c>
      <c r="AI44" s="12">
        <v>1297.3861222400003</v>
      </c>
      <c r="AJ44" s="12">
        <v>1315.6078374400004</v>
      </c>
      <c r="AK44" s="12">
        <v>1330.1852096000002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2764</v>
      </c>
      <c r="O46" s="12">
        <v>4612</v>
      </c>
      <c r="P46" s="12">
        <v>5896.5</v>
      </c>
      <c r="Q46" s="12">
        <v>7313.91</v>
      </c>
      <c r="R46" s="12">
        <v>8613.39</v>
      </c>
      <c r="S46" s="12">
        <v>9912.8700000000008</v>
      </c>
      <c r="T46" s="12">
        <v>11215.92</v>
      </c>
      <c r="U46" s="12">
        <v>12090.57</v>
      </c>
      <c r="V46" s="12">
        <v>13390.05</v>
      </c>
      <c r="W46" s="12">
        <v>14696.670000000002</v>
      </c>
      <c r="X46" s="12">
        <v>15996.150000000003</v>
      </c>
      <c r="Y46" s="12">
        <v>17299.199999999997</v>
      </c>
      <c r="Z46" s="12">
        <v>18598.68</v>
      </c>
      <c r="AA46" s="12">
        <v>19666.109999999997</v>
      </c>
      <c r="AB46" s="12">
        <v>19680.39</v>
      </c>
      <c r="AC46" s="12">
        <v>20088.563399999999</v>
      </c>
      <c r="AD46" s="12">
        <v>20103.128999999997</v>
      </c>
      <c r="AE46" s="12">
        <v>20117.694599999995</v>
      </c>
      <c r="AF46" s="12">
        <v>20128.618799999997</v>
      </c>
      <c r="AG46" s="12">
        <v>20143.184399999998</v>
      </c>
      <c r="AH46" s="12">
        <v>20157.749999999996</v>
      </c>
      <c r="AI46" s="12">
        <v>20168.674199999998</v>
      </c>
      <c r="AJ46" s="12">
        <v>20186.881199999996</v>
      </c>
      <c r="AK46" s="12">
        <v>20201.446799999998</v>
      </c>
      <c r="AL46" s="12">
        <v>20208.729599999999</v>
      </c>
      <c r="AM46" s="12">
        <v>20208.729599999999</v>
      </c>
      <c r="AN46" s="12">
        <v>20208.729599999999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3950</v>
      </c>
      <c r="O47" s="12">
        <v>3950</v>
      </c>
      <c r="P47" s="12">
        <v>3950</v>
      </c>
      <c r="Q47" s="12">
        <v>4147.5</v>
      </c>
      <c r="R47" s="12">
        <v>4147.5</v>
      </c>
      <c r="S47" s="12">
        <v>4147.5</v>
      </c>
      <c r="T47" s="12">
        <v>4147.5</v>
      </c>
      <c r="U47" s="12">
        <v>4147.5</v>
      </c>
      <c r="V47" s="12">
        <v>4147.5</v>
      </c>
      <c r="W47" s="12">
        <v>4147.5</v>
      </c>
      <c r="X47" s="12">
        <v>4147.5</v>
      </c>
      <c r="Y47" s="12">
        <v>4147.5</v>
      </c>
      <c r="Z47" s="12">
        <v>4147.5</v>
      </c>
      <c r="AA47" s="12">
        <v>4147.5</v>
      </c>
      <c r="AB47" s="12">
        <v>4147.5</v>
      </c>
      <c r="AC47" s="12">
        <v>4354.875</v>
      </c>
      <c r="AD47" s="12">
        <v>4354.875</v>
      </c>
      <c r="AE47" s="12">
        <v>4354.875</v>
      </c>
      <c r="AF47" s="12">
        <v>4354.875</v>
      </c>
      <c r="AG47" s="12">
        <v>4354.875</v>
      </c>
      <c r="AH47" s="12">
        <v>4354.875</v>
      </c>
      <c r="AI47" s="12">
        <v>4354.875</v>
      </c>
      <c r="AJ47" s="12">
        <v>4354.875</v>
      </c>
      <c r="AK47" s="12">
        <v>4354.875</v>
      </c>
      <c r="AL47" s="12">
        <v>4354.875</v>
      </c>
      <c r="AM47" s="12">
        <v>4354.875</v>
      </c>
      <c r="AN47" s="12">
        <v>4354.875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103139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1916.3257196707746</v>
      </c>
      <c r="O49" s="12">
        <f>'Corp.'!O$50*(O$37-(O31-O32-O34)*$C$35)/(SUM('MDA1:NCA9'!O$37)-SUM('MDA1:NCA9'!O$31)-SUM('MDA1:NCA9'!O$32)-SUM('MDA1:NCA9'!O$34))</f>
        <v>4495.4429742423827</v>
      </c>
      <c r="P49" s="12">
        <f>'Corp.'!P$50*(P$37-(P31-P32-P34)*$C$35)/(SUM('MDA1:NCA9'!P$37)-SUM('MDA1:NCA9'!P$31)-SUM('MDA1:NCA9'!P$32)-SUM('MDA1:NCA9'!P$34))</f>
        <v>6805.5773262741086</v>
      </c>
      <c r="Q49" s="12">
        <f>'Corp.'!Q$50*(Q$37-(Q31-Q32-Q34)*$C$35)/(SUM('MDA1:NCA9'!Q$37)-SUM('MDA1:NCA9'!Q$31)-SUM('MDA1:NCA9'!Q$32)-SUM('MDA1:NCA9'!Q$34))</f>
        <v>9781.2142572929915</v>
      </c>
      <c r="R49" s="12">
        <f>'Corp.'!R$50*(R$37-(R31-R32-R34)*$C$35)/(SUM('MDA1:NCA9'!R$37)-SUM('MDA1:NCA9'!R$31)-SUM('MDA1:NCA9'!R$32)-SUM('MDA1:NCA9'!R$34))</f>
        <v>12001.112324230842</v>
      </c>
      <c r="S49" s="12">
        <f>'Corp.'!S$50*(S$37-(S31-S32-S34)*$C$35)/(SUM('MDA1:NCA9'!S$37)-SUM('MDA1:NCA9'!S$31)-SUM('MDA1:NCA9'!S$32)-SUM('MDA1:NCA9'!S$34))</f>
        <v>13970.985987513401</v>
      </c>
      <c r="T49" s="12">
        <f>'Corp.'!T$50*(T$37-(T31-T32-T34)*$C$35)/(SUM('MDA1:NCA9'!T$37)-SUM('MDA1:NCA9'!T$31)-SUM('MDA1:NCA9'!T$32)-SUM('MDA1:NCA9'!T$34))</f>
        <v>15839.46671583231</v>
      </c>
      <c r="U49" s="12">
        <f>'Corp.'!U$50*(U$37-(U31-U32-U34)*$C$35)/(SUM('MDA1:NCA9'!U$37)-SUM('MDA1:NCA9'!U$31)-SUM('MDA1:NCA9'!U$32)-SUM('MDA1:NCA9'!U$34))</f>
        <v>16975.305789990005</v>
      </c>
      <c r="V49" s="12">
        <f>'Corp.'!V$50*(V$37-(V31-V32-V34)*$C$35)/(SUM('MDA1:NCA9'!V$37)-SUM('MDA1:NCA9'!V$31)-SUM('MDA1:NCA9'!V$32)-SUM('MDA1:NCA9'!V$34))</f>
        <v>18876.878078876372</v>
      </c>
      <c r="W49" s="12">
        <f>'Corp.'!W$50*(W$37-(W31-W32-W34)*$C$35)/(SUM('MDA1:NCA9'!W$37)-SUM('MDA1:NCA9'!W$31)-SUM('MDA1:NCA9'!W$32)-SUM('MDA1:NCA9'!W$34))</f>
        <v>20533.598333483107</v>
      </c>
      <c r="X49" s="12">
        <f>'Corp.'!X$50*(X$37-(X31-X32-X34)*$C$35)/(SUM('MDA1:NCA9'!X$37)-SUM('MDA1:NCA9'!X$31)-SUM('MDA1:NCA9'!X$32)-SUM('MDA1:NCA9'!X$34))</f>
        <v>22057.954773950682</v>
      </c>
      <c r="Y49" s="12">
        <f>'Corp.'!Y$50*(Y$37-(Y31-Y32-Y34)*$C$35)/(SUM('MDA1:NCA9'!Y$37)-SUM('MDA1:NCA9'!Y$31)-SUM('MDA1:NCA9'!Y$32)-SUM('MDA1:NCA9'!Y$34))</f>
        <v>23712.434246120956</v>
      </c>
      <c r="Z49" s="12">
        <f>'Corp.'!Z$50*(Z$37-(Z31-Z32-Z34)*$C$35)/(SUM('MDA1:NCA9'!Z$37)-SUM('MDA1:NCA9'!Z$31)-SUM('MDA1:NCA9'!Z$32)-SUM('MDA1:NCA9'!Z$34))</f>
        <v>25281.890119455595</v>
      </c>
      <c r="AA49" s="12">
        <f>'Corp.'!AA$50*(AA$37-(AA31-AA32-AA34)*$C$35)/(SUM('MDA1:NCA9'!AA$37)-SUM('MDA1:NCA9'!AA$31)-SUM('MDA1:NCA9'!AA$32)-SUM('MDA1:NCA9'!AA$34))</f>
        <v>26745.581295108892</v>
      </c>
      <c r="AB49" s="12">
        <f>'Corp.'!AB$50*(AB$37-(AB31-AB32-AB34)*$C$35)/(SUM('MDA1:NCA9'!AB$37)-SUM('MDA1:NCA9'!AB$31)-SUM('MDA1:NCA9'!AB$32)-SUM('MDA1:NCA9'!AB$34))</f>
        <v>26172.612038015905</v>
      </c>
      <c r="AC49" s="12">
        <f>'Corp.'!AC$50*(AC$37-(AC31-AC32-AC34)*$C$35)/(SUM('MDA1:NCA9'!AC$37)-SUM('MDA1:NCA9'!AC$31)-SUM('MDA1:NCA9'!AC$32)-SUM('MDA1:NCA9'!AC$34))</f>
        <v>28322.373733940509</v>
      </c>
      <c r="AD49" s="12">
        <f>'Corp.'!AD$50*(AD$37-(AD31-AD32-AD34)*$C$35)/(SUM('MDA1:NCA9'!AD$37)-SUM('MDA1:NCA9'!AD$31)-SUM('MDA1:NCA9'!AD$32)-SUM('MDA1:NCA9'!AD$34))</f>
        <v>27887.509627942694</v>
      </c>
      <c r="AE49" s="12">
        <f>'Corp.'!AE$50*(AE$37-(AE31-AE32-AE34)*$C$35)/(SUM('MDA1:NCA9'!AE$37)-SUM('MDA1:NCA9'!AE$31)-SUM('MDA1:NCA9'!AE$32)-SUM('MDA1:NCA9'!AE$34))</f>
        <v>27475.817746479206</v>
      </c>
      <c r="AF49" s="12">
        <f>'Corp.'!AF$50*(AF$37-(AF31-AF32-AF34)*$C$35)/(SUM('MDA1:NCA9'!AF$37)-SUM('MDA1:NCA9'!AF$31)-SUM('MDA1:NCA9'!AF$32)-SUM('MDA1:NCA9'!AF$34))</f>
        <v>27088.679218878155</v>
      </c>
      <c r="AG49" s="12">
        <f>'Corp.'!AG$50*(AG$37-(AG31-AG32-AG34)*$C$35)/(SUM('MDA1:NCA9'!AG$37)-SUM('MDA1:NCA9'!AG$31)-SUM('MDA1:NCA9'!AG$32)-SUM('MDA1:NCA9'!AG$34))</f>
        <v>26780.378721043686</v>
      </c>
      <c r="AH49" s="12">
        <f>'Corp.'!AH$50*(AH$37-(AH31-AH32-AH34)*$C$35)/(SUM('MDA1:NCA9'!AH$37)-SUM('MDA1:NCA9'!AH$31)-SUM('MDA1:NCA9'!AH$32)-SUM('MDA1:NCA9'!AH$34))</f>
        <v>26371.649702643186</v>
      </c>
      <c r="AI49" s="12">
        <f>'Corp.'!AI$50*(AI$37-(AI31-AI32-AI34)*$C$35)/(SUM('MDA1:NCA9'!AI$37)-SUM('MDA1:NCA9'!AI$31)-SUM('MDA1:NCA9'!AI$32)-SUM('MDA1:NCA9'!AI$34))</f>
        <v>25947.893997316831</v>
      </c>
      <c r="AJ49" s="12">
        <f>'Corp.'!AJ$50*(AJ$37-(AJ31-AJ32-AJ34)*$C$35)/(SUM('MDA1:NCA9'!AJ$37)-SUM('MDA1:NCA9'!AJ$31)-SUM('MDA1:NCA9'!AJ$32)-SUM('MDA1:NCA9'!AJ$34))</f>
        <v>25510.438978484497</v>
      </c>
      <c r="AK49" s="12">
        <f>'Corp.'!AK$50*(AK$37-(AK31-AK32-AK34)*$C$35)/(SUM('MDA1:NCA9'!AK$37)-SUM('MDA1:NCA9'!AK$31)-SUM('MDA1:NCA9'!AK$32)-SUM('MDA1:NCA9'!AK$34))</f>
        <v>25106.362881428384</v>
      </c>
      <c r="AL49" s="12">
        <f>'Corp.'!AL$50*(AL$37-(AL31-AL32-AL34)*$C$35)/(SUM('MDA1:NCA9'!AL$37)-SUM('MDA1:NCA9'!AL$31)-SUM('MDA1:NCA9'!AL$32)-SUM('MDA1:NCA9'!AL$34))</f>
        <v>24734.935955461751</v>
      </c>
      <c r="AM49" s="12">
        <f>'Corp.'!AM$50*(AM$37-(AM31-AM32-AM34)*$C$35)/(SUM('MDA1:NCA9'!AM$37)-SUM('MDA1:NCA9'!AM$31)-SUM('MDA1:NCA9'!AM$32)-SUM('MDA1:NCA9'!AM$34))</f>
        <v>24334.460207993779</v>
      </c>
      <c r="AN49" s="12">
        <f>'Corp.'!AN$50*(AN$37-(AN31-AN32-AN34)*$C$35)/(SUM('MDA1:NCA9'!AN$37)-SUM('MDA1:NCA9'!AN$31)-SUM('MDA1:NCA9'!AN$32)-SUM('MDA1:NCA9'!AN$34))</f>
        <v>23993.615997108154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103139</v>
      </c>
      <c r="M50" s="13">
        <v>0</v>
      </c>
      <c r="N50" s="13">
        <v>44552.15651345074</v>
      </c>
      <c r="O50" s="13">
        <v>73733.343292025645</v>
      </c>
      <c r="P50" s="13">
        <v>93142.797168060657</v>
      </c>
      <c r="Q50" s="13">
        <v>121384.43155966181</v>
      </c>
      <c r="R50" s="13">
        <v>142047.56943633663</v>
      </c>
      <c r="S50" s="13">
        <v>162447.39124268948</v>
      </c>
      <c r="T50" s="13">
        <v>182785.33078074537</v>
      </c>
      <c r="U50" s="13">
        <v>196408.41806139436</v>
      </c>
      <c r="V50" s="13">
        <v>216785.13016001767</v>
      </c>
      <c r="W50" s="13">
        <v>237031.84589102806</v>
      </c>
      <c r="X50" s="13">
        <v>256986.15047456589</v>
      </c>
      <c r="Y50" s="13">
        <v>277177.82308980642</v>
      </c>
      <c r="Z50" s="13">
        <v>297154.68443954468</v>
      </c>
      <c r="AA50" s="13">
        <v>312020.64042493491</v>
      </c>
      <c r="AB50" s="13">
        <v>311741.07616784202</v>
      </c>
      <c r="AC50" s="13">
        <v>339898.94471008249</v>
      </c>
      <c r="AD50" s="13">
        <v>339785.68370408472</v>
      </c>
      <c r="AE50" s="13">
        <v>339695.59492262115</v>
      </c>
      <c r="AF50" s="13">
        <v>339611.79726168682</v>
      </c>
      <c r="AG50" s="13">
        <v>339625.09986385237</v>
      </c>
      <c r="AH50" s="13">
        <v>339537.97394545178</v>
      </c>
      <c r="AI50" s="13">
        <v>339367.84827345883</v>
      </c>
      <c r="AJ50" s="13">
        <v>339369.68025462644</v>
      </c>
      <c r="AK50" s="13">
        <v>339287.20725757035</v>
      </c>
      <c r="AL50" s="13">
        <v>339101.43729827041</v>
      </c>
      <c r="AM50" s="13">
        <v>338700.96155080246</v>
      </c>
      <c r="AN50" s="13">
        <v>338360.11733991682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-103139</v>
      </c>
      <c r="M52" s="74">
        <f t="shared" si="0"/>
        <v>0</v>
      </c>
      <c r="N52" s="74">
        <f t="shared" si="0"/>
        <v>-29147.615946666738</v>
      </c>
      <c r="O52" s="74">
        <f t="shared" si="0"/>
        <v>-35221.991875065658</v>
      </c>
      <c r="P52" s="74">
        <f t="shared" si="0"/>
        <v>-31524.634900924648</v>
      </c>
      <c r="Q52" s="74">
        <f t="shared" si="0"/>
        <v>-34117.709248830462</v>
      </c>
      <c r="R52" s="74">
        <f t="shared" si="0"/>
        <v>-30980.831949823973</v>
      </c>
      <c r="S52" s="74">
        <f t="shared" si="0"/>
        <v>-27580.638580495579</v>
      </c>
      <c r="T52" s="74">
        <f t="shared" si="0"/>
        <v>-24118.562942870223</v>
      </c>
      <c r="U52" s="74">
        <f t="shared" si="0"/>
        <v>-21874.973439731664</v>
      </c>
      <c r="V52" s="74">
        <f t="shared" si="0"/>
        <v>-18451.670362673613</v>
      </c>
      <c r="W52" s="74">
        <f t="shared" si="0"/>
        <v>-14898.370918002736</v>
      </c>
      <c r="X52" s="74">
        <f t="shared" si="0"/>
        <v>-11052.660325859382</v>
      </c>
      <c r="Y52" s="74">
        <f t="shared" si="0"/>
        <v>-7444.3177654186147</v>
      </c>
      <c r="Z52" s="74">
        <f t="shared" si="0"/>
        <v>-3621.1639394755475</v>
      </c>
      <c r="AA52" s="74">
        <f t="shared" si="0"/>
        <v>5312.8952508153743</v>
      </c>
      <c r="AB52" s="74">
        <f t="shared" si="0"/>
        <v>5592.4595079082646</v>
      </c>
      <c r="AC52" s="74">
        <f t="shared" si="0"/>
        <v>-22565.409034332202</v>
      </c>
      <c r="AD52" s="74">
        <f t="shared" si="0"/>
        <v>-22452.148028334428</v>
      </c>
      <c r="AE52" s="74">
        <f t="shared" si="0"/>
        <v>-22362.059246870864</v>
      </c>
      <c r="AF52" s="74">
        <f t="shared" si="0"/>
        <v>-22278.261585936532</v>
      </c>
      <c r="AG52" s="74">
        <f t="shared" si="0"/>
        <v>-22291.564188102086</v>
      </c>
      <c r="AH52" s="74">
        <f t="shared" si="0"/>
        <v>-22204.438269701495</v>
      </c>
      <c r="AI52" s="74">
        <f t="shared" si="0"/>
        <v>-22034.312597708544</v>
      </c>
      <c r="AJ52" s="74">
        <f t="shared" si="0"/>
        <v>-22036.144578876148</v>
      </c>
      <c r="AK52" s="74">
        <f t="shared" si="0"/>
        <v>-21953.671581820061</v>
      </c>
      <c r="AL52" s="74">
        <f t="shared" si="0"/>
        <v>-21767.901622520119</v>
      </c>
      <c r="AM52" s="74">
        <f t="shared" si="0"/>
        <v>-21367.425875052169</v>
      </c>
      <c r="AN52" s="74">
        <f t="shared" si="0"/>
        <v>-21026.58166416653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>
        <f t="shared" si="1"/>
        <v>-1.8921444505470162</v>
      </c>
      <c r="O53" s="107">
        <f t="shared" si="1"/>
        <v>-0.91458727308006826</v>
      </c>
      <c r="P53" s="107">
        <f t="shared" si="1"/>
        <v>-0.51161270867272013</v>
      </c>
      <c r="Q53" s="107">
        <f t="shared" si="1"/>
        <v>-0.39095898580111849</v>
      </c>
      <c r="R53" s="107">
        <f t="shared" si="1"/>
        <v>-0.27893888531286082</v>
      </c>
      <c r="S53" s="107">
        <f t="shared" si="1"/>
        <v>-0.20450287440061596</v>
      </c>
      <c r="T53" s="107">
        <f t="shared" si="1"/>
        <v>-0.1520076527147414</v>
      </c>
      <c r="U53" s="107">
        <f t="shared" si="1"/>
        <v>-0.12533399250298524</v>
      </c>
      <c r="V53" s="107">
        <f t="shared" si="1"/>
        <v>-9.303357275936909E-2</v>
      </c>
      <c r="W53" s="107">
        <f t="shared" si="1"/>
        <v>-6.7069454164042197E-2</v>
      </c>
      <c r="X53" s="107">
        <f t="shared" si="1"/>
        <v>-4.4941664183988379E-2</v>
      </c>
      <c r="Y53" s="107">
        <f t="shared" si="1"/>
        <v>-2.7598787760778568E-2</v>
      </c>
      <c r="Z53" s="107">
        <f t="shared" si="1"/>
        <v>-1.2336457973544096E-2</v>
      </c>
      <c r="AA53" s="107">
        <f t="shared" si="1"/>
        <v>1.674230629139702E-2</v>
      </c>
      <c r="AB53" s="107">
        <f t="shared" si="1"/>
        <v>1.7623285531418304E-2</v>
      </c>
      <c r="AC53" s="107">
        <f t="shared" si="1"/>
        <v>-7.1109436909275847E-2</v>
      </c>
      <c r="AD53" s="107">
        <f t="shared" si="1"/>
        <v>-7.0752522201989743E-2</v>
      </c>
      <c r="AE53" s="107">
        <f t="shared" si="1"/>
        <v>-7.0468629164111715E-2</v>
      </c>
      <c r="AF53" s="107">
        <f t="shared" si="1"/>
        <v>-7.0204561073243577E-2</v>
      </c>
      <c r="AG53" s="107">
        <f t="shared" si="1"/>
        <v>-7.0246481011321429E-2</v>
      </c>
      <c r="AH53" s="107">
        <f t="shared" si="1"/>
        <v>-6.9971924720839684E-2</v>
      </c>
      <c r="AI53" s="107">
        <f t="shared" si="1"/>
        <v>-6.9435814751779304E-2</v>
      </c>
      <c r="AJ53" s="107">
        <f t="shared" si="1"/>
        <v>-6.9441587797996127E-2</v>
      </c>
      <c r="AK53" s="107">
        <f t="shared" si="1"/>
        <v>-6.9181694065427124E-2</v>
      </c>
      <c r="AL53" s="107">
        <f t="shared" si="1"/>
        <v>-6.8596284903094662E-2</v>
      </c>
      <c r="AM53" s="107">
        <f t="shared" si="1"/>
        <v>-6.7334282301903609E-2</v>
      </c>
      <c r="AN53" s="107">
        <f t="shared" si="1"/>
        <v>-6.6260194086928709E-2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151206.66666666666</v>
      </c>
      <c r="M55" s="12">
        <v>151206.66666666666</v>
      </c>
      <c r="N55" s="12">
        <v>151206.66666666666</v>
      </c>
      <c r="O55" s="12">
        <v>151206.66666666666</v>
      </c>
      <c r="P55" s="12">
        <v>151206.66666666666</v>
      </c>
      <c r="Q55" s="12">
        <v>151206.66666666666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-26887.855332293118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-28127.920847919271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-29996.491618670123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-31634.764507947591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-27486.321733312707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-33796.02154946747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-16660.010622976897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-20230.012899329085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-23800.01517568127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-26180.016693249403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-29750.018969601606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-33320.021245953794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-36890.023522305972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-40460.025798658171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-44030.02807501037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-254345.66666666666</v>
      </c>
      <c r="M58" s="13">
        <f t="shared" si="2"/>
        <v>-151206.66666666666</v>
      </c>
      <c r="N58" s="13">
        <f t="shared" si="2"/>
        <v>-180354.2826133334</v>
      </c>
      <c r="O58" s="13">
        <f t="shared" si="2"/>
        <v>-186428.65854173232</v>
      </c>
      <c r="P58" s="13">
        <f t="shared" si="2"/>
        <v>-182731.30156759132</v>
      </c>
      <c r="Q58" s="13">
        <f t="shared" si="2"/>
        <v>-212212.23124779025</v>
      </c>
      <c r="R58" s="13">
        <f t="shared" si="2"/>
        <v>-59108.752797743247</v>
      </c>
      <c r="S58" s="13">
        <f t="shared" si="2"/>
        <v>-57577.130199165702</v>
      </c>
      <c r="T58" s="13">
        <f t="shared" si="2"/>
        <v>-55753.327450817815</v>
      </c>
      <c r="U58" s="13">
        <f t="shared" si="2"/>
        <v>-49361.295173044375</v>
      </c>
      <c r="V58" s="13">
        <f t="shared" si="2"/>
        <v>-52247.691912141083</v>
      </c>
      <c r="W58" s="13">
        <f t="shared" si="2"/>
        <v>-31558.381540979633</v>
      </c>
      <c r="X58" s="13">
        <f t="shared" si="2"/>
        <v>-31282.673225188468</v>
      </c>
      <c r="Y58" s="13">
        <f t="shared" si="2"/>
        <v>-31244.332941099885</v>
      </c>
      <c r="Z58" s="13">
        <f t="shared" si="2"/>
        <v>-29801.180632724951</v>
      </c>
      <c r="AA58" s="13">
        <f t="shared" si="2"/>
        <v>-24437.123718786232</v>
      </c>
      <c r="AB58" s="13">
        <f t="shared" si="2"/>
        <v>-27727.56173804553</v>
      </c>
      <c r="AC58" s="13">
        <f t="shared" si="2"/>
        <v>-59455.432556638174</v>
      </c>
      <c r="AD58" s="13">
        <f t="shared" si="2"/>
        <v>-62912.173826992599</v>
      </c>
      <c r="AE58" s="13">
        <f t="shared" si="2"/>
        <v>-66392.087321881234</v>
      </c>
      <c r="AF58" s="13">
        <f t="shared" si="2"/>
        <v>-69878.291937299073</v>
      </c>
      <c r="AG58" s="13">
        <f t="shared" si="2"/>
        <v>-69891.594539464626</v>
      </c>
      <c r="AH58" s="13">
        <f t="shared" si="2"/>
        <v>-69804.468621064036</v>
      </c>
      <c r="AI58" s="13">
        <f t="shared" si="2"/>
        <v>-69634.342949071084</v>
      </c>
      <c r="AJ58" s="13">
        <f t="shared" si="2"/>
        <v>-69636.174930238689</v>
      </c>
      <c r="AK58" s="13">
        <f t="shared" si="2"/>
        <v>-69553.701933182601</v>
      </c>
      <c r="AL58" s="13">
        <f t="shared" si="2"/>
        <v>-69367.93197388266</v>
      </c>
      <c r="AM58" s="13">
        <f t="shared" si="2"/>
        <v>-68967.45622641471</v>
      </c>
      <c r="AN58" s="13">
        <f t="shared" si="2"/>
        <v>-68626.61201552907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-254345.66666666666</v>
      </c>
      <c r="M59" s="12">
        <v>-405552.33333333331</v>
      </c>
      <c r="N59" s="12">
        <v>-585906.61594666669</v>
      </c>
      <c r="O59" s="12">
        <v>-772335.27448839904</v>
      </c>
      <c r="P59" s="12">
        <v>-955066.5760559903</v>
      </c>
      <c r="Q59" s="12">
        <v>-1167278.8073037805</v>
      </c>
      <c r="R59" s="12">
        <v>-1226387.5601015238</v>
      </c>
      <c r="S59" s="12">
        <v>-1283964.6903006895</v>
      </c>
      <c r="T59" s="12">
        <v>-1339718.0177515075</v>
      </c>
      <c r="U59" s="12">
        <v>-1389079.3129245518</v>
      </c>
      <c r="V59" s="12">
        <v>-1441327.0048366929</v>
      </c>
      <c r="W59" s="12">
        <v>-1472885.3863776727</v>
      </c>
      <c r="X59" s="12">
        <v>-1504168.0596028611</v>
      </c>
      <c r="Y59" s="12">
        <v>-1535412.3925439608</v>
      </c>
      <c r="Z59" s="12">
        <v>-1565213.5731766857</v>
      </c>
      <c r="AA59" s="12">
        <v>-1589650.696895472</v>
      </c>
      <c r="AB59" s="12">
        <v>-1617378.2586335174</v>
      </c>
      <c r="AC59" s="12">
        <v>-1676833.6911901557</v>
      </c>
      <c r="AD59" s="12">
        <v>-1739745.8650171482</v>
      </c>
      <c r="AE59" s="12">
        <v>-1806137.9523390294</v>
      </c>
      <c r="AF59" s="12">
        <v>-1876016.2442763285</v>
      </c>
      <c r="AG59" s="12">
        <v>-1945907.8388157932</v>
      </c>
      <c r="AH59" s="12">
        <v>-2015712.3074368571</v>
      </c>
      <c r="AI59" s="12">
        <v>-2085346.6503859283</v>
      </c>
      <c r="AJ59" s="12">
        <v>-2154982.825316167</v>
      </c>
      <c r="AK59" s="12">
        <v>-2224536.5272493497</v>
      </c>
      <c r="AL59" s="12">
        <v>-2293904.4592232322</v>
      </c>
      <c r="AM59" s="12">
        <v>-2362871.9154496468</v>
      </c>
      <c r="AN59" s="12">
        <v>-2431498.5274651758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419.57079377997212</v>
      </c>
      <c r="O72" s="12">
        <v>1048.9269844499306</v>
      </c>
      <c r="P72" s="12">
        <v>1678.2831751198885</v>
      </c>
      <c r="Q72" s="12">
        <v>2538.4033023688321</v>
      </c>
      <c r="R72" s="12">
        <v>3230.6951121057868</v>
      </c>
      <c r="S72" s="12">
        <v>3922.9869218427389</v>
      </c>
      <c r="T72" s="12">
        <v>4615.2787315796922</v>
      </c>
      <c r="U72" s="12">
        <v>5076.8066047376642</v>
      </c>
      <c r="V72" s="12">
        <v>5769.0984144746153</v>
      </c>
      <c r="W72" s="12">
        <v>6461.3902242115737</v>
      </c>
      <c r="X72" s="12">
        <v>7153.6820339485239</v>
      </c>
      <c r="Y72" s="12">
        <v>7845.9738436854777</v>
      </c>
      <c r="Z72" s="12">
        <v>8538.2656534224334</v>
      </c>
      <c r="AA72" s="12">
        <v>9230.5574631593845</v>
      </c>
      <c r="AB72" s="12">
        <v>9230.5574631593845</v>
      </c>
      <c r="AC72" s="12">
        <v>10153.61320947533</v>
      </c>
      <c r="AD72" s="12">
        <v>10153.61320947533</v>
      </c>
      <c r="AE72" s="12">
        <v>10153.61320947533</v>
      </c>
      <c r="AF72" s="12">
        <v>10153.61320947533</v>
      </c>
      <c r="AG72" s="12">
        <v>10153.61320947533</v>
      </c>
      <c r="AH72" s="12">
        <v>10153.61320947533</v>
      </c>
      <c r="AI72" s="12">
        <v>10153.61320947533</v>
      </c>
      <c r="AJ72" s="12">
        <v>10153.61320947533</v>
      </c>
      <c r="AK72" s="12">
        <v>10153.61320947533</v>
      </c>
      <c r="AL72" s="12">
        <v>10153.61320947533</v>
      </c>
      <c r="AM72" s="12">
        <v>10153.61320947533</v>
      </c>
      <c r="AN72" s="12">
        <v>10153.61320947533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-419.57079377997212</v>
      </c>
      <c r="O75" s="74">
        <v>-1048.9269844499306</v>
      </c>
      <c r="P75" s="74">
        <v>-1678.2831751198885</v>
      </c>
      <c r="Q75" s="74">
        <v>-2538.4033023688321</v>
      </c>
      <c r="R75" s="74">
        <v>-3230.6951121057868</v>
      </c>
      <c r="S75" s="74">
        <v>-3922.9869218427389</v>
      </c>
      <c r="T75" s="74">
        <v>-4615.2787315796922</v>
      </c>
      <c r="U75" s="74">
        <v>-5076.8066047376642</v>
      </c>
      <c r="V75" s="74">
        <v>-5769.0984144746153</v>
      </c>
      <c r="W75" s="74">
        <v>-6461.3902242115737</v>
      </c>
      <c r="X75" s="74">
        <v>-7153.6820339485239</v>
      </c>
      <c r="Y75" s="74">
        <v>-7845.9738436854777</v>
      </c>
      <c r="Z75" s="74">
        <v>-8538.2656534224334</v>
      </c>
      <c r="AA75" s="74">
        <v>-9230.5574631593845</v>
      </c>
      <c r="AB75" s="74">
        <v>-9230.5574631593845</v>
      </c>
      <c r="AC75" s="74">
        <v>-10153.61320947533</v>
      </c>
      <c r="AD75" s="74">
        <v>-10153.61320947533</v>
      </c>
      <c r="AE75" s="74">
        <v>-10153.61320947533</v>
      </c>
      <c r="AF75" s="74">
        <v>-10153.61320947533</v>
      </c>
      <c r="AG75" s="74">
        <v>-10153.61320947533</v>
      </c>
      <c r="AH75" s="74">
        <v>-10153.61320947533</v>
      </c>
      <c r="AI75" s="74">
        <v>-10153.61320947533</v>
      </c>
      <c r="AJ75" s="74">
        <v>-10153.61320947533</v>
      </c>
      <c r="AK75" s="74">
        <v>-10153.61320947533</v>
      </c>
      <c r="AL75" s="74">
        <v>-10153.61320947533</v>
      </c>
      <c r="AM75" s="74">
        <v>-10153.61320947533</v>
      </c>
      <c r="AN75" s="74">
        <v>-10153.61320947533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B21E-AC04-464B-81EF-EE68264BFB2E}">
  <dimension ref="A1:AX75"/>
  <sheetViews>
    <sheetView workbookViewId="0">
      <pane xSplit="4" ySplit="25" topLeftCell="E32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87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2.8299999999999996</v>
      </c>
      <c r="X7" s="108">
        <v>5.6499999999999995</v>
      </c>
      <c r="Y7" s="108">
        <v>8.48</v>
      </c>
      <c r="Z7" s="108">
        <v>11.299999999999999</v>
      </c>
      <c r="AA7" s="108">
        <v>14.12</v>
      </c>
      <c r="AB7" s="108">
        <v>16.950000000000003</v>
      </c>
      <c r="AC7" s="108">
        <v>19.770000000000003</v>
      </c>
      <c r="AD7" s="108">
        <v>22.59</v>
      </c>
      <c r="AE7" s="108">
        <v>25.42</v>
      </c>
      <c r="AF7" s="108">
        <v>28.240000000000002</v>
      </c>
      <c r="AG7" s="108">
        <v>31.060000000000002</v>
      </c>
      <c r="AH7" s="108">
        <v>33.89</v>
      </c>
      <c r="AI7" s="108">
        <v>36.71</v>
      </c>
      <c r="AJ7" s="108">
        <v>39.53</v>
      </c>
      <c r="AK7" s="108">
        <v>39.53</v>
      </c>
      <c r="AL7" s="108">
        <v>39.53</v>
      </c>
      <c r="AM7" s="108">
        <v>39.53</v>
      </c>
      <c r="AN7" s="108">
        <v>39.53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0.43</v>
      </c>
      <c r="X8" s="108">
        <v>0.86</v>
      </c>
      <c r="Y8" s="108">
        <v>1.29</v>
      </c>
      <c r="Z8" s="108">
        <v>1.72</v>
      </c>
      <c r="AA8" s="108">
        <v>2.15</v>
      </c>
      <c r="AB8" s="108">
        <v>2.5799999999999996</v>
      </c>
      <c r="AC8" s="108">
        <v>3</v>
      </c>
      <c r="AD8" s="108">
        <v>3.4299999999999997</v>
      </c>
      <c r="AE8" s="108">
        <v>3.86</v>
      </c>
      <c r="AF8" s="108">
        <v>4.29</v>
      </c>
      <c r="AG8" s="108">
        <v>4.72</v>
      </c>
      <c r="AH8" s="108">
        <v>5.1499999999999995</v>
      </c>
      <c r="AI8" s="108">
        <v>5.58</v>
      </c>
      <c r="AJ8" s="108">
        <v>6</v>
      </c>
      <c r="AK8" s="108">
        <v>6</v>
      </c>
      <c r="AL8" s="108">
        <v>6</v>
      </c>
      <c r="AM8" s="108">
        <v>6</v>
      </c>
      <c r="AN8" s="108">
        <v>6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0.25</v>
      </c>
      <c r="Y12" s="108">
        <v>0.26</v>
      </c>
      <c r="Z12" s="108">
        <v>0.27</v>
      </c>
      <c r="AA12" s="108">
        <v>0.29000000000000004</v>
      </c>
      <c r="AB12" s="108">
        <v>0.3</v>
      </c>
      <c r="AC12" s="108">
        <v>0.31</v>
      </c>
      <c r="AD12" s="108">
        <v>0.33</v>
      </c>
      <c r="AE12" s="108">
        <v>0.34</v>
      </c>
      <c r="AF12" s="108">
        <v>0.35000000000000003</v>
      </c>
      <c r="AG12" s="108">
        <v>0.36</v>
      </c>
      <c r="AH12" s="108">
        <v>0.38</v>
      </c>
      <c r="AI12" s="108">
        <v>0.39</v>
      </c>
      <c r="AJ12" s="108">
        <v>0.17</v>
      </c>
      <c r="AK12" s="108">
        <v>0.18000000000000002</v>
      </c>
      <c r="AL12" s="108">
        <v>0.2</v>
      </c>
      <c r="AM12" s="108">
        <v>0.21000000000000002</v>
      </c>
      <c r="AN12" s="108">
        <v>0.22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0.02</v>
      </c>
      <c r="X13" s="108">
        <v>0.35000000000000003</v>
      </c>
      <c r="Y13" s="108">
        <v>0.39</v>
      </c>
      <c r="Z13" s="108">
        <v>0.42</v>
      </c>
      <c r="AA13" s="108">
        <v>0.45</v>
      </c>
      <c r="AB13" s="108">
        <v>0.49</v>
      </c>
      <c r="AC13" s="108">
        <v>0.52</v>
      </c>
      <c r="AD13" s="108">
        <v>0.55000000000000004</v>
      </c>
      <c r="AE13" s="108">
        <v>0.59</v>
      </c>
      <c r="AF13" s="108">
        <v>0.62</v>
      </c>
      <c r="AG13" s="108">
        <v>0.65</v>
      </c>
      <c r="AH13" s="108">
        <v>0.69000000000000006</v>
      </c>
      <c r="AI13" s="108">
        <v>0.72</v>
      </c>
      <c r="AJ13" s="108">
        <v>0.45</v>
      </c>
      <c r="AK13" s="108">
        <v>0.47000000000000003</v>
      </c>
      <c r="AL13" s="108">
        <v>0.49</v>
      </c>
      <c r="AM13" s="108">
        <v>0.5</v>
      </c>
      <c r="AN13" s="108">
        <v>0.52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0.02</v>
      </c>
      <c r="X14" s="108">
        <v>0.2</v>
      </c>
      <c r="Y14" s="108">
        <v>0.22</v>
      </c>
      <c r="Z14" s="108">
        <v>0.25</v>
      </c>
      <c r="AA14" s="108">
        <v>0.27</v>
      </c>
      <c r="AB14" s="108">
        <v>0.3</v>
      </c>
      <c r="AC14" s="108">
        <v>0.32</v>
      </c>
      <c r="AD14" s="108">
        <v>0.35000000000000003</v>
      </c>
      <c r="AE14" s="108">
        <v>0.37</v>
      </c>
      <c r="AF14" s="108">
        <v>0.39</v>
      </c>
      <c r="AG14" s="108">
        <v>0.42</v>
      </c>
      <c r="AH14" s="108">
        <v>0.44</v>
      </c>
      <c r="AI14" s="108">
        <v>0.47000000000000003</v>
      </c>
      <c r="AJ14" s="108">
        <v>0.34</v>
      </c>
      <c r="AK14" s="108">
        <v>0.35000000000000003</v>
      </c>
      <c r="AL14" s="108">
        <v>0.36</v>
      </c>
      <c r="AM14" s="108">
        <v>0.37</v>
      </c>
      <c r="AN14" s="108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0.02</v>
      </c>
      <c r="X15" s="108">
        <v>0.03</v>
      </c>
      <c r="Y15" s="108">
        <v>0.04</v>
      </c>
      <c r="Z15" s="108">
        <v>0.05</v>
      </c>
      <c r="AA15" s="108">
        <v>0.06</v>
      </c>
      <c r="AB15" s="108">
        <v>0.08</v>
      </c>
      <c r="AC15" s="108">
        <v>0.09</v>
      </c>
      <c r="AD15" s="108">
        <v>9.9999999999999992E-2</v>
      </c>
      <c r="AE15" s="108">
        <v>0.11</v>
      </c>
      <c r="AF15" s="108">
        <v>0.12</v>
      </c>
      <c r="AG15" s="108">
        <v>0.14000000000000001</v>
      </c>
      <c r="AH15" s="108">
        <v>0.15000000000000002</v>
      </c>
      <c r="AI15" s="108">
        <v>0.16</v>
      </c>
      <c r="AJ15" s="108">
        <v>0.17</v>
      </c>
      <c r="AK15" s="108">
        <v>0.17</v>
      </c>
      <c r="AL15" s="108">
        <v>0.17</v>
      </c>
      <c r="AM15" s="108">
        <v>0.17</v>
      </c>
      <c r="AN15" s="108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0.02</v>
      </c>
      <c r="X16" s="108">
        <v>0.03</v>
      </c>
      <c r="Y16" s="108">
        <v>0.04</v>
      </c>
      <c r="Z16" s="108">
        <v>0.05</v>
      </c>
      <c r="AA16" s="108">
        <v>0.06</v>
      </c>
      <c r="AB16" s="108">
        <v>0.08</v>
      </c>
      <c r="AC16" s="108">
        <v>0.09</v>
      </c>
      <c r="AD16" s="108">
        <v>9.9999999999999992E-2</v>
      </c>
      <c r="AE16" s="108">
        <v>0.11</v>
      </c>
      <c r="AF16" s="108">
        <v>0.12</v>
      </c>
      <c r="AG16" s="108">
        <v>0.14000000000000001</v>
      </c>
      <c r="AH16" s="108">
        <v>0.15000000000000002</v>
      </c>
      <c r="AI16" s="108">
        <v>0.16</v>
      </c>
      <c r="AJ16" s="108">
        <v>0.17</v>
      </c>
      <c r="AK16" s="108">
        <v>0.17</v>
      </c>
      <c r="AL16" s="108">
        <v>0.17</v>
      </c>
      <c r="AM16" s="108">
        <v>0.17</v>
      </c>
      <c r="AN16" s="108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0.3</v>
      </c>
      <c r="X17" s="108">
        <v>0.6</v>
      </c>
      <c r="Y17" s="108">
        <v>0.9</v>
      </c>
      <c r="Z17" s="108">
        <v>1.2</v>
      </c>
      <c r="AA17" s="108">
        <v>1.5</v>
      </c>
      <c r="AB17" s="108">
        <v>1.8</v>
      </c>
      <c r="AC17" s="108">
        <v>2.1</v>
      </c>
      <c r="AD17" s="108">
        <v>2.4</v>
      </c>
      <c r="AE17" s="108">
        <v>2.7</v>
      </c>
      <c r="AF17" s="108">
        <v>3</v>
      </c>
      <c r="AG17" s="108">
        <v>3.3</v>
      </c>
      <c r="AH17" s="108">
        <v>3.6</v>
      </c>
      <c r="AI17" s="108">
        <v>3.9</v>
      </c>
      <c r="AJ17" s="108">
        <v>4.2</v>
      </c>
      <c r="AK17" s="108">
        <v>4.2</v>
      </c>
      <c r="AL17" s="108">
        <v>4.2</v>
      </c>
      <c r="AM17" s="108">
        <v>4.2</v>
      </c>
      <c r="AN17" s="108">
        <v>4.2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1</v>
      </c>
      <c r="X20" s="108">
        <v>1</v>
      </c>
      <c r="Y20" s="108">
        <v>1</v>
      </c>
      <c r="Z20" s="108">
        <v>1</v>
      </c>
      <c r="AA20" s="108">
        <v>1</v>
      </c>
      <c r="AB20" s="108">
        <v>1</v>
      </c>
      <c r="AC20" s="108">
        <v>1</v>
      </c>
      <c r="AD20" s="108">
        <v>1</v>
      </c>
      <c r="AE20" s="108">
        <v>1</v>
      </c>
      <c r="AF20" s="108">
        <v>1</v>
      </c>
      <c r="AG20" s="108">
        <v>1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3</v>
      </c>
      <c r="X21" s="120">
        <v>7</v>
      </c>
      <c r="Y21" s="120">
        <v>10</v>
      </c>
      <c r="Z21" s="120">
        <v>13</v>
      </c>
      <c r="AA21" s="120">
        <v>16</v>
      </c>
      <c r="AB21" s="120">
        <v>20</v>
      </c>
      <c r="AC21" s="120">
        <v>23</v>
      </c>
      <c r="AD21" s="120">
        <v>26</v>
      </c>
      <c r="AE21" s="120">
        <v>29</v>
      </c>
      <c r="AF21" s="120">
        <v>33</v>
      </c>
      <c r="AG21" s="120">
        <v>36</v>
      </c>
      <c r="AH21" s="120">
        <v>39</v>
      </c>
      <c r="AI21" s="120">
        <v>42</v>
      </c>
      <c r="AJ21" s="120">
        <v>46</v>
      </c>
      <c r="AK21" s="120">
        <v>46</v>
      </c>
      <c r="AL21" s="120">
        <v>46</v>
      </c>
      <c r="AM21" s="120">
        <v>46</v>
      </c>
      <c r="AN21" s="120">
        <v>46</v>
      </c>
    </row>
    <row r="22" spans="2:50" x14ac:dyDescent="0.25">
      <c r="B22" s="2" t="s">
        <v>464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94.739054978770966</v>
      </c>
      <c r="X22" s="78">
        <v>94.739054978770966</v>
      </c>
      <c r="Y22" s="78">
        <v>94.739054978770952</v>
      </c>
      <c r="Z22" s="78">
        <v>94.739054978770966</v>
      </c>
      <c r="AA22" s="78">
        <v>94.739054978770966</v>
      </c>
      <c r="AB22" s="78">
        <v>94.739054978770952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94.739054978770952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22196.754060623996</v>
      </c>
      <c r="X26" s="12">
        <v>44393.508121247993</v>
      </c>
      <c r="Y26" s="12">
        <v>66590.262181871993</v>
      </c>
      <c r="Z26" s="12">
        <v>88787.016242495985</v>
      </c>
      <c r="AA26" s="12">
        <v>110983.77030312001</v>
      </c>
      <c r="AB26" s="12">
        <v>133180.52436374399</v>
      </c>
      <c r="AC26" s="12">
        <v>155377.27842436801</v>
      </c>
      <c r="AD26" s="12">
        <v>177574.03248499197</v>
      </c>
      <c r="AE26" s="12">
        <v>199770.78654561599</v>
      </c>
      <c r="AF26" s="12">
        <v>221967.54060624001</v>
      </c>
      <c r="AG26" s="12">
        <v>244164.29466686401</v>
      </c>
      <c r="AH26" s="12">
        <v>266361.04872748797</v>
      </c>
      <c r="AI26" s="12">
        <v>288557.80278811202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4255.7811919999995</v>
      </c>
      <c r="X27" s="12">
        <v>8511.5623839999989</v>
      </c>
      <c r="Y27" s="12">
        <v>12767.343575999997</v>
      </c>
      <c r="Z27" s="12">
        <v>17023.124767999998</v>
      </c>
      <c r="AA27" s="12">
        <v>21278.90596</v>
      </c>
      <c r="AB27" s="12">
        <v>25534.687151999995</v>
      </c>
      <c r="AC27" s="12">
        <v>29790.468344000001</v>
      </c>
      <c r="AD27" s="12">
        <v>34046.249535999996</v>
      </c>
      <c r="AE27" s="12">
        <v>38302.030727999998</v>
      </c>
      <c r="AF27" s="12">
        <v>42557.81192</v>
      </c>
      <c r="AG27" s="12">
        <v>46813.593112000002</v>
      </c>
      <c r="AH27" s="12">
        <v>51069.37430399999</v>
      </c>
      <c r="AI27" s="12">
        <v>55325.155495999992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4686.4231521120009</v>
      </c>
      <c r="X28" s="12">
        <v>9372.8463042240019</v>
      </c>
      <c r="Y28" s="12">
        <v>14059.269456336</v>
      </c>
      <c r="Z28" s="12">
        <v>18745.692608448004</v>
      </c>
      <c r="AA28" s="12">
        <v>23432.115760560002</v>
      </c>
      <c r="AB28" s="12">
        <v>28118.538912672</v>
      </c>
      <c r="AC28" s="12">
        <v>32804.962064784006</v>
      </c>
      <c r="AD28" s="12">
        <v>37491.385216896007</v>
      </c>
      <c r="AE28" s="12">
        <v>42177.808369008009</v>
      </c>
      <c r="AF28" s="12">
        <v>46864.231521120004</v>
      </c>
      <c r="AG28" s="12">
        <v>51550.654673231998</v>
      </c>
      <c r="AH28" s="12">
        <v>56237.077825344</v>
      </c>
      <c r="AI28" s="12">
        <v>60923.500977456002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265.16790503999999</v>
      </c>
      <c r="X29" s="12">
        <v>530.33581007999999</v>
      </c>
      <c r="Y29" s="12">
        <v>795.50371512000004</v>
      </c>
      <c r="Z29" s="12">
        <v>1060.67162016</v>
      </c>
      <c r="AA29" s="12">
        <v>1325.8395252</v>
      </c>
      <c r="AB29" s="12">
        <v>1591.0074302400001</v>
      </c>
      <c r="AC29" s="12">
        <v>1856.1753352799999</v>
      </c>
      <c r="AD29" s="12">
        <v>2121.3432403199999</v>
      </c>
      <c r="AE29" s="12">
        <v>2386.5111453600002</v>
      </c>
      <c r="AF29" s="12">
        <v>2651.6790504000001</v>
      </c>
      <c r="AG29" s="12">
        <v>2916.8469554399999</v>
      </c>
      <c r="AH29" s="12">
        <v>3182.0148604800002</v>
      </c>
      <c r="AI29" s="12">
        <v>3447.18276552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477.46047167999996</v>
      </c>
      <c r="X30" s="12">
        <v>954.92094335999991</v>
      </c>
      <c r="Y30" s="12">
        <v>1432.3814150400001</v>
      </c>
      <c r="Z30" s="12">
        <v>1909.8418867199998</v>
      </c>
      <c r="AA30" s="12">
        <v>2387.3023584000002</v>
      </c>
      <c r="AB30" s="12">
        <v>2864.7628300800002</v>
      </c>
      <c r="AC30" s="12">
        <v>3342.2233017600001</v>
      </c>
      <c r="AD30" s="12">
        <v>3819.6837734399996</v>
      </c>
      <c r="AE30" s="12">
        <v>4297.1442451199991</v>
      </c>
      <c r="AF30" s="12">
        <v>4774.6047168000005</v>
      </c>
      <c r="AG30" s="12">
        <v>5252.06518848</v>
      </c>
      <c r="AH30" s="12">
        <v>5729.5256601600004</v>
      </c>
      <c r="AI30" s="12">
        <v>6206.9861318399999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-6762.7224845747196</v>
      </c>
      <c r="X35" s="12">
        <v>-10588.512898349438</v>
      </c>
      <c r="Y35" s="12">
        <v>-14414.303312124157</v>
      </c>
      <c r="Z35" s="12">
        <v>-18240.093725898878</v>
      </c>
      <c r="AA35" s="12">
        <v>-22065.884139673595</v>
      </c>
      <c r="AB35" s="12">
        <v>-25891.674553448316</v>
      </c>
      <c r="AC35" s="12">
        <v>-29717.464967223041</v>
      </c>
      <c r="AD35" s="12">
        <v>-33543.255380997762</v>
      </c>
      <c r="AE35" s="12">
        <v>-37369.045794772479</v>
      </c>
      <c r="AF35" s="12">
        <v>-41194.836208547196</v>
      </c>
      <c r="AG35" s="12">
        <v>-45020.626622321928</v>
      </c>
      <c r="AH35" s="12">
        <v>-48846.417036096631</v>
      </c>
      <c r="AI35" s="12">
        <v>-52672.207449871363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45337.517028214614</v>
      </c>
      <c r="X37" s="13">
        <v>69137.532203895898</v>
      </c>
      <c r="Y37" s="13">
        <v>92937.547379577154</v>
      </c>
      <c r="Z37" s="13">
        <v>116737.56255525845</v>
      </c>
      <c r="AA37" s="13">
        <v>140537.57773093972</v>
      </c>
      <c r="AB37" s="13">
        <v>164337.59290662099</v>
      </c>
      <c r="AC37" s="13">
        <v>188137.60808230232</v>
      </c>
      <c r="AD37" s="13">
        <v>211937.62325798356</v>
      </c>
      <c r="AE37" s="13">
        <v>235737.63843366489</v>
      </c>
      <c r="AF37" s="13">
        <v>259537.6536093461</v>
      </c>
      <c r="AG37" s="13">
        <v>283337.66878502746</v>
      </c>
      <c r="AH37" s="13">
        <v>307137.68396070867</v>
      </c>
      <c r="AI37" s="13">
        <v>330937.69913639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44079.375476403628</v>
      </c>
      <c r="X40" s="12">
        <v>71922.926952807233</v>
      </c>
      <c r="Y40" s="12">
        <v>89429.602429210878</v>
      </c>
      <c r="Z40" s="12">
        <v>106900.33723894779</v>
      </c>
      <c r="AA40" s="12">
        <v>124413.60538201811</v>
      </c>
      <c r="AB40" s="12">
        <v>142186.11419175507</v>
      </c>
      <c r="AC40" s="12">
        <v>175450.00806830791</v>
      </c>
      <c r="AD40" s="12">
        <v>194778.93469235185</v>
      </c>
      <c r="AE40" s="12">
        <v>214036.27771639585</v>
      </c>
      <c r="AF40" s="12">
        <v>233189.75434043986</v>
      </c>
      <c r="AG40" s="12">
        <v>252635.64763115047</v>
      </c>
      <c r="AH40" s="12">
        <v>272004.10898852779</v>
      </c>
      <c r="AI40" s="12">
        <v>291221.91727923846</v>
      </c>
      <c r="AJ40" s="12">
        <v>304816.55306994915</v>
      </c>
      <c r="AK40" s="12">
        <v>305120.66640328243</v>
      </c>
      <c r="AL40" s="12">
        <v>305535.89806994918</v>
      </c>
      <c r="AM40" s="12">
        <v>305775.6797366158</v>
      </c>
      <c r="AN40" s="12">
        <v>306079.79306994908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104139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4190.9143329606586</v>
      </c>
      <c r="X49" s="12">
        <f>'Corp.'!X$50*(X$37-(X31-X32-X34)*$C$35)/(SUM('MDA1:NCA9'!X$37)-SUM('MDA1:NCA9'!X$31)-SUM('MDA1:NCA9'!X$32)-SUM('MDA1:NCA9'!X$34))</f>
        <v>6200.9958774381066</v>
      </c>
      <c r="Y49" s="12">
        <f>'Corp.'!Y$50*(Y$37-(Y31-Y32-Y34)*$C$35)/(SUM('MDA1:NCA9'!Y$37)-SUM('MDA1:NCA9'!Y$31)-SUM('MDA1:NCA9'!Y$32)-SUM('MDA1:NCA9'!Y$34))</f>
        <v>8170.1955364561127</v>
      </c>
      <c r="Z49" s="12">
        <f>'Corp.'!Z$50*(Z$37-(Z31-Z32-Z34)*$C$35)/(SUM('MDA1:NCA9'!Z$37)-SUM('MDA1:NCA9'!Z$31)-SUM('MDA1:NCA9'!Z$32)-SUM('MDA1:NCA9'!Z$34))</f>
        <v>10054.545812373148</v>
      </c>
      <c r="AA49" s="12">
        <f>'Corp.'!AA$50*(AA$37-(AA31-AA32-AA34)*$C$35)/(SUM('MDA1:NCA9'!AA$37)-SUM('MDA1:NCA9'!AA$31)-SUM('MDA1:NCA9'!AA$32)-SUM('MDA1:NCA9'!AA$34))</f>
        <v>11844.821891315052</v>
      </c>
      <c r="AB49" s="12">
        <f>'Corp.'!AB$50*(AB$37-(AB31-AB32-AB34)*$C$35)/(SUM('MDA1:NCA9'!AB$37)-SUM('MDA1:NCA9'!AB$31)-SUM('MDA1:NCA9'!AB$32)-SUM('MDA1:NCA9'!AB$34))</f>
        <v>13554.016764245402</v>
      </c>
      <c r="AC49" s="12">
        <f>'Corp.'!AC$50*(AC$37-(AC31-AC32-AC34)*$C$35)/(SUM('MDA1:NCA9'!AC$37)-SUM('MDA1:NCA9'!AC$31)-SUM('MDA1:NCA9'!AC$32)-SUM('MDA1:NCA9'!AC$34))</f>
        <v>16791.492390395288</v>
      </c>
      <c r="AD49" s="12">
        <f>'Corp.'!AD$50*(AD$37-(AD31-AD32-AD34)*$C$35)/(SUM('MDA1:NCA9'!AD$37)-SUM('MDA1:NCA9'!AD$31)-SUM('MDA1:NCA9'!AD$32)-SUM('MDA1:NCA9'!AD$34))</f>
        <v>18625.23762748333</v>
      </c>
      <c r="AE49" s="12">
        <f>'Corp.'!AE$50*(AE$37-(AE31-AE32-AE34)*$C$35)/(SUM('MDA1:NCA9'!AE$37)-SUM('MDA1:NCA9'!AE$31)-SUM('MDA1:NCA9'!AE$32)-SUM('MDA1:NCA9'!AE$34))</f>
        <v>20410.967204572535</v>
      </c>
      <c r="AF49" s="12">
        <f>'Corp.'!AF$50*(AF$37-(AF31-AF32-AF34)*$C$35)/(SUM('MDA1:NCA9'!AF$37)-SUM('MDA1:NCA9'!AF$31)-SUM('MDA1:NCA9'!AF$32)-SUM('MDA1:NCA9'!AF$34))</f>
        <v>22155.024456752188</v>
      </c>
      <c r="AG49" s="12">
        <f>'Corp.'!AG$50*(AG$37-(AG31-AG32-AG34)*$C$35)/(SUM('MDA1:NCA9'!AG$37)-SUM('MDA1:NCA9'!AG$31)-SUM('MDA1:NCA9'!AG$32)-SUM('MDA1:NCA9'!AG$34))</f>
        <v>23911.403060009197</v>
      </c>
      <c r="AH49" s="12">
        <f>'Corp.'!AH$50*(AH$37-(AH31-AH32-AH34)*$C$35)/(SUM('MDA1:NCA9'!AH$37)-SUM('MDA1:NCA9'!AH$31)-SUM('MDA1:NCA9'!AH$32)-SUM('MDA1:NCA9'!AH$34))</f>
        <v>25524.334812722722</v>
      </c>
      <c r="AI49" s="12">
        <f>'Corp.'!AI$50*(AI$37-(AI31-AI32-AI34)*$C$35)/(SUM('MDA1:NCA9'!AI$37)-SUM('MDA1:NCA9'!AI$31)-SUM('MDA1:NCA9'!AI$32)-SUM('MDA1:NCA9'!AI$34))</f>
        <v>27060.286328140457</v>
      </c>
      <c r="AJ49" s="12">
        <f>'Corp.'!AJ$50*(AJ$37-(AJ31-AJ32-AJ34)*$C$35)/(SUM('MDA1:NCA9'!AJ$37)-SUM('MDA1:NCA9'!AJ$31)-SUM('MDA1:NCA9'!AJ$32)-SUM('MDA1:NCA9'!AJ$34))</f>
        <v>28517.360432941787</v>
      </c>
      <c r="AK49" s="12">
        <f>'Corp.'!AK$50*(AK$37-(AK31-AK32-AK34)*$C$35)/(SUM('MDA1:NCA9'!AK$37)-SUM('MDA1:NCA9'!AK$31)-SUM('MDA1:NCA9'!AK$32)-SUM('MDA1:NCA9'!AK$34))</f>
        <v>28065.655791096771</v>
      </c>
      <c r="AL49" s="12">
        <f>'Corp.'!AL$50*(AL$37-(AL31-AL32-AL34)*$C$35)/(SUM('MDA1:NCA9'!AL$37)-SUM('MDA1:NCA9'!AL$31)-SUM('MDA1:NCA9'!AL$32)-SUM('MDA1:NCA9'!AL$34))</f>
        <v>27650.448685832002</v>
      </c>
      <c r="AM49" s="12">
        <f>'Corp.'!AM$50*(AM$37-(AM31-AM32-AM34)*$C$35)/(SUM('MDA1:NCA9'!AM$37)-SUM('MDA1:NCA9'!AM$31)-SUM('MDA1:NCA9'!AM$32)-SUM('MDA1:NCA9'!AM$34))</f>
        <v>27202.768767629575</v>
      </c>
      <c r="AN49" s="12">
        <f>'Corp.'!AN$50*(AN$37-(AN31-AN32-AN34)*$C$35)/(SUM('MDA1:NCA9'!AN$37)-SUM('MDA1:NCA9'!AN$31)-SUM('MDA1:NCA9'!AN$32)-SUM('MDA1:NCA9'!AN$34))</f>
        <v>26821.749169279861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104139</v>
      </c>
      <c r="V50" s="13">
        <v>0</v>
      </c>
      <c r="W50" s="13">
        <v>75720.859809364279</v>
      </c>
      <c r="X50" s="13">
        <v>107477.30283024535</v>
      </c>
      <c r="Y50" s="13">
        <v>128256.22796566699</v>
      </c>
      <c r="Z50" s="13">
        <v>148910.79305132091</v>
      </c>
      <c r="AA50" s="13">
        <v>169513.81727333317</v>
      </c>
      <c r="AB50" s="13">
        <v>190309.2809560005</v>
      </c>
      <c r="AC50" s="13">
        <v>229155.4691587032</v>
      </c>
      <c r="AD50" s="13">
        <v>251647.25201983514</v>
      </c>
      <c r="AE50" s="13">
        <v>274019.43562096835</v>
      </c>
      <c r="AF50" s="13">
        <v>296238.797697192</v>
      </c>
      <c r="AG50" s="13">
        <v>318773.8219911597</v>
      </c>
      <c r="AH50" s="13">
        <v>341087.96750125056</v>
      </c>
      <c r="AI50" s="13">
        <v>363167.19690737897</v>
      </c>
      <c r="AJ50" s="13">
        <v>379289.47840289096</v>
      </c>
      <c r="AK50" s="13">
        <v>379156.45269437926</v>
      </c>
      <c r="AL50" s="13">
        <v>379174.68425578123</v>
      </c>
      <c r="AM50" s="13">
        <v>378977.71020424541</v>
      </c>
      <c r="AN50" s="13">
        <v>378915.36953922897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-104139</v>
      </c>
      <c r="V52" s="74">
        <f t="shared" si="0"/>
        <v>0</v>
      </c>
      <c r="W52" s="74">
        <f t="shared" si="0"/>
        <v>-30383.342781149666</v>
      </c>
      <c r="X52" s="74">
        <f t="shared" si="0"/>
        <v>-38339.770626349447</v>
      </c>
      <c r="Y52" s="74">
        <f t="shared" si="0"/>
        <v>-35318.680586089831</v>
      </c>
      <c r="Z52" s="74">
        <f t="shared" si="0"/>
        <v>-32173.230496062461</v>
      </c>
      <c r="AA52" s="74">
        <f t="shared" si="0"/>
        <v>-28976.23954239345</v>
      </c>
      <c r="AB52" s="74">
        <f t="shared" si="0"/>
        <v>-25971.688049379503</v>
      </c>
      <c r="AC52" s="74">
        <f t="shared" si="0"/>
        <v>-41017.861076400877</v>
      </c>
      <c r="AD52" s="74">
        <f t="shared" si="0"/>
        <v>-39709.628761851578</v>
      </c>
      <c r="AE52" s="74">
        <f t="shared" si="0"/>
        <v>-38281.797187303455</v>
      </c>
      <c r="AF52" s="74">
        <f t="shared" si="0"/>
        <v>-36701.144087845896</v>
      </c>
      <c r="AG52" s="74">
        <f t="shared" si="0"/>
        <v>-35436.153206132236</v>
      </c>
      <c r="AH52" s="74">
        <f t="shared" si="0"/>
        <v>-33950.283540541888</v>
      </c>
      <c r="AI52" s="74">
        <f t="shared" si="0"/>
        <v>-32229.497770988964</v>
      </c>
      <c r="AJ52" s="74">
        <f t="shared" si="0"/>
        <v>-24551.764090819634</v>
      </c>
      <c r="AK52" s="74">
        <f t="shared" si="0"/>
        <v>-24418.738382307929</v>
      </c>
      <c r="AL52" s="74">
        <f t="shared" si="0"/>
        <v>-24436.969943709904</v>
      </c>
      <c r="AM52" s="74">
        <f t="shared" si="0"/>
        <v>-24239.995892174076</v>
      </c>
      <c r="AN52" s="74">
        <f t="shared" si="0"/>
        <v>-24177.655227157637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>
        <f t="shared" si="1"/>
        <v>-0.67015894942463194</v>
      </c>
      <c r="X53" s="107">
        <f t="shared" si="1"/>
        <v>-0.55454352222581937</v>
      </c>
      <c r="Y53" s="107">
        <f t="shared" si="1"/>
        <v>-0.38002595917278365</v>
      </c>
      <c r="Z53" s="107">
        <f t="shared" si="1"/>
        <v>-0.27560306889937897</v>
      </c>
      <c r="AA53" s="107">
        <f t="shared" si="1"/>
        <v>-0.20618143567173675</v>
      </c>
      <c r="AB53" s="107">
        <f t="shared" si="1"/>
        <v>-0.15803863005427488</v>
      </c>
      <c r="AC53" s="107">
        <f t="shared" si="1"/>
        <v>-0.21802053026238796</v>
      </c>
      <c r="AD53" s="107">
        <f t="shared" si="1"/>
        <v>-0.18736469793055369</v>
      </c>
      <c r="AE53" s="107">
        <f t="shared" si="1"/>
        <v>-0.16239153595354147</v>
      </c>
      <c r="AF53" s="107">
        <f t="shared" si="1"/>
        <v>-0.14140970906321035</v>
      </c>
      <c r="AG53" s="107">
        <f t="shared" si="1"/>
        <v>-0.12506686229926658</v>
      </c>
      <c r="AH53" s="107">
        <f t="shared" si="1"/>
        <v>-0.11053766865314078</v>
      </c>
      <c r="AI53" s="107">
        <f t="shared" si="1"/>
        <v>-9.7388414360450842E-2</v>
      </c>
      <c r="AJ53" s="107">
        <f t="shared" si="1"/>
        <v>-6.921103423816069E-2</v>
      </c>
      <c r="AK53" s="107">
        <f t="shared" si="1"/>
        <v>-6.8836036872093553E-2</v>
      </c>
      <c r="AL53" s="107">
        <f t="shared" si="1"/>
        <v>-6.8887431355021109E-2</v>
      </c>
      <c r="AM53" s="107">
        <f t="shared" si="1"/>
        <v>-6.8332164622478139E-2</v>
      </c>
      <c r="AN53" s="107">
        <f t="shared" si="1"/>
        <v>-6.8156427274851217E-2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131140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-29025.142200541704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-30736.39352930235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-31971.644554549363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-33637.645616847098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-35303.646679144738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-36969.647741442473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-21080.636659640957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-24650.638935993149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-28220.641212345348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-235279</v>
      </c>
      <c r="V58" s="13">
        <f t="shared" si="2"/>
        <v>-131140</v>
      </c>
      <c r="W58" s="13">
        <f t="shared" si="2"/>
        <v>-161523.34278114967</v>
      </c>
      <c r="X58" s="13">
        <f t="shared" si="2"/>
        <v>-169479.77062634943</v>
      </c>
      <c r="Y58" s="13">
        <f t="shared" si="2"/>
        <v>-166458.68058608985</v>
      </c>
      <c r="Z58" s="13">
        <f t="shared" si="2"/>
        <v>-192338.37269660417</v>
      </c>
      <c r="AA58" s="13">
        <f t="shared" si="2"/>
        <v>-59712.633071695804</v>
      </c>
      <c r="AB58" s="13">
        <f t="shared" si="2"/>
        <v>-57943.332603928866</v>
      </c>
      <c r="AC58" s="13">
        <f t="shared" si="2"/>
        <v>-74655.506693247968</v>
      </c>
      <c r="AD58" s="13">
        <f t="shared" si="2"/>
        <v>-75013.275440996309</v>
      </c>
      <c r="AE58" s="13">
        <f t="shared" si="2"/>
        <v>-75251.444928745928</v>
      </c>
      <c r="AF58" s="13">
        <f t="shared" si="2"/>
        <v>-57781.780747486853</v>
      </c>
      <c r="AG58" s="13">
        <f t="shared" si="2"/>
        <v>-60086.792142125385</v>
      </c>
      <c r="AH58" s="13">
        <f t="shared" si="2"/>
        <v>-62170.924752887237</v>
      </c>
      <c r="AI58" s="13">
        <f t="shared" si="2"/>
        <v>-64020.141259686498</v>
      </c>
      <c r="AJ58" s="13">
        <f t="shared" si="2"/>
        <v>-59912.409855869366</v>
      </c>
      <c r="AK58" s="13">
        <f t="shared" si="2"/>
        <v>-63349.386423709846</v>
      </c>
      <c r="AL58" s="13">
        <f t="shared" si="2"/>
        <v>-66937.620261464021</v>
      </c>
      <c r="AM58" s="13">
        <f t="shared" si="2"/>
        <v>-70310.648486280377</v>
      </c>
      <c r="AN58" s="13">
        <f t="shared" si="2"/>
        <v>-73818.310097616137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-235279</v>
      </c>
      <c r="V59" s="12">
        <v>-366419</v>
      </c>
      <c r="W59" s="12">
        <v>-527942.34278114967</v>
      </c>
      <c r="X59" s="12">
        <v>-697422.11340749916</v>
      </c>
      <c r="Y59" s="12">
        <v>-863880.793993589</v>
      </c>
      <c r="Z59" s="12">
        <v>-1056219.1666901931</v>
      </c>
      <c r="AA59" s="12">
        <v>-1115931.799761889</v>
      </c>
      <c r="AB59" s="12">
        <v>-1173875.1323658179</v>
      </c>
      <c r="AC59" s="12">
        <v>-1248530.6390590658</v>
      </c>
      <c r="AD59" s="12">
        <v>-1323543.9145000621</v>
      </c>
      <c r="AE59" s="12">
        <v>-1398795.3594288081</v>
      </c>
      <c r="AF59" s="12">
        <v>-1456577.1401762948</v>
      </c>
      <c r="AG59" s="12">
        <v>-1516663.9323184201</v>
      </c>
      <c r="AH59" s="12">
        <v>-1578834.8570713075</v>
      </c>
      <c r="AI59" s="12">
        <v>-1642854.998330994</v>
      </c>
      <c r="AJ59" s="12">
        <v>-1702767.4081868634</v>
      </c>
      <c r="AK59" s="12">
        <v>-1766116.7946105732</v>
      </c>
      <c r="AL59" s="12">
        <v>-1833054.4148720372</v>
      </c>
      <c r="AM59" s="12">
        <v>-1903365.0633583176</v>
      </c>
      <c r="AN59" s="12">
        <v>-1977183.3734559338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1346.9342361446402</v>
      </c>
      <c r="X63" s="12">
        <v>2693.8684722892804</v>
      </c>
      <c r="Y63" s="12">
        <v>4040.8027084339196</v>
      </c>
      <c r="Z63" s="12">
        <v>5387.7369445785607</v>
      </c>
      <c r="AA63" s="12">
        <v>6734.6711807232014</v>
      </c>
      <c r="AB63" s="12">
        <v>8081.6054168678393</v>
      </c>
      <c r="AC63" s="12">
        <v>9428.5396530124799</v>
      </c>
      <c r="AD63" s="12">
        <v>10775.473889157121</v>
      </c>
      <c r="AE63" s="12">
        <v>12122.408125301761</v>
      </c>
      <c r="AF63" s="12">
        <v>13469.342361446403</v>
      </c>
      <c r="AG63" s="12">
        <v>14816.276597591041</v>
      </c>
      <c r="AH63" s="12">
        <v>16163.210833735679</v>
      </c>
      <c r="AI63" s="12">
        <v>17510.145069880324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364.20187326336008</v>
      </c>
      <c r="X64" s="12">
        <v>728.40374652672017</v>
      </c>
      <c r="Y64" s="12">
        <v>1092.6056197900805</v>
      </c>
      <c r="Z64" s="12">
        <v>1456.8074930534403</v>
      </c>
      <c r="AA64" s="12">
        <v>1821.0093663168002</v>
      </c>
      <c r="AB64" s="12">
        <v>2185.211239580161</v>
      </c>
      <c r="AC64" s="12">
        <v>2549.4131128435206</v>
      </c>
      <c r="AD64" s="12">
        <v>2913.6149861068807</v>
      </c>
      <c r="AE64" s="12">
        <v>3277.8168593702403</v>
      </c>
      <c r="AF64" s="12">
        <v>3642.0187326336004</v>
      </c>
      <c r="AG64" s="12">
        <v>4006.2206058969605</v>
      </c>
      <c r="AH64" s="12">
        <v>4370.4224791603219</v>
      </c>
      <c r="AI64" s="12">
        <v>4734.6243524236816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1003.8872385484801</v>
      </c>
      <c r="X65" s="12">
        <v>2007.7744770969603</v>
      </c>
      <c r="Y65" s="12">
        <v>3011.6617156454399</v>
      </c>
      <c r="Z65" s="12">
        <v>4015.5489541939205</v>
      </c>
      <c r="AA65" s="12">
        <v>5019.4361927424006</v>
      </c>
      <c r="AB65" s="12">
        <v>6023.3234312908799</v>
      </c>
      <c r="AC65" s="12">
        <v>7027.2106698393609</v>
      </c>
      <c r="AD65" s="12">
        <v>8031.097908387841</v>
      </c>
      <c r="AE65" s="12">
        <v>9034.9851469363202</v>
      </c>
      <c r="AF65" s="12">
        <v>10038.872385484801</v>
      </c>
      <c r="AG65" s="12">
        <v>11042.759624033282</v>
      </c>
      <c r="AH65" s="12">
        <v>12046.64686258176</v>
      </c>
      <c r="AI65" s="12">
        <v>13050.534101130241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2715.0233479564804</v>
      </c>
      <c r="X67" s="13">
        <v>5430.0466959129608</v>
      </c>
      <c r="Y67" s="13">
        <v>8145.0700438694403</v>
      </c>
      <c r="Z67" s="13">
        <v>10860.093391825922</v>
      </c>
      <c r="AA67" s="13">
        <v>13575.116739782403</v>
      </c>
      <c r="AB67" s="13">
        <v>16290.140087738881</v>
      </c>
      <c r="AC67" s="13">
        <v>19005.163435695362</v>
      </c>
      <c r="AD67" s="13">
        <v>21720.186783651843</v>
      </c>
      <c r="AE67" s="13">
        <v>24435.210131608321</v>
      </c>
      <c r="AF67" s="13">
        <v>27150.233479564806</v>
      </c>
      <c r="AG67" s="13">
        <v>29865.256827521283</v>
      </c>
      <c r="AH67" s="13">
        <v>32580.280175477761</v>
      </c>
      <c r="AI67" s="13">
        <v>35295.303523434246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1</v>
      </c>
      <c r="AD69" s="108">
        <v>1</v>
      </c>
      <c r="AE69" s="108">
        <v>1</v>
      </c>
      <c r="AF69" s="108">
        <v>1</v>
      </c>
      <c r="AG69" s="108">
        <v>1</v>
      </c>
      <c r="AH69" s="108">
        <v>1</v>
      </c>
      <c r="AI69" s="108">
        <v>1</v>
      </c>
      <c r="AJ69" s="108">
        <v>1</v>
      </c>
      <c r="AK69" s="108">
        <v>1</v>
      </c>
      <c r="AL69" s="108">
        <v>1</v>
      </c>
      <c r="AM69" s="108">
        <v>1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1</v>
      </c>
      <c r="AE70" s="108">
        <v>1</v>
      </c>
      <c r="AF70" s="108">
        <v>1</v>
      </c>
      <c r="AG70" s="108">
        <v>1</v>
      </c>
      <c r="AH70" s="108">
        <v>1</v>
      </c>
      <c r="AI70" s="108">
        <v>1</v>
      </c>
      <c r="AJ70" s="108">
        <v>1</v>
      </c>
      <c r="AK70" s="108">
        <v>1</v>
      </c>
      <c r="AL70" s="108">
        <v>1</v>
      </c>
      <c r="AM70" s="108">
        <v>1</v>
      </c>
      <c r="AN70" s="108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2022.7315382195266</v>
      </c>
      <c r="X75" s="74">
        <v>4045.4630764390531</v>
      </c>
      <c r="Y75" s="74">
        <v>6068.1946146585778</v>
      </c>
      <c r="Z75" s="74">
        <v>8090.9261528781062</v>
      </c>
      <c r="AA75" s="74">
        <v>10113.657691097633</v>
      </c>
      <c r="AB75" s="74">
        <v>12136.389229317156</v>
      </c>
      <c r="AC75" s="74">
        <v>-3028.323499279184</v>
      </c>
      <c r="AD75" s="74">
        <v>-17777.66114203335</v>
      </c>
      <c r="AE75" s="74">
        <v>-15824.158784787527</v>
      </c>
      <c r="AF75" s="74">
        <v>-13870.656427541689</v>
      </c>
      <c r="AG75" s="74">
        <v>-11917.154070295859</v>
      </c>
      <c r="AH75" s="74">
        <v>-9963.6517130500288</v>
      </c>
      <c r="AI75" s="74">
        <v>-8010.1493558041984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F91D-E51E-424C-909F-6717EC80AD40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503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</v>
      </c>
      <c r="F1" s="69">
        <v>3</v>
      </c>
      <c r="G1" s="69">
        <v>5</v>
      </c>
      <c r="H1" s="69">
        <v>7</v>
      </c>
      <c r="I1" s="69">
        <v>8</v>
      </c>
      <c r="J1" s="69">
        <v>10</v>
      </c>
      <c r="K1" s="69">
        <v>12</v>
      </c>
      <c r="L1" s="69">
        <v>14</v>
      </c>
      <c r="M1" s="69">
        <v>16</v>
      </c>
      <c r="N1" s="69">
        <v>17</v>
      </c>
      <c r="O1" s="69">
        <v>19</v>
      </c>
      <c r="P1" s="69">
        <v>21</v>
      </c>
      <c r="Q1" s="69">
        <v>23</v>
      </c>
      <c r="R1" s="69">
        <v>25</v>
      </c>
      <c r="S1" s="69">
        <v>25</v>
      </c>
      <c r="T1" s="69">
        <v>25</v>
      </c>
      <c r="U1" s="69">
        <v>25</v>
      </c>
      <c r="V1" s="69">
        <v>25</v>
      </c>
      <c r="W1" s="69">
        <v>25</v>
      </c>
      <c r="X1" s="69">
        <v>25</v>
      </c>
      <c r="Y1" s="69">
        <v>25</v>
      </c>
      <c r="Z1" s="69">
        <v>25</v>
      </c>
      <c r="AA1" s="69">
        <v>25</v>
      </c>
      <c r="AB1" s="69">
        <v>25</v>
      </c>
      <c r="AC1" s="69">
        <v>25</v>
      </c>
      <c r="AD1" s="69">
        <v>25</v>
      </c>
      <c r="AE1" s="69">
        <v>25</v>
      </c>
      <c r="AF1" s="69">
        <v>25</v>
      </c>
      <c r="AG1" s="69">
        <v>25</v>
      </c>
      <c r="AH1" s="69">
        <v>25</v>
      </c>
      <c r="AI1" s="69">
        <v>25</v>
      </c>
      <c r="AJ1" s="69">
        <v>25</v>
      </c>
      <c r="AK1" s="69">
        <v>25</v>
      </c>
      <c r="AL1" s="69">
        <v>25</v>
      </c>
      <c r="AM1" s="69">
        <v>25</v>
      </c>
      <c r="AN1" s="69">
        <v>25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1.9523809523809526</v>
      </c>
      <c r="G2" s="69">
        <v>2.1190476190476191</v>
      </c>
      <c r="H2" s="69">
        <v>2.2857142857142856</v>
      </c>
      <c r="I2" s="69">
        <v>2.4523809523809526</v>
      </c>
      <c r="J2" s="69">
        <v>2.6190476190476191</v>
      </c>
      <c r="K2" s="69">
        <v>2.7857142857142856</v>
      </c>
      <c r="L2" s="69">
        <v>2.9523809523809526</v>
      </c>
      <c r="M2" s="69">
        <v>3.1190476190476191</v>
      </c>
      <c r="N2" s="69">
        <v>3.2857142857142856</v>
      </c>
      <c r="O2" s="69">
        <v>3.4523809523809526</v>
      </c>
      <c r="P2" s="69">
        <v>3.6190476190476191</v>
      </c>
      <c r="Q2" s="69">
        <v>3.7857142857142856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1</v>
      </c>
      <c r="F4" s="69">
        <v>4.9523809523809526</v>
      </c>
      <c r="G4" s="69">
        <v>7.1190476190476186</v>
      </c>
      <c r="H4" s="69">
        <v>9.2857142857142847</v>
      </c>
      <c r="I4" s="69">
        <v>10.452380952380953</v>
      </c>
      <c r="J4" s="69">
        <v>12.619047619047619</v>
      </c>
      <c r="K4" s="69">
        <v>14.785714285714285</v>
      </c>
      <c r="L4" s="69">
        <v>16.952380952380953</v>
      </c>
      <c r="M4" s="69">
        <v>19.11904761904762</v>
      </c>
      <c r="N4" s="69">
        <v>20.285714285714285</v>
      </c>
      <c r="O4" s="69">
        <v>22.452380952380953</v>
      </c>
      <c r="P4" s="69">
        <v>24.61904761904762</v>
      </c>
      <c r="Q4" s="69">
        <v>26.785714285714285</v>
      </c>
      <c r="R4" s="69">
        <v>27</v>
      </c>
      <c r="S4" s="69">
        <v>27</v>
      </c>
      <c r="T4" s="69">
        <v>27</v>
      </c>
      <c r="U4" s="69">
        <v>27</v>
      </c>
      <c r="V4" s="69">
        <v>27</v>
      </c>
      <c r="W4" s="69">
        <v>27</v>
      </c>
      <c r="X4" s="69">
        <v>27</v>
      </c>
      <c r="Y4" s="69">
        <v>27</v>
      </c>
      <c r="Z4" s="69">
        <v>27</v>
      </c>
      <c r="AA4" s="69">
        <v>27</v>
      </c>
      <c r="AB4" s="69">
        <v>27</v>
      </c>
      <c r="AC4" s="69">
        <v>27</v>
      </c>
      <c r="AD4" s="69">
        <v>27</v>
      </c>
      <c r="AE4" s="69">
        <v>27</v>
      </c>
      <c r="AF4" s="69">
        <v>27</v>
      </c>
      <c r="AG4" s="69">
        <v>27</v>
      </c>
      <c r="AH4" s="69">
        <v>27</v>
      </c>
      <c r="AI4" s="69">
        <v>27</v>
      </c>
      <c r="AJ4" s="69">
        <v>27</v>
      </c>
      <c r="AK4" s="69">
        <v>27</v>
      </c>
      <c r="AL4" s="69">
        <v>27</v>
      </c>
      <c r="AM4" s="69">
        <v>27</v>
      </c>
      <c r="AN4" s="69">
        <v>27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2</v>
      </c>
      <c r="F6" s="66">
        <v>4</v>
      </c>
      <c r="G6" s="66">
        <v>5</v>
      </c>
      <c r="H6" s="66">
        <v>6</v>
      </c>
      <c r="I6" s="66">
        <v>7</v>
      </c>
      <c r="J6" s="66">
        <v>8</v>
      </c>
      <c r="K6" s="66">
        <v>9</v>
      </c>
      <c r="L6" s="66">
        <v>11</v>
      </c>
      <c r="M6" s="66">
        <v>12</v>
      </c>
      <c r="N6" s="66">
        <v>12</v>
      </c>
      <c r="O6" s="66">
        <v>13</v>
      </c>
      <c r="P6" s="66">
        <v>15</v>
      </c>
      <c r="Q6" s="66">
        <v>16</v>
      </c>
      <c r="R6" s="66">
        <v>17</v>
      </c>
      <c r="S6" s="66">
        <v>17</v>
      </c>
      <c r="T6" s="66">
        <v>17</v>
      </c>
      <c r="U6" s="66">
        <v>17</v>
      </c>
      <c r="V6" s="66">
        <v>17</v>
      </c>
      <c r="W6" s="66">
        <v>17</v>
      </c>
      <c r="X6" s="66">
        <v>17</v>
      </c>
      <c r="Y6" s="66">
        <v>17</v>
      </c>
      <c r="Z6" s="66">
        <v>17</v>
      </c>
      <c r="AA6" s="66">
        <v>17</v>
      </c>
      <c r="AB6" s="66">
        <v>17</v>
      </c>
      <c r="AC6" s="66">
        <v>17</v>
      </c>
      <c r="AD6" s="66">
        <v>17</v>
      </c>
      <c r="AE6" s="66">
        <v>17</v>
      </c>
      <c r="AF6" s="66">
        <v>17</v>
      </c>
      <c r="AG6" s="66">
        <v>17</v>
      </c>
      <c r="AH6" s="66">
        <v>17</v>
      </c>
      <c r="AI6" s="66">
        <v>17</v>
      </c>
      <c r="AJ6" s="66">
        <v>17</v>
      </c>
      <c r="AK6" s="66">
        <v>17</v>
      </c>
      <c r="AL6" s="66">
        <v>17</v>
      </c>
      <c r="AM6" s="66">
        <v>17</v>
      </c>
      <c r="AN6" s="66">
        <v>17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0.46</v>
      </c>
      <c r="F7" s="108">
        <v>1.36</v>
      </c>
      <c r="G7" s="108">
        <v>2.2599999999999998</v>
      </c>
      <c r="H7" s="108">
        <v>3.1599999999999997</v>
      </c>
      <c r="I7" s="108">
        <v>3.61</v>
      </c>
      <c r="J7" s="108">
        <v>4.51</v>
      </c>
      <c r="K7" s="108">
        <v>5.42</v>
      </c>
      <c r="L7" s="108">
        <v>6.3199999999999994</v>
      </c>
      <c r="M7" s="108">
        <v>7.22</v>
      </c>
      <c r="N7" s="108">
        <v>7.67</v>
      </c>
      <c r="O7" s="108">
        <v>8.57</v>
      </c>
      <c r="P7" s="108">
        <v>9.48</v>
      </c>
      <c r="Q7" s="108">
        <v>10.379999999999999</v>
      </c>
      <c r="R7" s="108">
        <v>11.28</v>
      </c>
      <c r="S7" s="108">
        <v>11.28</v>
      </c>
      <c r="T7" s="108">
        <v>11.28</v>
      </c>
      <c r="U7" s="108">
        <v>11.28</v>
      </c>
      <c r="V7" s="108">
        <v>11.28</v>
      </c>
      <c r="W7" s="108">
        <v>11.28</v>
      </c>
      <c r="X7" s="108">
        <v>11.28</v>
      </c>
      <c r="Y7" s="108">
        <v>11.28</v>
      </c>
      <c r="Z7" s="108">
        <v>11.28</v>
      </c>
      <c r="AA7" s="108">
        <v>11.28</v>
      </c>
      <c r="AB7" s="108">
        <v>11.28</v>
      </c>
      <c r="AC7" s="108">
        <v>11.28</v>
      </c>
      <c r="AD7" s="108">
        <v>11.28</v>
      </c>
      <c r="AE7" s="108">
        <v>11.28</v>
      </c>
      <c r="AF7" s="108">
        <v>11.28</v>
      </c>
      <c r="AG7" s="108">
        <v>11.28</v>
      </c>
      <c r="AH7" s="108">
        <v>11.28</v>
      </c>
      <c r="AI7" s="108">
        <v>11.28</v>
      </c>
      <c r="AJ7" s="108">
        <v>11.28</v>
      </c>
      <c r="AK7" s="108">
        <v>11.28</v>
      </c>
      <c r="AL7" s="108">
        <v>11.28</v>
      </c>
      <c r="AM7" s="108">
        <v>11.28</v>
      </c>
      <c r="AN7" s="108">
        <v>11.28</v>
      </c>
    </row>
    <row r="8" spans="1:40" hidden="1" outlineLevel="1" x14ac:dyDescent="0.25">
      <c r="B8" s="39" t="str">
        <v>Secondary Direct Staff</v>
      </c>
      <c r="C8" s="3"/>
      <c r="D8" s="3"/>
      <c r="E8" s="108">
        <v>9.9999999999999992E-2</v>
      </c>
      <c r="F8" s="108">
        <v>0.28000000000000003</v>
      </c>
      <c r="G8" s="108">
        <v>0.46</v>
      </c>
      <c r="H8" s="108">
        <v>0.64</v>
      </c>
      <c r="I8" s="108">
        <v>0.73</v>
      </c>
      <c r="J8" s="108">
        <v>0.91</v>
      </c>
      <c r="K8" s="108">
        <v>1.1000000000000001</v>
      </c>
      <c r="L8" s="108">
        <v>1.28</v>
      </c>
      <c r="M8" s="108">
        <v>1.46</v>
      </c>
      <c r="N8" s="108">
        <v>1.55</v>
      </c>
      <c r="O8" s="108">
        <v>1.73</v>
      </c>
      <c r="P8" s="108">
        <v>1.91</v>
      </c>
      <c r="Q8" s="108">
        <v>2.0999999999999996</v>
      </c>
      <c r="R8" s="108">
        <v>2.2799999999999998</v>
      </c>
      <c r="S8" s="108">
        <v>2.2799999999999998</v>
      </c>
      <c r="T8" s="108">
        <v>2.2799999999999998</v>
      </c>
      <c r="U8" s="108">
        <v>2.2799999999999998</v>
      </c>
      <c r="V8" s="108">
        <v>2.2799999999999998</v>
      </c>
      <c r="W8" s="108">
        <v>2.2799999999999998</v>
      </c>
      <c r="X8" s="108">
        <v>2.2799999999999998</v>
      </c>
      <c r="Y8" s="108">
        <v>2.2799999999999998</v>
      </c>
      <c r="Z8" s="108">
        <v>2.2799999999999998</v>
      </c>
      <c r="AA8" s="108">
        <v>2.2799999999999998</v>
      </c>
      <c r="AB8" s="108">
        <v>2.2799999999999998</v>
      </c>
      <c r="AC8" s="108">
        <v>2.2799999999999998</v>
      </c>
      <c r="AD8" s="108">
        <v>2.2799999999999998</v>
      </c>
      <c r="AE8" s="108">
        <v>2.2799999999999998</v>
      </c>
      <c r="AF8" s="108">
        <v>2.2799999999999998</v>
      </c>
      <c r="AG8" s="108">
        <v>2.2799999999999998</v>
      </c>
      <c r="AH8" s="108">
        <v>2.2799999999999998</v>
      </c>
      <c r="AI8" s="108">
        <v>2.2799999999999998</v>
      </c>
      <c r="AJ8" s="108">
        <v>2.2799999999999998</v>
      </c>
      <c r="AK8" s="108">
        <v>2.2799999999999998</v>
      </c>
      <c r="AL8" s="108">
        <v>2.2799999999999998</v>
      </c>
      <c r="AM8" s="108">
        <v>2.2799999999999998</v>
      </c>
      <c r="AN8" s="108">
        <v>2.2799999999999998</v>
      </c>
    </row>
    <row r="9" spans="1:40" hidden="1" outlineLevel="1" x14ac:dyDescent="0.25">
      <c r="B9" s="39" t="str">
        <v>Center Manager</v>
      </c>
      <c r="C9" s="3"/>
      <c r="D9" s="3"/>
      <c r="E9" s="108">
        <v>1</v>
      </c>
      <c r="F9" s="108">
        <v>1</v>
      </c>
      <c r="G9" s="108">
        <v>1</v>
      </c>
      <c r="H9" s="108">
        <v>1</v>
      </c>
      <c r="I9" s="108">
        <v>1</v>
      </c>
      <c r="J9" s="108">
        <v>1</v>
      </c>
      <c r="K9" s="108">
        <v>1</v>
      </c>
      <c r="L9" s="108">
        <v>1</v>
      </c>
      <c r="M9" s="108">
        <v>1</v>
      </c>
      <c r="N9" s="108">
        <v>1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1</v>
      </c>
      <c r="G10" s="108">
        <v>1</v>
      </c>
      <c r="H10" s="108">
        <v>1</v>
      </c>
      <c r="I10" s="108">
        <v>1</v>
      </c>
      <c r="J10" s="108">
        <v>1</v>
      </c>
      <c r="K10" s="108">
        <v>1</v>
      </c>
      <c r="L10" s="108">
        <v>1</v>
      </c>
      <c r="M10" s="108">
        <v>1</v>
      </c>
      <c r="N10" s="108">
        <v>1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0.16</v>
      </c>
      <c r="G12" s="108">
        <v>0.17</v>
      </c>
      <c r="H12" s="108">
        <v>0.18000000000000002</v>
      </c>
      <c r="I12" s="108">
        <v>0.19</v>
      </c>
      <c r="J12" s="108">
        <v>0.21000000000000002</v>
      </c>
      <c r="K12" s="108">
        <v>0.22</v>
      </c>
      <c r="L12" s="108">
        <v>0.23</v>
      </c>
      <c r="M12" s="108">
        <v>0.24000000000000002</v>
      </c>
      <c r="N12" s="108">
        <v>0.26</v>
      </c>
      <c r="O12" s="108">
        <v>0.27</v>
      </c>
      <c r="P12" s="108">
        <v>0.28000000000000003</v>
      </c>
      <c r="Q12" s="108">
        <v>0.3</v>
      </c>
      <c r="R12" s="108">
        <v>0.16</v>
      </c>
      <c r="S12" s="108">
        <v>0.16</v>
      </c>
      <c r="T12" s="108">
        <v>0.16</v>
      </c>
      <c r="U12" s="108">
        <v>0.16</v>
      </c>
      <c r="V12" s="108">
        <v>0.16</v>
      </c>
      <c r="W12" s="108">
        <v>0.16</v>
      </c>
      <c r="X12" s="108">
        <v>0.16</v>
      </c>
      <c r="Y12" s="108">
        <v>0.16</v>
      </c>
      <c r="Z12" s="108">
        <v>0.16</v>
      </c>
      <c r="AA12" s="108">
        <v>0.16</v>
      </c>
      <c r="AB12" s="108">
        <v>0.16</v>
      </c>
      <c r="AC12" s="108">
        <v>0.16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0.01</v>
      </c>
      <c r="F13" s="108">
        <v>0.22</v>
      </c>
      <c r="G13" s="108">
        <v>0.24000000000000002</v>
      </c>
      <c r="H13" s="108">
        <v>0.27</v>
      </c>
      <c r="I13" s="108">
        <v>0.29000000000000004</v>
      </c>
      <c r="J13" s="108">
        <v>0.32</v>
      </c>
      <c r="K13" s="108">
        <v>0.35000000000000003</v>
      </c>
      <c r="L13" s="108">
        <v>0.38</v>
      </c>
      <c r="M13" s="108">
        <v>0.4</v>
      </c>
      <c r="N13" s="108">
        <v>0.43</v>
      </c>
      <c r="O13" s="108">
        <v>0.45</v>
      </c>
      <c r="P13" s="108">
        <v>0.48</v>
      </c>
      <c r="Q13" s="108">
        <v>0.51</v>
      </c>
      <c r="R13" s="108">
        <v>0.34</v>
      </c>
      <c r="S13" s="108">
        <v>0.34</v>
      </c>
      <c r="T13" s="108">
        <v>0.34</v>
      </c>
      <c r="U13" s="108">
        <v>0.34</v>
      </c>
      <c r="V13" s="108">
        <v>0.34</v>
      </c>
      <c r="W13" s="108">
        <v>0.34</v>
      </c>
      <c r="X13" s="108">
        <v>0.34</v>
      </c>
      <c r="Y13" s="108">
        <v>0.34</v>
      </c>
      <c r="Z13" s="108">
        <v>0.34</v>
      </c>
      <c r="AA13" s="108">
        <v>0.34</v>
      </c>
      <c r="AB13" s="108">
        <v>0.34</v>
      </c>
      <c r="AC13" s="108">
        <v>0.34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0.01</v>
      </c>
      <c r="F14" s="108">
        <v>0.12</v>
      </c>
      <c r="G14" s="108">
        <v>0.14000000000000001</v>
      </c>
      <c r="H14" s="108">
        <v>0.16</v>
      </c>
      <c r="I14" s="108">
        <v>0.17</v>
      </c>
      <c r="J14" s="108">
        <v>0.19</v>
      </c>
      <c r="K14" s="108">
        <v>0.21000000000000002</v>
      </c>
      <c r="L14" s="108">
        <v>0.23</v>
      </c>
      <c r="M14" s="108">
        <v>0.25</v>
      </c>
      <c r="N14" s="108">
        <v>0.26</v>
      </c>
      <c r="O14" s="108">
        <v>0.28000000000000003</v>
      </c>
      <c r="P14" s="108">
        <v>0.3</v>
      </c>
      <c r="Q14" s="108">
        <v>0.32</v>
      </c>
      <c r="R14" s="108">
        <v>0.24000000000000002</v>
      </c>
      <c r="S14" s="108">
        <v>0.24000000000000002</v>
      </c>
      <c r="T14" s="108">
        <v>0.24000000000000002</v>
      </c>
      <c r="U14" s="108">
        <v>0.24000000000000002</v>
      </c>
      <c r="V14" s="108">
        <v>0.24000000000000002</v>
      </c>
      <c r="W14" s="108">
        <v>0.24000000000000002</v>
      </c>
      <c r="X14" s="108">
        <v>0.24000000000000002</v>
      </c>
      <c r="Y14" s="108">
        <v>0.24000000000000002</v>
      </c>
      <c r="Z14" s="108">
        <v>0.24000000000000002</v>
      </c>
      <c r="AA14" s="108">
        <v>0.24000000000000002</v>
      </c>
      <c r="AB14" s="108">
        <v>0.24000000000000002</v>
      </c>
      <c r="AC14" s="108">
        <v>0.24000000000000002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0.01</v>
      </c>
      <c r="F15" s="108">
        <v>0.02</v>
      </c>
      <c r="G15" s="108">
        <v>0.02</v>
      </c>
      <c r="H15" s="108">
        <v>0.03</v>
      </c>
      <c r="I15" s="108">
        <v>0.04</v>
      </c>
      <c r="J15" s="108">
        <v>0.04</v>
      </c>
      <c r="K15" s="108">
        <v>0.05</v>
      </c>
      <c r="L15" s="108">
        <v>6.0000000000000005E-2</v>
      </c>
      <c r="M15" s="108">
        <v>6.9999999999999993E-2</v>
      </c>
      <c r="N15" s="108">
        <v>6.9999999999999993E-2</v>
      </c>
      <c r="O15" s="108">
        <v>0.08</v>
      </c>
      <c r="P15" s="108">
        <v>0.09</v>
      </c>
      <c r="Q15" s="108">
        <v>9.9999999999999992E-2</v>
      </c>
      <c r="R15" s="108">
        <v>0.1</v>
      </c>
      <c r="S15" s="108">
        <v>0.1</v>
      </c>
      <c r="T15" s="108">
        <v>0.1</v>
      </c>
      <c r="U15" s="108">
        <v>0.1</v>
      </c>
      <c r="V15" s="108">
        <v>0.1</v>
      </c>
      <c r="W15" s="108">
        <v>0.1</v>
      </c>
      <c r="X15" s="108">
        <v>0.1</v>
      </c>
      <c r="Y15" s="108">
        <v>0.1</v>
      </c>
      <c r="Z15" s="108">
        <v>0.1</v>
      </c>
      <c r="AA15" s="108">
        <v>0.1</v>
      </c>
      <c r="AB15" s="108">
        <v>0.1</v>
      </c>
      <c r="AC15" s="108">
        <v>0.1</v>
      </c>
      <c r="AD15" s="108">
        <v>0.1</v>
      </c>
      <c r="AE15" s="108">
        <v>0.1</v>
      </c>
      <c r="AF15" s="108">
        <v>0.1</v>
      </c>
      <c r="AG15" s="108">
        <v>0.1</v>
      </c>
      <c r="AH15" s="108">
        <v>0.1</v>
      </c>
      <c r="AI15" s="108">
        <v>0.1</v>
      </c>
      <c r="AJ15" s="108">
        <v>0.1</v>
      </c>
      <c r="AK15" s="108">
        <v>0.1</v>
      </c>
      <c r="AL15" s="108">
        <v>0.1</v>
      </c>
      <c r="AM15" s="108">
        <v>0.1</v>
      </c>
      <c r="AN15" s="108">
        <v>0.1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0.01</v>
      </c>
      <c r="F16" s="108">
        <v>0.02</v>
      </c>
      <c r="G16" s="108">
        <v>0.02</v>
      </c>
      <c r="H16" s="108">
        <v>0.03</v>
      </c>
      <c r="I16" s="108">
        <v>0.04</v>
      </c>
      <c r="J16" s="108">
        <v>0.04</v>
      </c>
      <c r="K16" s="108">
        <v>0.05</v>
      </c>
      <c r="L16" s="108">
        <v>6.0000000000000005E-2</v>
      </c>
      <c r="M16" s="108">
        <v>6.9999999999999993E-2</v>
      </c>
      <c r="N16" s="108">
        <v>6.9999999999999993E-2</v>
      </c>
      <c r="O16" s="108">
        <v>0.08</v>
      </c>
      <c r="P16" s="108">
        <v>0.09</v>
      </c>
      <c r="Q16" s="108">
        <v>9.9999999999999992E-2</v>
      </c>
      <c r="R16" s="108">
        <v>0.1</v>
      </c>
      <c r="S16" s="108">
        <v>0.1</v>
      </c>
      <c r="T16" s="108">
        <v>0.1</v>
      </c>
      <c r="U16" s="108">
        <v>0.1</v>
      </c>
      <c r="V16" s="108">
        <v>0.1</v>
      </c>
      <c r="W16" s="108">
        <v>0.1</v>
      </c>
      <c r="X16" s="108">
        <v>0.1</v>
      </c>
      <c r="Y16" s="108">
        <v>0.1</v>
      </c>
      <c r="Z16" s="108">
        <v>0.1</v>
      </c>
      <c r="AA16" s="108">
        <v>0.1</v>
      </c>
      <c r="AB16" s="108">
        <v>0.1</v>
      </c>
      <c r="AC16" s="108">
        <v>0.1</v>
      </c>
      <c r="AD16" s="108">
        <v>0.1</v>
      </c>
      <c r="AE16" s="108">
        <v>0.1</v>
      </c>
      <c r="AF16" s="108">
        <v>0.1</v>
      </c>
      <c r="AG16" s="108">
        <v>0.1</v>
      </c>
      <c r="AH16" s="108">
        <v>0.1</v>
      </c>
      <c r="AI16" s="108">
        <v>0.1</v>
      </c>
      <c r="AJ16" s="108">
        <v>0.1</v>
      </c>
      <c r="AK16" s="108">
        <v>0.1</v>
      </c>
      <c r="AL16" s="108">
        <v>0.1</v>
      </c>
      <c r="AM16" s="108">
        <v>0.1</v>
      </c>
      <c r="AN16" s="108">
        <v>0.1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1</v>
      </c>
      <c r="F21" s="120">
        <v>2</v>
      </c>
      <c r="G21" s="120">
        <v>3</v>
      </c>
      <c r="H21" s="120">
        <v>4</v>
      </c>
      <c r="I21" s="120">
        <v>4</v>
      </c>
      <c r="J21" s="120">
        <v>5</v>
      </c>
      <c r="K21" s="120">
        <v>7</v>
      </c>
      <c r="L21" s="120">
        <v>8</v>
      </c>
      <c r="M21" s="120">
        <v>9</v>
      </c>
      <c r="N21" s="120">
        <v>9</v>
      </c>
      <c r="O21" s="120">
        <v>10</v>
      </c>
      <c r="P21" s="120">
        <v>11</v>
      </c>
      <c r="Q21" s="120">
        <v>12</v>
      </c>
      <c r="R21" s="120">
        <v>14</v>
      </c>
      <c r="S21" s="120">
        <v>14</v>
      </c>
      <c r="T21" s="120">
        <v>14</v>
      </c>
      <c r="U21" s="120">
        <v>14</v>
      </c>
      <c r="V21" s="120">
        <v>14</v>
      </c>
      <c r="W21" s="120">
        <v>14</v>
      </c>
      <c r="X21" s="120">
        <v>14</v>
      </c>
      <c r="Y21" s="120">
        <v>14</v>
      </c>
      <c r="Z21" s="120">
        <v>14</v>
      </c>
      <c r="AA21" s="120">
        <v>14</v>
      </c>
      <c r="AB21" s="120">
        <v>14</v>
      </c>
      <c r="AC21" s="120">
        <v>14</v>
      </c>
      <c r="AD21" s="120">
        <v>14</v>
      </c>
      <c r="AE21" s="120">
        <v>14</v>
      </c>
      <c r="AF21" s="120">
        <v>14</v>
      </c>
      <c r="AG21" s="120">
        <v>14</v>
      </c>
      <c r="AH21" s="120">
        <v>14</v>
      </c>
      <c r="AI21" s="120">
        <v>14</v>
      </c>
      <c r="AJ21" s="120">
        <v>14</v>
      </c>
      <c r="AK21" s="120">
        <v>14</v>
      </c>
      <c r="AL21" s="120">
        <v>14</v>
      </c>
      <c r="AM21" s="120">
        <v>14</v>
      </c>
      <c r="AN21" s="120">
        <v>14</v>
      </c>
    </row>
    <row r="22" spans="2:50" x14ac:dyDescent="0.25">
      <c r="B22" s="2" t="s">
        <v>464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97.138317045454571</v>
      </c>
      <c r="F22" s="78">
        <v>97.138317045454528</v>
      </c>
      <c r="G22" s="78">
        <v>97.138317045454514</v>
      </c>
      <c r="H22" s="78">
        <v>97.138317045454514</v>
      </c>
      <c r="I22" s="78">
        <v>97.138317045454571</v>
      </c>
      <c r="J22" s="78">
        <v>97.138317045454514</v>
      </c>
      <c r="K22" s="78">
        <v>97.138317045454528</v>
      </c>
      <c r="L22" s="78">
        <v>97.138317045454514</v>
      </c>
      <c r="M22" s="78">
        <v>97.138317045454571</v>
      </c>
      <c r="N22" s="78">
        <v>97.138317045454514</v>
      </c>
      <c r="O22" s="78">
        <v>97.138317045454542</v>
      </c>
      <c r="P22" s="78">
        <v>97.138317045454556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51.626666666666658</v>
      </c>
      <c r="F23" s="52">
        <v>154.88</v>
      </c>
      <c r="G23" s="52">
        <v>258.13333333333333</v>
      </c>
      <c r="H23" s="52">
        <v>361.38666666666671</v>
      </c>
      <c r="I23" s="52">
        <v>413.01333333333326</v>
      </c>
      <c r="J23" s="52">
        <v>516.26666666666665</v>
      </c>
      <c r="K23" s="52">
        <v>619.52</v>
      </c>
      <c r="L23" s="52">
        <v>722.77333333333343</v>
      </c>
      <c r="M23" s="52">
        <v>826.02666666666653</v>
      </c>
      <c r="N23" s="52">
        <v>877.65333333333331</v>
      </c>
      <c r="O23" s="52">
        <v>980.90666666666664</v>
      </c>
      <c r="P23" s="52">
        <v>1084.1599999999999</v>
      </c>
      <c r="Q23" s="52">
        <v>1187.4133333333332</v>
      </c>
      <c r="R23" s="52">
        <v>1290.6666666666667</v>
      </c>
      <c r="S23" s="52">
        <v>1290.6666666666667</v>
      </c>
      <c r="T23" s="52">
        <v>1290.6666666666667</v>
      </c>
      <c r="U23" s="52">
        <v>1290.6666666666667</v>
      </c>
      <c r="V23" s="52">
        <v>1290.6666666666667</v>
      </c>
      <c r="W23" s="52">
        <v>1290.6666666666667</v>
      </c>
      <c r="X23" s="52">
        <v>1290.6666666666667</v>
      </c>
      <c r="Y23" s="52">
        <v>1290.6666666666667</v>
      </c>
      <c r="Z23" s="52">
        <v>1290.6666666666667</v>
      </c>
      <c r="AA23" s="52">
        <v>1290.6666666666667</v>
      </c>
      <c r="AB23" s="52">
        <v>1290.6666666666667</v>
      </c>
      <c r="AC23" s="52">
        <v>1290.6666666666667</v>
      </c>
      <c r="AD23" s="52">
        <v>1290.6666666666667</v>
      </c>
      <c r="AE23" s="52">
        <v>1290.6666666666667</v>
      </c>
      <c r="AF23" s="52">
        <v>1290.6666666666667</v>
      </c>
      <c r="AG23" s="52">
        <v>1290.6666666666667</v>
      </c>
      <c r="AH23" s="52">
        <v>1290.6666666666667</v>
      </c>
      <c r="AI23" s="52">
        <v>1290.6666666666667</v>
      </c>
      <c r="AJ23" s="52">
        <v>1290.6666666666667</v>
      </c>
      <c r="AK23" s="52">
        <v>1290.6666666666667</v>
      </c>
      <c r="AL23" s="52">
        <v>1290.6666666666667</v>
      </c>
      <c r="AM23" s="52">
        <v>1290.6666666666667</v>
      </c>
      <c r="AN23" s="52">
        <v>1290.6666666666667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4192.7125499999993</v>
      </c>
      <c r="F26" s="12">
        <v>12578.137649999997</v>
      </c>
      <c r="G26" s="12">
        <v>20963.562749999994</v>
      </c>
      <c r="H26" s="12">
        <v>29348.987849999994</v>
      </c>
      <c r="I26" s="12">
        <v>33541.700399999994</v>
      </c>
      <c r="J26" s="12">
        <v>41927.125499999987</v>
      </c>
      <c r="K26" s="12">
        <v>50312.550599999988</v>
      </c>
      <c r="L26" s="12">
        <v>58697.975699999988</v>
      </c>
      <c r="M26" s="12">
        <v>67083.400799999989</v>
      </c>
      <c r="N26" s="12">
        <v>71276.113349999971</v>
      </c>
      <c r="O26" s="12">
        <v>79661.538449999993</v>
      </c>
      <c r="P26" s="12">
        <v>88046.963549999986</v>
      </c>
      <c r="Q26" s="12">
        <v>99325.360309499985</v>
      </c>
      <c r="R26" s="12">
        <v>107962.34816249998</v>
      </c>
      <c r="S26" s="12">
        <v>107962.34816249998</v>
      </c>
      <c r="T26" s="12">
        <v>107962.34816249998</v>
      </c>
      <c r="U26" s="12">
        <v>107962.34816249998</v>
      </c>
      <c r="V26" s="12">
        <v>107962.34816249998</v>
      </c>
      <c r="W26" s="12">
        <v>107962.34816249998</v>
      </c>
      <c r="X26" s="12">
        <v>107962.34816249998</v>
      </c>
      <c r="Y26" s="12">
        <v>107962.34816249998</v>
      </c>
      <c r="Z26" s="12">
        <v>107962.34816249998</v>
      </c>
      <c r="AA26" s="12">
        <v>107962.34816249998</v>
      </c>
      <c r="AB26" s="12">
        <v>107962.34816249998</v>
      </c>
      <c r="AC26" s="12">
        <v>107962.34816249998</v>
      </c>
      <c r="AD26" s="12">
        <v>107962.34816249998</v>
      </c>
      <c r="AE26" s="12">
        <v>107962.34816249998</v>
      </c>
      <c r="AF26" s="12">
        <v>107962.34816249998</v>
      </c>
      <c r="AG26" s="12">
        <v>107962.34816249998</v>
      </c>
      <c r="AH26" s="12">
        <v>107962.34816249998</v>
      </c>
      <c r="AI26" s="12">
        <v>107962.34816249998</v>
      </c>
      <c r="AJ26" s="12">
        <v>107962.34816249998</v>
      </c>
      <c r="AK26" s="12">
        <v>107962.34816249998</v>
      </c>
      <c r="AL26" s="12">
        <v>107962.34816249998</v>
      </c>
      <c r="AM26" s="12">
        <v>107962.34816249998</v>
      </c>
      <c r="AN26" s="12">
        <v>107962.34816249998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846.64436999999998</v>
      </c>
      <c r="F28" s="12">
        <v>2539.9331099999999</v>
      </c>
      <c r="G28" s="12">
        <v>4233.2218499999999</v>
      </c>
      <c r="H28" s="12">
        <v>5926.510589999999</v>
      </c>
      <c r="I28" s="12">
        <v>6773.1549599999998</v>
      </c>
      <c r="J28" s="12">
        <v>8466.4436999999998</v>
      </c>
      <c r="K28" s="12">
        <v>10159.73244</v>
      </c>
      <c r="L28" s="12">
        <v>11853.021179999998</v>
      </c>
      <c r="M28" s="12">
        <v>13546.30992</v>
      </c>
      <c r="N28" s="12">
        <v>14392.954289999998</v>
      </c>
      <c r="O28" s="12">
        <v>16086.24303</v>
      </c>
      <c r="P28" s="12">
        <v>17779.531770000001</v>
      </c>
      <c r="Q28" s="12">
        <v>20057.005125299998</v>
      </c>
      <c r="R28" s="12">
        <v>21801.092527499997</v>
      </c>
      <c r="S28" s="12">
        <v>21801.092527499997</v>
      </c>
      <c r="T28" s="12">
        <v>21801.092527499997</v>
      </c>
      <c r="U28" s="12">
        <v>21801.092527499997</v>
      </c>
      <c r="V28" s="12">
        <v>21801.092527499997</v>
      </c>
      <c r="W28" s="12">
        <v>21801.092527499997</v>
      </c>
      <c r="X28" s="12">
        <v>21801.092527499997</v>
      </c>
      <c r="Y28" s="12">
        <v>21801.092527499997</v>
      </c>
      <c r="Z28" s="12">
        <v>21801.092527499997</v>
      </c>
      <c r="AA28" s="12">
        <v>21801.092527499997</v>
      </c>
      <c r="AB28" s="12">
        <v>21801.092527499997</v>
      </c>
      <c r="AC28" s="12">
        <v>21801.092527499997</v>
      </c>
      <c r="AD28" s="12">
        <v>21801.092527499997</v>
      </c>
      <c r="AE28" s="12">
        <v>21801.092527499997</v>
      </c>
      <c r="AF28" s="12">
        <v>21801.092527499997</v>
      </c>
      <c r="AG28" s="12">
        <v>21801.092527499997</v>
      </c>
      <c r="AH28" s="12">
        <v>21801.092527499997</v>
      </c>
      <c r="AI28" s="12">
        <v>21801.092527499997</v>
      </c>
      <c r="AJ28" s="12">
        <v>21801.092527499997</v>
      </c>
      <c r="AK28" s="12">
        <v>21801.092527499997</v>
      </c>
      <c r="AL28" s="12">
        <v>21801.092527499997</v>
      </c>
      <c r="AM28" s="12">
        <v>21801.092527499997</v>
      </c>
      <c r="AN28" s="12">
        <v>21801.092527499997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130.25298000000001</v>
      </c>
      <c r="F29" s="12">
        <v>390.75894</v>
      </c>
      <c r="G29" s="12">
        <v>651.2648999999999</v>
      </c>
      <c r="H29" s="12">
        <v>911.77086000000008</v>
      </c>
      <c r="I29" s="12">
        <v>1042.0238400000001</v>
      </c>
      <c r="J29" s="12">
        <v>1302.5297999999998</v>
      </c>
      <c r="K29" s="12">
        <v>1563.03576</v>
      </c>
      <c r="L29" s="12">
        <v>1823.5417200000002</v>
      </c>
      <c r="M29" s="12">
        <v>2084.0476800000001</v>
      </c>
      <c r="N29" s="12">
        <v>2214.3006599999999</v>
      </c>
      <c r="O29" s="12">
        <v>2474.8066199999998</v>
      </c>
      <c r="P29" s="12">
        <v>2735.3125800000003</v>
      </c>
      <c r="Q29" s="12">
        <v>3085.6930962000001</v>
      </c>
      <c r="R29" s="12">
        <v>3354.0142350000001</v>
      </c>
      <c r="S29" s="12">
        <v>3354.0142350000001</v>
      </c>
      <c r="T29" s="12">
        <v>3354.0142350000001</v>
      </c>
      <c r="U29" s="12">
        <v>3354.0142350000001</v>
      </c>
      <c r="V29" s="12">
        <v>3354.0142350000001</v>
      </c>
      <c r="W29" s="12">
        <v>3354.0142350000001</v>
      </c>
      <c r="X29" s="12">
        <v>3354.0142350000001</v>
      </c>
      <c r="Y29" s="12">
        <v>3354.0142350000001</v>
      </c>
      <c r="Z29" s="12">
        <v>3354.0142350000001</v>
      </c>
      <c r="AA29" s="12">
        <v>3354.0142350000001</v>
      </c>
      <c r="AB29" s="12">
        <v>3354.0142350000001</v>
      </c>
      <c r="AC29" s="12">
        <v>3354.0142350000001</v>
      </c>
      <c r="AD29" s="12">
        <v>3354.0142350000001</v>
      </c>
      <c r="AE29" s="12">
        <v>3354.0142350000001</v>
      </c>
      <c r="AF29" s="12">
        <v>3354.0142350000001</v>
      </c>
      <c r="AG29" s="12">
        <v>3354.0142350000001</v>
      </c>
      <c r="AH29" s="12">
        <v>3354.0142350000001</v>
      </c>
      <c r="AI29" s="12">
        <v>3354.0142350000001</v>
      </c>
      <c r="AJ29" s="12">
        <v>3354.0142350000001</v>
      </c>
      <c r="AK29" s="12">
        <v>3354.0142350000001</v>
      </c>
      <c r="AL29" s="12">
        <v>3354.0142350000001</v>
      </c>
      <c r="AM29" s="12">
        <v>3354.0142350000001</v>
      </c>
      <c r="AN29" s="12">
        <v>3354.0142350000001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187.24449066666665</v>
      </c>
      <c r="F30" s="12">
        <v>561.73347200000001</v>
      </c>
      <c r="G30" s="12">
        <v>936.22245333333331</v>
      </c>
      <c r="H30" s="12">
        <v>1310.7114346666667</v>
      </c>
      <c r="I30" s="12">
        <v>1497.9559253333332</v>
      </c>
      <c r="J30" s="12">
        <v>1872.4449066666666</v>
      </c>
      <c r="K30" s="12">
        <v>2246.933888</v>
      </c>
      <c r="L30" s="12">
        <v>2621.4228693333334</v>
      </c>
      <c r="M30" s="12">
        <v>2995.9118506666664</v>
      </c>
      <c r="N30" s="12">
        <v>3183.1563413333329</v>
      </c>
      <c r="O30" s="12">
        <v>3557.6453226666663</v>
      </c>
      <c r="P30" s="12">
        <v>3932.1343039999997</v>
      </c>
      <c r="Q30" s="12">
        <v>4435.8219838933328</v>
      </c>
      <c r="R30" s="12">
        <v>4821.545634666666</v>
      </c>
      <c r="S30" s="12">
        <v>4821.545634666666</v>
      </c>
      <c r="T30" s="12">
        <v>4821.545634666666</v>
      </c>
      <c r="U30" s="12">
        <v>4821.545634666666</v>
      </c>
      <c r="V30" s="12">
        <v>4821.545634666666</v>
      </c>
      <c r="W30" s="12">
        <v>4821.545634666666</v>
      </c>
      <c r="X30" s="12">
        <v>4821.545634666666</v>
      </c>
      <c r="Y30" s="12">
        <v>4821.545634666666</v>
      </c>
      <c r="Z30" s="12">
        <v>4821.545634666666</v>
      </c>
      <c r="AA30" s="12">
        <v>4821.545634666666</v>
      </c>
      <c r="AB30" s="12">
        <v>4821.545634666666</v>
      </c>
      <c r="AC30" s="12">
        <v>4821.545634666666</v>
      </c>
      <c r="AD30" s="12">
        <v>4821.545634666666</v>
      </c>
      <c r="AE30" s="12">
        <v>4821.545634666666</v>
      </c>
      <c r="AF30" s="12">
        <v>4821.545634666666</v>
      </c>
      <c r="AG30" s="12">
        <v>4821.545634666666</v>
      </c>
      <c r="AH30" s="12">
        <v>4821.545634666666</v>
      </c>
      <c r="AI30" s="12">
        <v>4821.545634666666</v>
      </c>
      <c r="AJ30" s="12">
        <v>4821.545634666666</v>
      </c>
      <c r="AK30" s="12">
        <v>4821.545634666666</v>
      </c>
      <c r="AL30" s="12">
        <v>4821.545634666666</v>
      </c>
      <c r="AM30" s="12">
        <v>4821.545634666666</v>
      </c>
      <c r="AN30" s="12">
        <v>4821.545634666666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-642.82252687999994</v>
      </c>
      <c r="F35" s="12">
        <v>-1928.4675806399996</v>
      </c>
      <c r="G35" s="12">
        <v>-3214.1126343999986</v>
      </c>
      <c r="H35" s="12">
        <v>-4499.7576881599989</v>
      </c>
      <c r="I35" s="12">
        <v>-5142.5802150399995</v>
      </c>
      <c r="J35" s="12">
        <v>-6428.2252687999971</v>
      </c>
      <c r="K35" s="12">
        <v>-7713.8703225599984</v>
      </c>
      <c r="L35" s="12">
        <v>-8999.5153763199978</v>
      </c>
      <c r="M35" s="12">
        <v>-10285.160430079999</v>
      </c>
      <c r="N35" s="12">
        <v>-10927.982956959995</v>
      </c>
      <c r="O35" s="12">
        <v>-12213.628010719998</v>
      </c>
      <c r="P35" s="12">
        <v>-13499.273064479998</v>
      </c>
      <c r="Q35" s="12">
        <v>-15228.465661787197</v>
      </c>
      <c r="R35" s="12">
        <v>-16552.680067159999</v>
      </c>
      <c r="S35" s="12">
        <v>-16552.680067159999</v>
      </c>
      <c r="T35" s="12">
        <v>-16552.680067159999</v>
      </c>
      <c r="U35" s="12">
        <v>-16552.680067159999</v>
      </c>
      <c r="V35" s="12">
        <v>-16552.680067159999</v>
      </c>
      <c r="W35" s="12">
        <v>-16552.680067159999</v>
      </c>
      <c r="X35" s="12">
        <v>-16552.680067159999</v>
      </c>
      <c r="Y35" s="12">
        <v>-16552.680067159999</v>
      </c>
      <c r="Z35" s="12">
        <v>-16552.680067159999</v>
      </c>
      <c r="AA35" s="12">
        <v>-16552.680067159999</v>
      </c>
      <c r="AB35" s="12">
        <v>-16552.680067159999</v>
      </c>
      <c r="AC35" s="12">
        <v>-16552.680067159999</v>
      </c>
      <c r="AD35" s="12">
        <v>-16552.680067159999</v>
      </c>
      <c r="AE35" s="12">
        <v>-16552.680067159999</v>
      </c>
      <c r="AF35" s="12">
        <v>-16552.680067159999</v>
      </c>
      <c r="AG35" s="12">
        <v>-16552.680067159999</v>
      </c>
      <c r="AH35" s="12">
        <v>-16552.680067159999</v>
      </c>
      <c r="AI35" s="12">
        <v>-16552.680067159999</v>
      </c>
      <c r="AJ35" s="12">
        <v>-16552.680067159999</v>
      </c>
      <c r="AK35" s="12">
        <v>-16552.680067159999</v>
      </c>
      <c r="AL35" s="12">
        <v>-16552.680067159999</v>
      </c>
      <c r="AM35" s="12">
        <v>-16552.680067159999</v>
      </c>
      <c r="AN35" s="12">
        <v>-16552.680067159999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4714.0318637866667</v>
      </c>
      <c r="F37" s="13">
        <v>14142.095591359997</v>
      </c>
      <c r="G37" s="13">
        <v>23570.159318933322</v>
      </c>
      <c r="H37" s="13">
        <v>32998.22304650666</v>
      </c>
      <c r="I37" s="13">
        <v>37712.254910293334</v>
      </c>
      <c r="J37" s="13">
        <v>47140.318637866643</v>
      </c>
      <c r="K37" s="13">
        <v>56568.382365439989</v>
      </c>
      <c r="L37" s="13">
        <v>65996.446093013321</v>
      </c>
      <c r="M37" s="13">
        <v>75424.509820586667</v>
      </c>
      <c r="N37" s="13">
        <v>80138.541684373296</v>
      </c>
      <c r="O37" s="13">
        <v>89566.605411946657</v>
      </c>
      <c r="P37" s="13">
        <v>98994.669139519989</v>
      </c>
      <c r="Q37" s="13">
        <v>111675.41485310612</v>
      </c>
      <c r="R37" s="13">
        <v>121386.32049250667</v>
      </c>
      <c r="S37" s="13">
        <v>121386.32049250667</v>
      </c>
      <c r="T37" s="13">
        <v>121386.32049250667</v>
      </c>
      <c r="U37" s="13">
        <v>121386.32049250667</v>
      </c>
      <c r="V37" s="13">
        <v>121386.32049250667</v>
      </c>
      <c r="W37" s="13">
        <v>121386.32049250667</v>
      </c>
      <c r="X37" s="13">
        <v>121386.32049250667</v>
      </c>
      <c r="Y37" s="13">
        <v>121386.32049250667</v>
      </c>
      <c r="Z37" s="13">
        <v>121386.32049250667</v>
      </c>
      <c r="AA37" s="13">
        <v>121386.32049250667</v>
      </c>
      <c r="AB37" s="13">
        <v>121386.32049250667</v>
      </c>
      <c r="AC37" s="13">
        <v>121386.32049250667</v>
      </c>
      <c r="AD37" s="13">
        <v>121386.32049250667</v>
      </c>
      <c r="AE37" s="13">
        <v>121386.32049250667</v>
      </c>
      <c r="AF37" s="13">
        <v>121386.32049250667</v>
      </c>
      <c r="AG37" s="13">
        <v>121386.32049250667</v>
      </c>
      <c r="AH37" s="13">
        <v>121386.32049250667</v>
      </c>
      <c r="AI37" s="13">
        <v>121386.32049250667</v>
      </c>
      <c r="AJ37" s="13">
        <v>121386.32049250667</v>
      </c>
      <c r="AK37" s="13">
        <v>121386.32049250667</v>
      </c>
      <c r="AL37" s="13">
        <v>121386.32049250667</v>
      </c>
      <c r="AM37" s="13">
        <v>121386.32049250667</v>
      </c>
      <c r="AN37" s="13">
        <v>121386.32049250667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21225.399426622724</v>
      </c>
      <c r="F40" s="12">
        <v>32446.883857645946</v>
      </c>
      <c r="G40" s="12">
        <v>35741.701622002496</v>
      </c>
      <c r="H40" s="12">
        <v>39280.602719692382</v>
      </c>
      <c r="I40" s="12">
        <v>41219.219935203997</v>
      </c>
      <c r="J40" s="12">
        <v>44661.454366227212</v>
      </c>
      <c r="K40" s="12">
        <v>48301.221008361543</v>
      </c>
      <c r="L40" s="12">
        <v>51840.122106051429</v>
      </c>
      <c r="M40" s="12">
        <v>55325.856537074658</v>
      </c>
      <c r="N40" s="12">
        <v>57220.973752586258</v>
      </c>
      <c r="O40" s="12">
        <v>60706.70818360948</v>
      </c>
      <c r="P40" s="12">
        <v>64261.891492410483</v>
      </c>
      <c r="Q40" s="12">
        <v>74777.588515777068</v>
      </c>
      <c r="R40" s="12">
        <v>75150.746389902619</v>
      </c>
      <c r="S40" s="12">
        <v>75150.746389902619</v>
      </c>
      <c r="T40" s="12">
        <v>75150.746389902619</v>
      </c>
      <c r="U40" s="12">
        <v>75150.746389902619</v>
      </c>
      <c r="V40" s="12">
        <v>75150.746389902619</v>
      </c>
      <c r="W40" s="12">
        <v>75150.746389902619</v>
      </c>
      <c r="X40" s="12">
        <v>75150.746389902619</v>
      </c>
      <c r="Y40" s="12">
        <v>75150.746389902619</v>
      </c>
      <c r="Z40" s="12">
        <v>75150.746389902619</v>
      </c>
      <c r="AA40" s="12">
        <v>75150.746389902619</v>
      </c>
      <c r="AB40" s="12">
        <v>75150.746389902619</v>
      </c>
      <c r="AC40" s="12">
        <v>82665.821028892882</v>
      </c>
      <c r="AD40" s="12">
        <v>82665.821028892882</v>
      </c>
      <c r="AE40" s="12">
        <v>82665.821028892882</v>
      </c>
      <c r="AF40" s="12">
        <v>82665.821028892882</v>
      </c>
      <c r="AG40" s="12">
        <v>82665.821028892882</v>
      </c>
      <c r="AH40" s="12">
        <v>82665.821028892882</v>
      </c>
      <c r="AI40" s="12">
        <v>82665.821028892882</v>
      </c>
      <c r="AJ40" s="12">
        <v>82665.821028892882</v>
      </c>
      <c r="AK40" s="12">
        <v>82665.821028892882</v>
      </c>
      <c r="AL40" s="12">
        <v>82665.821028892882</v>
      </c>
      <c r="AM40" s="12">
        <v>82665.821028892882</v>
      </c>
      <c r="AN40" s="12">
        <v>82665.821028892882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350.41759999999999</v>
      </c>
      <c r="F44" s="12">
        <v>855.82760000000019</v>
      </c>
      <c r="G44" s="12">
        <v>872.67460000000005</v>
      </c>
      <c r="H44" s="12">
        <v>899.62979999999993</v>
      </c>
      <c r="I44" s="12">
        <v>919.84619999999995</v>
      </c>
      <c r="J44" s="12">
        <v>943.4319999999999</v>
      </c>
      <c r="K44" s="12">
        <v>970.38720000000001</v>
      </c>
      <c r="L44" s="12">
        <v>997.3424</v>
      </c>
      <c r="M44" s="12">
        <v>1020.9281999999999</v>
      </c>
      <c r="N44" s="12">
        <v>1041.1445999999999</v>
      </c>
      <c r="O44" s="12">
        <v>1064.7304000000001</v>
      </c>
      <c r="P44" s="12">
        <v>1091.6856</v>
      </c>
      <c r="Q44" s="12">
        <v>1166.8906079999999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2160</v>
      </c>
      <c r="F46" s="12">
        <v>3450</v>
      </c>
      <c r="G46" s="12">
        <v>4014.9999999999995</v>
      </c>
      <c r="H46" s="12">
        <v>4595</v>
      </c>
      <c r="I46" s="12">
        <v>4895</v>
      </c>
      <c r="J46" s="12">
        <v>5469.9999999999991</v>
      </c>
      <c r="K46" s="12">
        <v>6060.0000000000009</v>
      </c>
      <c r="L46" s="12">
        <v>6640.0000000000009</v>
      </c>
      <c r="M46" s="12">
        <v>7215</v>
      </c>
      <c r="N46" s="12">
        <v>7515</v>
      </c>
      <c r="O46" s="12">
        <v>8089.9999999999991</v>
      </c>
      <c r="P46" s="12">
        <v>8675</v>
      </c>
      <c r="Q46" s="12">
        <v>9450.2999999999993</v>
      </c>
      <c r="R46" s="12">
        <v>9802.2000000000007</v>
      </c>
      <c r="S46" s="12">
        <v>9802.2000000000007</v>
      </c>
      <c r="T46" s="12">
        <v>9802.2000000000007</v>
      </c>
      <c r="U46" s="12">
        <v>9802.2000000000007</v>
      </c>
      <c r="V46" s="12">
        <v>9802.2000000000007</v>
      </c>
      <c r="W46" s="12">
        <v>9802.2000000000007</v>
      </c>
      <c r="X46" s="12">
        <v>9802.2000000000007</v>
      </c>
      <c r="Y46" s="12">
        <v>9802.2000000000007</v>
      </c>
      <c r="Z46" s="12">
        <v>9802.2000000000007</v>
      </c>
      <c r="AA46" s="12">
        <v>9802.2000000000007</v>
      </c>
      <c r="AB46" s="12">
        <v>9802.2000000000007</v>
      </c>
      <c r="AC46" s="12">
        <v>9998.2440000000006</v>
      </c>
      <c r="AD46" s="12">
        <v>9998.2440000000006</v>
      </c>
      <c r="AE46" s="12">
        <v>9998.2440000000006</v>
      </c>
      <c r="AF46" s="12">
        <v>9998.2440000000006</v>
      </c>
      <c r="AG46" s="12">
        <v>9998.2440000000006</v>
      </c>
      <c r="AH46" s="12">
        <v>9998.2440000000006</v>
      </c>
      <c r="AI46" s="12">
        <v>9998.2440000000006</v>
      </c>
      <c r="AJ46" s="12">
        <v>9998.2440000000006</v>
      </c>
      <c r="AK46" s="12">
        <v>9998.2440000000006</v>
      </c>
      <c r="AL46" s="12">
        <v>9998.2440000000006</v>
      </c>
      <c r="AM46" s="12">
        <v>9998.2440000000006</v>
      </c>
      <c r="AN46" s="12">
        <v>9998.2440000000006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1094.0699352652057</v>
      </c>
      <c r="F49" s="12">
        <f>'Corp.'!F$50*(F$37-(F31-F32-F34)*$C$35)/(SUM('MDA1:NCA9'!F$37)-SUM('MDA1:NCA9'!F$31)-SUM('MDA1:NCA9'!F$32)-SUM('MDA1:NCA9'!F$34))</f>
        <v>3085.7323178241613</v>
      </c>
      <c r="G49" s="12">
        <f>'Corp.'!G$50*(G$37-(G31-G32-G34)*$C$35)/(SUM('MDA1:NCA9'!G$37)-SUM('MDA1:NCA9'!G$31)-SUM('MDA1:NCA9'!G$32)-SUM('MDA1:NCA9'!G$34))</f>
        <v>4688.2545088429551</v>
      </c>
      <c r="H49" s="12">
        <f>'Corp.'!H$50*(H$37-(H31-H32-H34)*$C$35)/(SUM('MDA1:NCA9'!H$37)-SUM('MDA1:NCA9'!H$31)-SUM('MDA1:NCA9'!H$32)-SUM('MDA1:NCA9'!H$34))</f>
        <v>6013.4403150064381</v>
      </c>
      <c r="I49" s="12">
        <f>'Corp.'!I$50*(I$37-(I31-I32-I34)*$C$35)/(SUM('MDA1:NCA9'!I$37)-SUM('MDA1:NCA9'!I$31)-SUM('MDA1:NCA9'!I$32)-SUM('MDA1:NCA9'!I$34))</f>
        <v>6477.9345991793498</v>
      </c>
      <c r="J49" s="12">
        <f>'Corp.'!J$50*(J$37-(J31-J32-J34)*$C$35)/(SUM('MDA1:NCA9'!J$37)-SUM('MDA1:NCA9'!J$31)-SUM('MDA1:NCA9'!J$32)-SUM('MDA1:NCA9'!J$34))</f>
        <v>7583.8888550839056</v>
      </c>
      <c r="K49" s="12">
        <f>'Corp.'!K$50*(K$37-(K31-K32-K34)*$C$35)/(SUM('MDA1:NCA9'!K$37)-SUM('MDA1:NCA9'!K$31)-SUM('MDA1:NCA9'!K$32)-SUM('MDA1:NCA9'!K$34))</f>
        <v>8380.4153233454399</v>
      </c>
      <c r="L49" s="12">
        <f>'Corp.'!L$50*(L$37-(L31-L32-L34)*$C$35)/(SUM('MDA1:NCA9'!L$37)-SUM('MDA1:NCA9'!L$31)-SUM('MDA1:NCA9'!L$32)-SUM('MDA1:NCA9'!L$34))</f>
        <v>9254.6157234473976</v>
      </c>
      <c r="M49" s="12">
        <f>'Corp.'!M$50*(M$37-(M31-M32-M34)*$C$35)/(SUM('MDA1:NCA9'!M$37)-SUM('MDA1:NCA9'!M$31)-SUM('MDA1:NCA9'!M$32)-SUM('MDA1:NCA9'!M$34))</f>
        <v>9934.2066011131556</v>
      </c>
      <c r="N49" s="12">
        <f>'Corp.'!N$50*(N$37-(N31-N32-N34)*$C$35)/(SUM('MDA1:NCA9'!N$37)-SUM('MDA1:NCA9'!N$31)-SUM('MDA1:NCA9'!N$32)-SUM('MDA1:NCA9'!N$34))</f>
        <v>9969.2391279627809</v>
      </c>
      <c r="O49" s="12">
        <f>'Corp.'!O$50*(O$37-(O31-O32-O34)*$C$35)/(SUM('MDA1:NCA9'!O$37)-SUM('MDA1:NCA9'!O$31)-SUM('MDA1:NCA9'!O$32)-SUM('MDA1:NCA9'!O$34))</f>
        <v>10455.139905803366</v>
      </c>
      <c r="P49" s="12">
        <f>'Corp.'!P$50*(P$37-(P31-P32-P34)*$C$35)/(SUM('MDA1:NCA9'!P$37)-SUM('MDA1:NCA9'!P$31)-SUM('MDA1:NCA9'!P$32)-SUM('MDA1:NCA9'!P$34))</f>
        <v>10933.722313838791</v>
      </c>
      <c r="Q49" s="12">
        <f>'Corp.'!Q$50*(Q$37-(Q31-Q32-Q34)*$C$35)/(SUM('MDA1:NCA9'!Q$37)-SUM('MDA1:NCA9'!Q$31)-SUM('MDA1:NCA9'!Q$32)-SUM('MDA1:NCA9'!Q$34))</f>
        <v>12517.04121600468</v>
      </c>
      <c r="R49" s="12">
        <f>'Corp.'!R$50*(R$37-(R31-R32-R34)*$C$35)/(SUM('MDA1:NCA9'!R$37)-SUM('MDA1:NCA9'!R$31)-SUM('MDA1:NCA9'!R$32)-SUM('MDA1:NCA9'!R$34))</f>
        <v>13116.175912095723</v>
      </c>
      <c r="S49" s="12">
        <f>'Corp.'!S$50*(S$37-(S31-S32-S34)*$C$35)/(SUM('MDA1:NCA9'!S$37)-SUM('MDA1:NCA9'!S$31)-SUM('MDA1:NCA9'!S$32)-SUM('MDA1:NCA9'!S$34))</f>
        <v>12574.534117569923</v>
      </c>
      <c r="T49" s="12">
        <f>'Corp.'!T$50*(T$37-(T31-T32-T34)*$C$35)/(SUM('MDA1:NCA9'!T$37)-SUM('MDA1:NCA9'!T$31)-SUM('MDA1:NCA9'!T$32)-SUM('MDA1:NCA9'!T$34))</f>
        <v>12117.815276624353</v>
      </c>
      <c r="U49" s="12">
        <f>'Corp.'!U$50*(U$37-(U31-U32-U34)*$C$35)/(SUM('MDA1:NCA9'!U$37)-SUM('MDA1:NCA9'!U$31)-SUM('MDA1:NCA9'!U$32)-SUM('MDA1:NCA9'!U$34))</f>
        <v>11806.160782242865</v>
      </c>
      <c r="V49" s="12">
        <f>'Corp.'!V$50*(V$37-(V31-V32-V34)*$C$35)/(SUM('MDA1:NCA9'!V$37)-SUM('MDA1:NCA9'!V$31)-SUM('MDA1:NCA9'!V$32)-SUM('MDA1:NCA9'!V$34))</f>
        <v>11553.243586441713</v>
      </c>
      <c r="W49" s="12">
        <f>'Corp.'!W$50*(W$37-(W31-W32-W34)*$C$35)/(SUM('MDA1:NCA9'!W$37)-SUM('MDA1:NCA9'!W$31)-SUM('MDA1:NCA9'!W$32)-SUM('MDA1:NCA9'!W$34))</f>
        <v>11220.721903689917</v>
      </c>
      <c r="X49" s="12">
        <f>'Corp.'!X$50*(X$37-(X31-X32-X34)*$C$35)/(SUM('MDA1:NCA9'!X$37)-SUM('MDA1:NCA9'!X$31)-SUM('MDA1:NCA9'!X$32)-SUM('MDA1:NCA9'!X$34))</f>
        <v>10887.227949235354</v>
      </c>
      <c r="Y49" s="12">
        <f>'Corp.'!Y$50*(Y$37-(Y31-Y32-Y34)*$C$35)/(SUM('MDA1:NCA9'!Y$37)-SUM('MDA1:NCA9'!Y$31)-SUM('MDA1:NCA9'!Y$32)-SUM('MDA1:NCA9'!Y$34))</f>
        <v>10671.14424511534</v>
      </c>
      <c r="Z49" s="12">
        <f>'Corp.'!Z$50*(Z$37-(Z31-Z32-Z34)*$C$35)/(SUM('MDA1:NCA9'!Z$37)-SUM('MDA1:NCA9'!Z$31)-SUM('MDA1:NCA9'!Z$32)-SUM('MDA1:NCA9'!Z$34))</f>
        <v>10454.940926230098</v>
      </c>
      <c r="AA49" s="12">
        <f>'Corp.'!AA$50*(AA$37-(AA31-AA32-AA34)*$C$35)/(SUM('MDA1:NCA9'!AA$37)-SUM('MDA1:NCA9'!AA$31)-SUM('MDA1:NCA9'!AA$32)-SUM('MDA1:NCA9'!AA$34))</f>
        <v>10230.711027541018</v>
      </c>
      <c r="AB49" s="12">
        <f>'Corp.'!AB$50*(AB$37-(AB31-AB32-AB34)*$C$35)/(SUM('MDA1:NCA9'!AB$37)-SUM('MDA1:NCA9'!AB$31)-SUM('MDA1:NCA9'!AB$32)-SUM('MDA1:NCA9'!AB$34))</f>
        <v>10011.539014328682</v>
      </c>
      <c r="AC49" s="12">
        <f>'Corp.'!AC$50*(AC$37-(AC31-AC32-AC34)*$C$35)/(SUM('MDA1:NCA9'!AC$37)-SUM('MDA1:NCA9'!AC$31)-SUM('MDA1:NCA9'!AC$32)-SUM('MDA1:NCA9'!AC$34))</f>
        <v>10833.86515659515</v>
      </c>
      <c r="AD49" s="12">
        <f>'Corp.'!AD$50*(AD$37-(AD31-AD32-AD34)*$C$35)/(SUM('MDA1:NCA9'!AD$37)-SUM('MDA1:NCA9'!AD$31)-SUM('MDA1:NCA9'!AD$32)-SUM('MDA1:NCA9'!AD$34))</f>
        <v>10667.521080703737</v>
      </c>
      <c r="AE49" s="12">
        <f>'Corp.'!AE$50*(AE$37-(AE31-AE32-AE34)*$C$35)/(SUM('MDA1:NCA9'!AE$37)-SUM('MDA1:NCA9'!AE$31)-SUM('MDA1:NCA9'!AE$32)-SUM('MDA1:NCA9'!AE$34))</f>
        <v>10510.040836578031</v>
      </c>
      <c r="AF49" s="12">
        <f>'Corp.'!AF$50*(AF$37-(AF31-AF32-AF34)*$C$35)/(SUM('MDA1:NCA9'!AF$37)-SUM('MDA1:NCA9'!AF$31)-SUM('MDA1:NCA9'!AF$32)-SUM('MDA1:NCA9'!AF$34))</f>
        <v>10361.952733357843</v>
      </c>
      <c r="AG49" s="12">
        <f>'Corp.'!AG$50*(AG$37-(AG31-AG32-AG34)*$C$35)/(SUM('MDA1:NCA9'!AG$37)-SUM('MDA1:NCA9'!AG$31)-SUM('MDA1:NCA9'!AG$32)-SUM('MDA1:NCA9'!AG$34))</f>
        <v>10244.021727552097</v>
      </c>
      <c r="AH49" s="12">
        <f>'Corp.'!AH$50*(AH$37-(AH31-AH32-AH34)*$C$35)/(SUM('MDA1:NCA9'!AH$37)-SUM('MDA1:NCA9'!AH$31)-SUM('MDA1:NCA9'!AH$32)-SUM('MDA1:NCA9'!AH$34))</f>
        <v>10087.674836838203</v>
      </c>
      <c r="AI49" s="12">
        <f>'Corp.'!AI$50*(AI$37-(AI31-AI32-AI34)*$C$35)/(SUM('MDA1:NCA9'!AI$37)-SUM('MDA1:NCA9'!AI$31)-SUM('MDA1:NCA9'!AI$32)-SUM('MDA1:NCA9'!AI$34))</f>
        <v>9925.5799427459733</v>
      </c>
      <c r="AJ49" s="12">
        <f>'Corp.'!AJ$50*(AJ$37-(AJ31-AJ32-AJ34)*$C$35)/(SUM('MDA1:NCA9'!AJ$37)-SUM('MDA1:NCA9'!AJ$31)-SUM('MDA1:NCA9'!AJ$32)-SUM('MDA1:NCA9'!AJ$34))</f>
        <v>9758.2447917227437</v>
      </c>
      <c r="AK49" s="12">
        <f>'Corp.'!AK$50*(AK$37-(AK31-AK32-AK34)*$C$35)/(SUM('MDA1:NCA9'!AK$37)-SUM('MDA1:NCA9'!AK$31)-SUM('MDA1:NCA9'!AK$32)-SUM('MDA1:NCA9'!AK$34))</f>
        <v>9603.6777349628392</v>
      </c>
      <c r="AL49" s="12">
        <f>'Corp.'!AL$50*(AL$37-(AL31-AL32-AL34)*$C$35)/(SUM('MDA1:NCA9'!AL$37)-SUM('MDA1:NCA9'!AL$31)-SUM('MDA1:NCA9'!AL$32)-SUM('MDA1:NCA9'!AL$34))</f>
        <v>9461.5996284717548</v>
      </c>
      <c r="AM49" s="12">
        <f>'Corp.'!AM$50*(AM$37-(AM31-AM32-AM34)*$C$35)/(SUM('MDA1:NCA9'!AM$37)-SUM('MDA1:NCA9'!AM$31)-SUM('MDA1:NCA9'!AM$32)-SUM('MDA1:NCA9'!AM$34))</f>
        <v>9308.4097762611927</v>
      </c>
      <c r="AN49" s="12">
        <f>'Corp.'!AN$50*(AN$37-(AN31-AN32-AN34)*$C$35)/(SUM('MDA1:NCA9'!AN$37)-SUM('MDA1:NCA9'!AN$31)-SUM('MDA1:NCA9'!AN$32)-SUM('MDA1:NCA9'!AN$34))</f>
        <v>9178.0301599610302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30929.469361887928</v>
      </c>
      <c r="F50" s="13">
        <v>45432.61617547011</v>
      </c>
      <c r="G50" s="13">
        <v>50894.95613084545</v>
      </c>
      <c r="H50" s="13">
        <v>56339.043034698821</v>
      </c>
      <c r="I50" s="13">
        <v>59042.15453438335</v>
      </c>
      <c r="J50" s="13">
        <v>64165.343221311115</v>
      </c>
      <c r="K50" s="13">
        <v>69191.636331706977</v>
      </c>
      <c r="L50" s="13">
        <v>74184.73782949883</v>
      </c>
      <c r="M50" s="13">
        <v>78925.063138187819</v>
      </c>
      <c r="N50" s="13">
        <v>81155.212880549036</v>
      </c>
      <c r="O50" s="13">
        <v>85701.848089412844</v>
      </c>
      <c r="P50" s="13">
        <v>90320.613806249268</v>
      </c>
      <c r="Q50" s="13">
        <v>103382.42973178175</v>
      </c>
      <c r="R50" s="13">
        <v>104706.62230199834</v>
      </c>
      <c r="S50" s="13">
        <v>104164.98050747254</v>
      </c>
      <c r="T50" s="13">
        <v>103708.26166652697</v>
      </c>
      <c r="U50" s="13">
        <v>103396.60717214548</v>
      </c>
      <c r="V50" s="13">
        <v>103143.68997634432</v>
      </c>
      <c r="W50" s="13">
        <v>102811.16829359253</v>
      </c>
      <c r="X50" s="13">
        <v>102477.67433913797</v>
      </c>
      <c r="Y50" s="13">
        <v>102261.59063501796</v>
      </c>
      <c r="Z50" s="13">
        <v>102045.38731613272</v>
      </c>
      <c r="AA50" s="13">
        <v>101821.15741744364</v>
      </c>
      <c r="AB50" s="13">
        <v>101601.98540423129</v>
      </c>
      <c r="AC50" s="13">
        <v>110329.60518548804</v>
      </c>
      <c r="AD50" s="13">
        <v>110163.26110959663</v>
      </c>
      <c r="AE50" s="13">
        <v>110005.78086547092</v>
      </c>
      <c r="AF50" s="13">
        <v>109857.69276225074</v>
      </c>
      <c r="AG50" s="13">
        <v>109739.76175644499</v>
      </c>
      <c r="AH50" s="13">
        <v>109583.41486573109</v>
      </c>
      <c r="AI50" s="13">
        <v>109421.31997163886</v>
      </c>
      <c r="AJ50" s="13">
        <v>109253.98482061563</v>
      </c>
      <c r="AK50" s="13">
        <v>109099.41776385573</v>
      </c>
      <c r="AL50" s="13">
        <v>108957.33965736465</v>
      </c>
      <c r="AM50" s="13">
        <v>108804.14980515408</v>
      </c>
      <c r="AN50" s="13">
        <v>108673.77018885392</v>
      </c>
    </row>
    <row r="52" spans="2:40" x14ac:dyDescent="0.25">
      <c r="B52" s="1" t="s">
        <v>50</v>
      </c>
      <c r="E52" s="74">
        <f>E37-E50</f>
        <v>-26215.437498101262</v>
      </c>
      <c r="F52" s="74">
        <f t="shared" ref="F52:AN52" si="0">F37-F50</f>
        <v>-31290.520584110112</v>
      </c>
      <c r="G52" s="74">
        <f t="shared" si="0"/>
        <v>-27324.796811912129</v>
      </c>
      <c r="H52" s="74">
        <f t="shared" si="0"/>
        <v>-23340.819988192161</v>
      </c>
      <c r="I52" s="74">
        <f t="shared" si="0"/>
        <v>-21329.899624090016</v>
      </c>
      <c r="J52" s="74">
        <f t="shared" si="0"/>
        <v>-17025.024583444472</v>
      </c>
      <c r="K52" s="74">
        <f t="shared" si="0"/>
        <v>-12623.253966266988</v>
      </c>
      <c r="L52" s="74">
        <f t="shared" si="0"/>
        <v>-8188.2917364855093</v>
      </c>
      <c r="M52" s="74">
        <f t="shared" si="0"/>
        <v>-3500.5533176011522</v>
      </c>
      <c r="N52" s="74">
        <f t="shared" si="0"/>
        <v>-1016.6711961757392</v>
      </c>
      <c r="O52" s="74">
        <f t="shared" si="0"/>
        <v>3864.7573225338128</v>
      </c>
      <c r="P52" s="74">
        <f t="shared" si="0"/>
        <v>8674.0553332707204</v>
      </c>
      <c r="Q52" s="74">
        <f t="shared" si="0"/>
        <v>8292.9851213243674</v>
      </c>
      <c r="R52" s="74">
        <f t="shared" si="0"/>
        <v>16679.698190508323</v>
      </c>
      <c r="S52" s="74">
        <f t="shared" si="0"/>
        <v>17221.339985034123</v>
      </c>
      <c r="T52" s="74">
        <f t="shared" si="0"/>
        <v>17678.058825979693</v>
      </c>
      <c r="U52" s="74">
        <f t="shared" si="0"/>
        <v>17989.713320361188</v>
      </c>
      <c r="V52" s="74">
        <f t="shared" si="0"/>
        <v>18242.630516162346</v>
      </c>
      <c r="W52" s="74">
        <f t="shared" si="0"/>
        <v>18575.152198914133</v>
      </c>
      <c r="X52" s="74">
        <f t="shared" si="0"/>
        <v>18908.646153368696</v>
      </c>
      <c r="Y52" s="74">
        <f t="shared" si="0"/>
        <v>19124.72985748871</v>
      </c>
      <c r="Z52" s="74">
        <f t="shared" si="0"/>
        <v>19340.933176373946</v>
      </c>
      <c r="AA52" s="74">
        <f t="shared" si="0"/>
        <v>19565.163075063028</v>
      </c>
      <c r="AB52" s="74">
        <f t="shared" si="0"/>
        <v>19784.335088275373</v>
      </c>
      <c r="AC52" s="74">
        <f t="shared" si="0"/>
        <v>11056.715307018632</v>
      </c>
      <c r="AD52" s="74">
        <f t="shared" si="0"/>
        <v>11223.05938291004</v>
      </c>
      <c r="AE52" s="74">
        <f t="shared" si="0"/>
        <v>11380.539627035745</v>
      </c>
      <c r="AF52" s="74">
        <f t="shared" si="0"/>
        <v>11528.627730255932</v>
      </c>
      <c r="AG52" s="74">
        <f t="shared" si="0"/>
        <v>11646.558736061677</v>
      </c>
      <c r="AH52" s="74">
        <f t="shared" si="0"/>
        <v>11802.90562677558</v>
      </c>
      <c r="AI52" s="74">
        <f t="shared" si="0"/>
        <v>11965.000520867805</v>
      </c>
      <c r="AJ52" s="74">
        <f t="shared" si="0"/>
        <v>12132.335671891036</v>
      </c>
      <c r="AK52" s="74">
        <f t="shared" si="0"/>
        <v>12286.902728650937</v>
      </c>
      <c r="AL52" s="74">
        <f t="shared" si="0"/>
        <v>12428.980835142022</v>
      </c>
      <c r="AM52" s="74">
        <f t="shared" si="0"/>
        <v>12582.170687352584</v>
      </c>
      <c r="AN52" s="74">
        <f t="shared" si="0"/>
        <v>12712.550303652752</v>
      </c>
    </row>
    <row r="53" spans="2:40" x14ac:dyDescent="0.25">
      <c r="E53" s="107">
        <f>IFERROR(E52/E37,"")</f>
        <v>-5.5611498300401898</v>
      </c>
      <c r="F53" s="107">
        <f t="shared" ref="F53:AN53" si="1">IFERROR(F52/F37,"")</f>
        <v>-2.2125801923745172</v>
      </c>
      <c r="G53" s="107">
        <f t="shared" si="1"/>
        <v>-1.1592962288533535</v>
      </c>
      <c r="H53" s="107">
        <f t="shared" si="1"/>
        <v>-0.70733566335667053</v>
      </c>
      <c r="I53" s="107">
        <f t="shared" si="1"/>
        <v>-0.56559597602497502</v>
      </c>
      <c r="J53" s="107">
        <f t="shared" si="1"/>
        <v>-0.36115633231568134</v>
      </c>
      <c r="K53" s="107">
        <f t="shared" si="1"/>
        <v>-0.22315034367995409</v>
      </c>
      <c r="L53" s="107">
        <f t="shared" si="1"/>
        <v>-0.12407170720897892</v>
      </c>
      <c r="M53" s="107">
        <f t="shared" si="1"/>
        <v>-4.6411349916996046E-2</v>
      </c>
      <c r="N53" s="107">
        <f t="shared" si="1"/>
        <v>-1.2686419977292725E-2</v>
      </c>
      <c r="O53" s="107">
        <f t="shared" si="1"/>
        <v>4.3149534413618851E-2</v>
      </c>
      <c r="P53" s="107">
        <f t="shared" si="1"/>
        <v>8.762143869631786E-2</v>
      </c>
      <c r="Q53" s="107">
        <f t="shared" si="1"/>
        <v>7.425972074724474E-2</v>
      </c>
      <c r="R53" s="107">
        <f t="shared" si="1"/>
        <v>0.13741003205989741</v>
      </c>
      <c r="S53" s="107">
        <f t="shared" si="1"/>
        <v>0.14187216413810994</v>
      </c>
      <c r="T53" s="107">
        <f t="shared" si="1"/>
        <v>0.1456346872881033</v>
      </c>
      <c r="U53" s="107">
        <f t="shared" si="1"/>
        <v>0.14820214705718604</v>
      </c>
      <c r="V53" s="107">
        <f t="shared" si="1"/>
        <v>0.1502857195287379</v>
      </c>
      <c r="W53" s="107">
        <f t="shared" si="1"/>
        <v>0.15302508654639385</v>
      </c>
      <c r="X53" s="107">
        <f t="shared" si="1"/>
        <v>0.15577246329446118</v>
      </c>
      <c r="Y53" s="107">
        <f t="shared" si="1"/>
        <v>0.15755259554695294</v>
      </c>
      <c r="Z53" s="107">
        <f t="shared" si="1"/>
        <v>0.15933371320508793</v>
      </c>
      <c r="AA53" s="107">
        <f t="shared" si="1"/>
        <v>0.16118095511652658</v>
      </c>
      <c r="AB53" s="107">
        <f t="shared" si="1"/>
        <v>0.16298652935523064</v>
      </c>
      <c r="AC53" s="107">
        <f t="shared" si="1"/>
        <v>9.1086996147157928E-2</v>
      </c>
      <c r="AD53" s="107">
        <f t="shared" si="1"/>
        <v>9.2457365355290214E-2</v>
      </c>
      <c r="AE53" s="107">
        <f t="shared" si="1"/>
        <v>9.3754712894014117E-2</v>
      </c>
      <c r="AF53" s="107">
        <f t="shared" si="1"/>
        <v>9.4974686467801855E-2</v>
      </c>
      <c r="AG53" s="107">
        <f t="shared" si="1"/>
        <v>9.5946221030570197E-2</v>
      </c>
      <c r="AH53" s="107">
        <f t="shared" si="1"/>
        <v>9.7234231821897832E-2</v>
      </c>
      <c r="AI53" s="107">
        <f t="shared" si="1"/>
        <v>9.8569595588049966E-2</v>
      </c>
      <c r="AJ53" s="107">
        <f t="shared" si="1"/>
        <v>9.9948129432261529E-2</v>
      </c>
      <c r="AK53" s="107">
        <f t="shared" si="1"/>
        <v>0.1012214776656767</v>
      </c>
      <c r="AL53" s="107">
        <f t="shared" si="1"/>
        <v>0.10239193992134624</v>
      </c>
      <c r="AM53" s="107">
        <f t="shared" si="1"/>
        <v>0.10365394252253735</v>
      </c>
      <c r="AN53" s="107">
        <f t="shared" si="1"/>
        <v>0.10472803073751225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-707.10477956800003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-707.10477956800003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-707.10477956800003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-707.10477956800003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-707.10477956800003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-707.10477956800003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-2121.3143387039995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-3535.523897839998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-4949.7334569759987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-5656.8382365440002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-7071.0477956799959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-8485.257354815998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-9899.4669139519974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-11313.676473088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-12020.781252655994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-13434.990811791999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-14849.200370927998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-16751.312227965918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-26922.542277669261</v>
      </c>
      <c r="F58" s="13">
        <f t="shared" ref="F58:AN58" si="2">F37-F50-F55+F56</f>
        <v>-31997.625363678111</v>
      </c>
      <c r="G58" s="13">
        <f t="shared" si="2"/>
        <v>-28031.901591480128</v>
      </c>
      <c r="H58" s="13">
        <f t="shared" si="2"/>
        <v>-24047.92476776016</v>
      </c>
      <c r="I58" s="13">
        <f t="shared" si="2"/>
        <v>-22037.004403658015</v>
      </c>
      <c r="J58" s="13">
        <f t="shared" si="2"/>
        <v>-17732.129363012471</v>
      </c>
      <c r="K58" s="13">
        <f t="shared" si="2"/>
        <v>-14744.568304970988</v>
      </c>
      <c r="L58" s="13">
        <f t="shared" si="2"/>
        <v>-11723.815634325507</v>
      </c>
      <c r="M58" s="13">
        <f t="shared" si="2"/>
        <v>-8450.2867745771509</v>
      </c>
      <c r="N58" s="13">
        <f t="shared" si="2"/>
        <v>-6673.5094327197394</v>
      </c>
      <c r="O58" s="13">
        <f t="shared" si="2"/>
        <v>-3206.2904731461831</v>
      </c>
      <c r="P58" s="13">
        <f t="shared" si="2"/>
        <v>188.7979784547224</v>
      </c>
      <c r="Q58" s="13">
        <f t="shared" si="2"/>
        <v>-1606.4817926276301</v>
      </c>
      <c r="R58" s="13">
        <f t="shared" si="2"/>
        <v>5366.0217174203226</v>
      </c>
      <c r="S58" s="13">
        <f t="shared" si="2"/>
        <v>5200.5587323781292</v>
      </c>
      <c r="T58" s="13">
        <f t="shared" si="2"/>
        <v>4243.0680141876946</v>
      </c>
      <c r="U58" s="13">
        <f t="shared" si="2"/>
        <v>3140.5129494331904</v>
      </c>
      <c r="V58" s="13">
        <f t="shared" si="2"/>
        <v>1491.3182881964276</v>
      </c>
      <c r="W58" s="13">
        <f t="shared" si="2"/>
        <v>367.2041250381335</v>
      </c>
      <c r="X58" s="13">
        <f t="shared" si="2"/>
        <v>700.69807949269671</v>
      </c>
      <c r="Y58" s="13">
        <f t="shared" si="2"/>
        <v>916.78178361271057</v>
      </c>
      <c r="Z58" s="13">
        <f t="shared" si="2"/>
        <v>1132.9851024979471</v>
      </c>
      <c r="AA58" s="13">
        <f t="shared" si="2"/>
        <v>1357.215001187029</v>
      </c>
      <c r="AB58" s="13">
        <f t="shared" si="2"/>
        <v>1576.3870143993736</v>
      </c>
      <c r="AC58" s="13">
        <f t="shared" si="2"/>
        <v>-7151.2327668573671</v>
      </c>
      <c r="AD58" s="13">
        <f t="shared" si="2"/>
        <v>-6984.8886909659595</v>
      </c>
      <c r="AE58" s="13">
        <f t="shared" si="2"/>
        <v>-6827.4084468402543</v>
      </c>
      <c r="AF58" s="13">
        <f t="shared" si="2"/>
        <v>-6679.3203436200674</v>
      </c>
      <c r="AG58" s="13">
        <f t="shared" si="2"/>
        <v>-6561.3893378143221</v>
      </c>
      <c r="AH58" s="13">
        <f t="shared" si="2"/>
        <v>-6405.0424471004189</v>
      </c>
      <c r="AI58" s="13">
        <f t="shared" si="2"/>
        <v>-6242.9475530081945</v>
      </c>
      <c r="AJ58" s="13">
        <f t="shared" si="2"/>
        <v>-6075.6124019849631</v>
      </c>
      <c r="AK58" s="13">
        <f t="shared" si="2"/>
        <v>-5921.0453452250622</v>
      </c>
      <c r="AL58" s="13">
        <f t="shared" si="2"/>
        <v>-5778.9672387339779</v>
      </c>
      <c r="AM58" s="13">
        <f t="shared" si="2"/>
        <v>-5625.7773865234158</v>
      </c>
      <c r="AN58" s="13">
        <f t="shared" si="2"/>
        <v>-5495.3977702232478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-26922.542277669261</v>
      </c>
      <c r="F59" s="12">
        <v>-58920.167641347376</v>
      </c>
      <c r="G59" s="12">
        <v>-86952.069232827504</v>
      </c>
      <c r="H59" s="12">
        <v>-110999.99400058767</v>
      </c>
      <c r="I59" s="12">
        <v>-133036.99840424568</v>
      </c>
      <c r="J59" s="12">
        <v>-150769.12776725815</v>
      </c>
      <c r="K59" s="12">
        <v>-165513.69607222913</v>
      </c>
      <c r="L59" s="12">
        <v>-177237.51170655462</v>
      </c>
      <c r="M59" s="12">
        <v>-185687.79848113179</v>
      </c>
      <c r="N59" s="12">
        <v>-192361.30791385152</v>
      </c>
      <c r="O59" s="12">
        <v>-195567.59838699771</v>
      </c>
      <c r="P59" s="12">
        <v>-195378.80040854297</v>
      </c>
      <c r="Q59" s="12">
        <v>-196985.2822011706</v>
      </c>
      <c r="R59" s="12">
        <v>-191619.26048375029</v>
      </c>
      <c r="S59" s="12">
        <v>-186418.70175137217</v>
      </c>
      <c r="T59" s="12">
        <v>-182175.63373718446</v>
      </c>
      <c r="U59" s="12">
        <v>-179035.12078775128</v>
      </c>
      <c r="V59" s="12">
        <v>-177543.80249955485</v>
      </c>
      <c r="W59" s="12">
        <v>-177176.5983745167</v>
      </c>
      <c r="X59" s="12">
        <v>-176475.90029502401</v>
      </c>
      <c r="Y59" s="12">
        <v>-175559.1185114113</v>
      </c>
      <c r="Z59" s="12">
        <v>-174426.13340891336</v>
      </c>
      <c r="AA59" s="12">
        <v>-173068.91840772633</v>
      </c>
      <c r="AB59" s="12">
        <v>-171492.53139332696</v>
      </c>
      <c r="AC59" s="12">
        <v>-178643.76416018434</v>
      </c>
      <c r="AD59" s="12">
        <v>-185628.65285115028</v>
      </c>
      <c r="AE59" s="12">
        <v>-192456.06129799053</v>
      </c>
      <c r="AF59" s="12">
        <v>-199135.38164161058</v>
      </c>
      <c r="AG59" s="12">
        <v>-205696.77097942491</v>
      </c>
      <c r="AH59" s="12">
        <v>-212101.81342652533</v>
      </c>
      <c r="AI59" s="12">
        <v>-218344.76097953352</v>
      </c>
      <c r="AJ59" s="12">
        <v>-224420.37338151847</v>
      </c>
      <c r="AK59" s="12">
        <v>-230341.41872674352</v>
      </c>
      <c r="AL59" s="12">
        <v>-236120.3859654775</v>
      </c>
      <c r="AM59" s="12">
        <v>-241746.16335200091</v>
      </c>
      <c r="AN59" s="12">
        <v>-247241.56112222414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1.0488449438217826E-3</v>
      </c>
      <c r="F72" s="12">
        <v>3.1465348314653478E-3</v>
      </c>
      <c r="G72" s="12">
        <v>5.2442247191089144E-3</v>
      </c>
      <c r="H72" s="12">
        <v>7.3419146067524805E-3</v>
      </c>
      <c r="I72" s="12">
        <v>8.3907595505742609E-3</v>
      </c>
      <c r="J72" s="12">
        <v>1.0488449438217829E-2</v>
      </c>
      <c r="K72" s="12">
        <v>1.2586139325861391E-2</v>
      </c>
      <c r="L72" s="12">
        <v>1.4683829213504961E-2</v>
      </c>
      <c r="M72" s="12">
        <v>1.6781519101148522E-2</v>
      </c>
      <c r="N72" s="12">
        <v>1.7830364044970303E-2</v>
      </c>
      <c r="O72" s="12">
        <v>1.9928053932613873E-2</v>
      </c>
      <c r="P72" s="12">
        <v>2.2025743820257435E-2</v>
      </c>
      <c r="Q72" s="12">
        <v>2.6535777078691102E-2</v>
      </c>
      <c r="R72" s="12">
        <v>2.8843235955099022E-2</v>
      </c>
      <c r="S72" s="12">
        <v>2.8843235955099022E-2</v>
      </c>
      <c r="T72" s="12">
        <v>2.8843235955099022E-2</v>
      </c>
      <c r="U72" s="12">
        <v>2.8843235955099022E-2</v>
      </c>
      <c r="V72" s="12">
        <v>2.8843235955099022E-2</v>
      </c>
      <c r="W72" s="12">
        <v>2.8843235955099022E-2</v>
      </c>
      <c r="X72" s="12">
        <v>2.8843235955099022E-2</v>
      </c>
      <c r="Y72" s="12">
        <v>2.8843235955099022E-2</v>
      </c>
      <c r="Z72" s="12">
        <v>2.8843235955099022E-2</v>
      </c>
      <c r="AA72" s="12">
        <v>2.8843235955099022E-2</v>
      </c>
      <c r="AB72" s="12">
        <v>2.8843235955099022E-2</v>
      </c>
      <c r="AC72" s="12">
        <v>3.1727559550608936E-2</v>
      </c>
      <c r="AD72" s="12">
        <v>3.1727559550608936E-2</v>
      </c>
      <c r="AE72" s="12">
        <v>3.1727559550608936E-2</v>
      </c>
      <c r="AF72" s="12">
        <v>3.1727559550608936E-2</v>
      </c>
      <c r="AG72" s="12">
        <v>3.1727559550608936E-2</v>
      </c>
      <c r="AH72" s="12">
        <v>3.1727559550608936E-2</v>
      </c>
      <c r="AI72" s="12">
        <v>3.1727559550608936E-2</v>
      </c>
      <c r="AJ72" s="12">
        <v>3.1727559550608936E-2</v>
      </c>
      <c r="AK72" s="12">
        <v>3.1727559550608936E-2</v>
      </c>
      <c r="AL72" s="12">
        <v>3.1727559550608936E-2</v>
      </c>
      <c r="AM72" s="12">
        <v>3.1727559550608936E-2</v>
      </c>
      <c r="AN72" s="12">
        <v>3.1727559550608936E-2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-1.0488449438217826E-3</v>
      </c>
      <c r="F75" s="74">
        <v>-3.1465348314653478E-3</v>
      </c>
      <c r="G75" s="74">
        <v>-5.2442247191089144E-3</v>
      </c>
      <c r="H75" s="74">
        <v>-7.3419146067524805E-3</v>
      </c>
      <c r="I75" s="74">
        <v>-8.3907595505742609E-3</v>
      </c>
      <c r="J75" s="74">
        <v>-1.0488449438217829E-2</v>
      </c>
      <c r="K75" s="74">
        <v>-1.2586139325861391E-2</v>
      </c>
      <c r="L75" s="74">
        <v>-1.4683829213504961E-2</v>
      </c>
      <c r="M75" s="74">
        <v>-1.6781519101148522E-2</v>
      </c>
      <c r="N75" s="74">
        <v>-1.7830364044970303E-2</v>
      </c>
      <c r="O75" s="74">
        <v>-1.9928053932613873E-2</v>
      </c>
      <c r="P75" s="74">
        <v>-2.2025743820257435E-2</v>
      </c>
      <c r="Q75" s="74">
        <v>-2.6535777078691102E-2</v>
      </c>
      <c r="R75" s="74">
        <v>-2.8843235955099022E-2</v>
      </c>
      <c r="S75" s="74">
        <v>-2.8843235955099022E-2</v>
      </c>
      <c r="T75" s="74">
        <v>-2.8843235955099022E-2</v>
      </c>
      <c r="U75" s="74">
        <v>-2.8843235955099022E-2</v>
      </c>
      <c r="V75" s="74">
        <v>-2.8843235955099022E-2</v>
      </c>
      <c r="W75" s="74">
        <v>-2.8843235955099022E-2</v>
      </c>
      <c r="X75" s="74">
        <v>-2.8843235955099022E-2</v>
      </c>
      <c r="Y75" s="74">
        <v>-2.8843235955099022E-2</v>
      </c>
      <c r="Z75" s="74">
        <v>-2.8843235955099022E-2</v>
      </c>
      <c r="AA75" s="74">
        <v>-2.8843235955099022E-2</v>
      </c>
      <c r="AB75" s="74">
        <v>-2.8843235955099022E-2</v>
      </c>
      <c r="AC75" s="74">
        <v>-3.1727559550608936E-2</v>
      </c>
      <c r="AD75" s="74">
        <v>-3.1727559550608936E-2</v>
      </c>
      <c r="AE75" s="74">
        <v>-3.1727559550608936E-2</v>
      </c>
      <c r="AF75" s="74">
        <v>-3.1727559550608936E-2</v>
      </c>
      <c r="AG75" s="74">
        <v>-3.1727559550608936E-2</v>
      </c>
      <c r="AH75" s="74">
        <v>-3.1727559550608936E-2</v>
      </c>
      <c r="AI75" s="74">
        <v>-3.1727559550608936E-2</v>
      </c>
      <c r="AJ75" s="74">
        <v>-3.1727559550608936E-2</v>
      </c>
      <c r="AK75" s="74">
        <v>-3.1727559550608936E-2</v>
      </c>
      <c r="AL75" s="74">
        <v>-3.1727559550608936E-2</v>
      </c>
      <c r="AM75" s="74">
        <v>-3.1727559550608936E-2</v>
      </c>
      <c r="AN75" s="74">
        <v>-3.1727559550608936E-2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E8CC-695B-4271-9B5C-82CA74D84E8D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5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505</v>
      </c>
      <c r="C1" s="16" t="s">
        <v>408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1</v>
      </c>
      <c r="R1" s="69">
        <v>3</v>
      </c>
      <c r="S1" s="69">
        <v>5</v>
      </c>
      <c r="T1" s="69">
        <v>6</v>
      </c>
      <c r="U1" s="69">
        <v>8</v>
      </c>
      <c r="V1" s="69">
        <v>10</v>
      </c>
      <c r="W1" s="69">
        <v>12</v>
      </c>
      <c r="X1" s="69">
        <v>13</v>
      </c>
      <c r="Y1" s="69">
        <v>15</v>
      </c>
      <c r="Z1" s="69">
        <v>17</v>
      </c>
      <c r="AA1" s="69">
        <v>18</v>
      </c>
      <c r="AB1" s="69">
        <v>20</v>
      </c>
      <c r="AC1" s="69">
        <v>22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1.8809523809523809</v>
      </c>
      <c r="S2" s="69">
        <v>2.0476190476190474</v>
      </c>
      <c r="T2" s="69">
        <v>2.2142857142857144</v>
      </c>
      <c r="U2" s="69">
        <v>2.3809523809523809</v>
      </c>
      <c r="V2" s="69">
        <v>2.5476190476190474</v>
      </c>
      <c r="W2" s="69">
        <v>2.7142857142857144</v>
      </c>
      <c r="X2" s="69">
        <v>2.8809523809523809</v>
      </c>
      <c r="Y2" s="69">
        <v>3.0476190476190474</v>
      </c>
      <c r="Z2" s="69">
        <v>3.2142857142857144</v>
      </c>
      <c r="AA2" s="69">
        <v>3.3809523809523809</v>
      </c>
      <c r="AB2" s="69">
        <v>3.5476190476190474</v>
      </c>
      <c r="AC2" s="69">
        <v>3.7142857142857144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0.16666666666666666</v>
      </c>
      <c r="S3" s="69">
        <v>0.33333333333333331</v>
      </c>
      <c r="T3" s="69">
        <v>0.5</v>
      </c>
      <c r="U3" s="69">
        <v>0.66666666666666663</v>
      </c>
      <c r="V3" s="69">
        <v>0.83333333333333337</v>
      </c>
      <c r="W3" s="69">
        <v>1</v>
      </c>
      <c r="X3" s="69">
        <v>1.1666666666666667</v>
      </c>
      <c r="Y3" s="69">
        <v>1.3333333333333333</v>
      </c>
      <c r="Z3" s="69">
        <v>1.5</v>
      </c>
      <c r="AA3" s="69">
        <v>1.6666666666666667</v>
      </c>
      <c r="AB3" s="69">
        <v>1.8333333333333333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1</v>
      </c>
      <c r="R4" s="69">
        <v>4.8809523809523814</v>
      </c>
      <c r="S4" s="69">
        <v>7.0476190476190474</v>
      </c>
      <c r="T4" s="69">
        <v>8.2142857142857153</v>
      </c>
      <c r="U4" s="69">
        <v>10.380952380952381</v>
      </c>
      <c r="V4" s="69">
        <v>12.547619047619047</v>
      </c>
      <c r="W4" s="69">
        <v>14.714285714285715</v>
      </c>
      <c r="X4" s="69">
        <v>15.880952380952381</v>
      </c>
      <c r="Y4" s="69">
        <v>18.047619047619047</v>
      </c>
      <c r="Z4" s="69">
        <v>20.214285714285715</v>
      </c>
      <c r="AA4" s="69">
        <v>21.38095238095238</v>
      </c>
      <c r="AB4" s="69">
        <v>23.547619047619047</v>
      </c>
      <c r="AC4" s="69">
        <v>25.714285714285715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2</v>
      </c>
      <c r="R6" s="66">
        <v>4</v>
      </c>
      <c r="S6" s="66">
        <v>5</v>
      </c>
      <c r="T6" s="66">
        <v>6</v>
      </c>
      <c r="U6" s="66">
        <v>7</v>
      </c>
      <c r="V6" s="66">
        <v>8</v>
      </c>
      <c r="W6" s="66">
        <v>9</v>
      </c>
      <c r="X6" s="66">
        <v>10</v>
      </c>
      <c r="Y6" s="66">
        <v>11</v>
      </c>
      <c r="Z6" s="66">
        <v>12</v>
      </c>
      <c r="AA6" s="66">
        <v>13</v>
      </c>
      <c r="AB6" s="66">
        <v>14</v>
      </c>
      <c r="AC6" s="66">
        <v>15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0.46</v>
      </c>
      <c r="R7" s="108">
        <v>1.36</v>
      </c>
      <c r="S7" s="108">
        <v>2.2599999999999998</v>
      </c>
      <c r="T7" s="108">
        <v>2.71</v>
      </c>
      <c r="U7" s="108">
        <v>3.61</v>
      </c>
      <c r="V7" s="108">
        <v>4.51</v>
      </c>
      <c r="W7" s="108">
        <v>5.42</v>
      </c>
      <c r="X7" s="108">
        <v>5.87</v>
      </c>
      <c r="Y7" s="108">
        <v>6.77</v>
      </c>
      <c r="Z7" s="108">
        <v>7.67</v>
      </c>
      <c r="AA7" s="108">
        <v>8.1199999999999992</v>
      </c>
      <c r="AB7" s="108">
        <v>9.02</v>
      </c>
      <c r="AC7" s="108">
        <v>9.93</v>
      </c>
      <c r="AD7" s="108">
        <v>10.83</v>
      </c>
      <c r="AE7" s="108">
        <v>10.83</v>
      </c>
      <c r="AF7" s="108">
        <v>10.83</v>
      </c>
      <c r="AG7" s="108">
        <v>10.83</v>
      </c>
      <c r="AH7" s="108">
        <v>10.83</v>
      </c>
      <c r="AI7" s="108">
        <v>10.83</v>
      </c>
      <c r="AJ7" s="108">
        <v>10.83</v>
      </c>
      <c r="AK7" s="108">
        <v>10.83</v>
      </c>
      <c r="AL7" s="108">
        <v>10.83</v>
      </c>
      <c r="AM7" s="108">
        <v>10.83</v>
      </c>
      <c r="AN7" s="108">
        <v>10.83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9.9999999999999992E-2</v>
      </c>
      <c r="R8" s="108">
        <v>0.28000000000000003</v>
      </c>
      <c r="S8" s="108">
        <v>0.46</v>
      </c>
      <c r="T8" s="108">
        <v>0.55000000000000004</v>
      </c>
      <c r="U8" s="108">
        <v>0.73</v>
      </c>
      <c r="V8" s="108">
        <v>0.91</v>
      </c>
      <c r="W8" s="108">
        <v>1.1000000000000001</v>
      </c>
      <c r="X8" s="108">
        <v>1.19</v>
      </c>
      <c r="Y8" s="108">
        <v>1.37</v>
      </c>
      <c r="Z8" s="108">
        <v>1.55</v>
      </c>
      <c r="AA8" s="108">
        <v>1.64</v>
      </c>
      <c r="AB8" s="108">
        <v>1.82</v>
      </c>
      <c r="AC8" s="108">
        <v>2</v>
      </c>
      <c r="AD8" s="108">
        <v>2.19</v>
      </c>
      <c r="AE8" s="108">
        <v>2.19</v>
      </c>
      <c r="AF8" s="108">
        <v>2.19</v>
      </c>
      <c r="AG8" s="108">
        <v>2.19</v>
      </c>
      <c r="AH8" s="108">
        <v>2.19</v>
      </c>
      <c r="AI8" s="108">
        <v>2.19</v>
      </c>
      <c r="AJ8" s="108">
        <v>2.19</v>
      </c>
      <c r="AK8" s="108">
        <v>2.19</v>
      </c>
      <c r="AL8" s="108">
        <v>2.19</v>
      </c>
      <c r="AM8" s="108">
        <v>2.19</v>
      </c>
      <c r="AN8" s="108">
        <v>2.19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0.15000000000000002</v>
      </c>
      <c r="S12" s="108">
        <v>0.16</v>
      </c>
      <c r="T12" s="108">
        <v>0.18000000000000002</v>
      </c>
      <c r="U12" s="108">
        <v>0.19</v>
      </c>
      <c r="V12" s="108">
        <v>0.2</v>
      </c>
      <c r="W12" s="108">
        <v>0.21000000000000002</v>
      </c>
      <c r="X12" s="108">
        <v>0.23</v>
      </c>
      <c r="Y12" s="108">
        <v>0.24000000000000002</v>
      </c>
      <c r="Z12" s="108">
        <v>0.25</v>
      </c>
      <c r="AA12" s="108">
        <v>0.27</v>
      </c>
      <c r="AB12" s="108">
        <v>0.28000000000000003</v>
      </c>
      <c r="AC12" s="108">
        <v>0.29000000000000004</v>
      </c>
      <c r="AD12" s="108">
        <v>0.16</v>
      </c>
      <c r="AE12" s="108">
        <v>0.16</v>
      </c>
      <c r="AF12" s="108">
        <v>0.16</v>
      </c>
      <c r="AG12" s="108">
        <v>0.16</v>
      </c>
      <c r="AH12" s="108">
        <v>0.16</v>
      </c>
      <c r="AI12" s="108">
        <v>0.16</v>
      </c>
      <c r="AJ12" s="108">
        <v>0.16</v>
      </c>
      <c r="AK12" s="108">
        <v>0.16</v>
      </c>
      <c r="AL12" s="108">
        <v>0.16</v>
      </c>
      <c r="AM12" s="108">
        <v>0.16</v>
      </c>
      <c r="AN12" s="108">
        <v>0.16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0.01</v>
      </c>
      <c r="R13" s="108">
        <v>0.21000000000000002</v>
      </c>
      <c r="S13" s="108">
        <v>0.24000000000000002</v>
      </c>
      <c r="T13" s="108">
        <v>0.26</v>
      </c>
      <c r="U13" s="108">
        <v>0.29000000000000004</v>
      </c>
      <c r="V13" s="108">
        <v>0.31</v>
      </c>
      <c r="W13" s="108">
        <v>0.34</v>
      </c>
      <c r="X13" s="108">
        <v>0.36</v>
      </c>
      <c r="Y13" s="108">
        <v>0.39</v>
      </c>
      <c r="Z13" s="108">
        <v>0.42</v>
      </c>
      <c r="AA13" s="108">
        <v>0.44</v>
      </c>
      <c r="AB13" s="108">
        <v>0.47000000000000003</v>
      </c>
      <c r="AC13" s="108">
        <v>0.5</v>
      </c>
      <c r="AD13" s="108">
        <v>0.34</v>
      </c>
      <c r="AE13" s="108">
        <v>0.34</v>
      </c>
      <c r="AF13" s="108">
        <v>0.34</v>
      </c>
      <c r="AG13" s="108">
        <v>0.34</v>
      </c>
      <c r="AH13" s="108">
        <v>0.34</v>
      </c>
      <c r="AI13" s="108">
        <v>0.34</v>
      </c>
      <c r="AJ13" s="108">
        <v>0.34</v>
      </c>
      <c r="AK13" s="108">
        <v>0.34</v>
      </c>
      <c r="AL13" s="108">
        <v>0.34</v>
      </c>
      <c r="AM13" s="108">
        <v>0.34</v>
      </c>
      <c r="AN13" s="108">
        <v>0.34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0.01</v>
      </c>
      <c r="R14" s="108">
        <v>0.12</v>
      </c>
      <c r="S14" s="108">
        <v>0.13</v>
      </c>
      <c r="T14" s="108">
        <v>0.15000000000000002</v>
      </c>
      <c r="U14" s="108">
        <v>0.17</v>
      </c>
      <c r="V14" s="108">
        <v>0.19</v>
      </c>
      <c r="W14" s="108">
        <v>0.21000000000000002</v>
      </c>
      <c r="X14" s="108">
        <v>0.22</v>
      </c>
      <c r="Y14" s="108">
        <v>0.24000000000000002</v>
      </c>
      <c r="Z14" s="108">
        <v>0.26</v>
      </c>
      <c r="AA14" s="108">
        <v>0.27</v>
      </c>
      <c r="AB14" s="108">
        <v>0.29000000000000004</v>
      </c>
      <c r="AC14" s="108">
        <v>0.31</v>
      </c>
      <c r="AD14" s="108">
        <v>0.24000000000000002</v>
      </c>
      <c r="AE14" s="108">
        <v>0.24000000000000002</v>
      </c>
      <c r="AF14" s="108">
        <v>0.24000000000000002</v>
      </c>
      <c r="AG14" s="108">
        <v>0.24000000000000002</v>
      </c>
      <c r="AH14" s="108">
        <v>0.24000000000000002</v>
      </c>
      <c r="AI14" s="108">
        <v>0.24000000000000002</v>
      </c>
      <c r="AJ14" s="108">
        <v>0.24000000000000002</v>
      </c>
      <c r="AK14" s="108">
        <v>0.24000000000000002</v>
      </c>
      <c r="AL14" s="108">
        <v>0.24000000000000002</v>
      </c>
      <c r="AM14" s="108">
        <v>0.24000000000000002</v>
      </c>
      <c r="AN14" s="108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0.01</v>
      </c>
      <c r="R15" s="108">
        <v>0.02</v>
      </c>
      <c r="S15" s="108">
        <v>0.02</v>
      </c>
      <c r="T15" s="108">
        <v>0.03</v>
      </c>
      <c r="U15" s="108">
        <v>0.04</v>
      </c>
      <c r="V15" s="108">
        <v>0.04</v>
      </c>
      <c r="W15" s="108">
        <v>0.05</v>
      </c>
      <c r="X15" s="108">
        <v>6.0000000000000005E-2</v>
      </c>
      <c r="Y15" s="108">
        <v>0.06</v>
      </c>
      <c r="Z15" s="108">
        <v>6.9999999999999993E-2</v>
      </c>
      <c r="AA15" s="108">
        <v>0.08</v>
      </c>
      <c r="AB15" s="108">
        <v>0.08</v>
      </c>
      <c r="AC15" s="108">
        <v>0.09</v>
      </c>
      <c r="AD15" s="108">
        <v>9.9999999999999992E-2</v>
      </c>
      <c r="AE15" s="108">
        <v>9.9999999999999992E-2</v>
      </c>
      <c r="AF15" s="108">
        <v>9.9999999999999992E-2</v>
      </c>
      <c r="AG15" s="108">
        <v>9.9999999999999992E-2</v>
      </c>
      <c r="AH15" s="108">
        <v>9.9999999999999992E-2</v>
      </c>
      <c r="AI15" s="108">
        <v>9.9999999999999992E-2</v>
      </c>
      <c r="AJ15" s="108">
        <v>9.9999999999999992E-2</v>
      </c>
      <c r="AK15" s="108">
        <v>9.9999999999999992E-2</v>
      </c>
      <c r="AL15" s="108">
        <v>9.9999999999999992E-2</v>
      </c>
      <c r="AM15" s="108">
        <v>9.9999999999999992E-2</v>
      </c>
      <c r="AN15" s="108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0.01</v>
      </c>
      <c r="R16" s="108">
        <v>0.02</v>
      </c>
      <c r="S16" s="108">
        <v>0.02</v>
      </c>
      <c r="T16" s="108">
        <v>0.03</v>
      </c>
      <c r="U16" s="108">
        <v>0.04</v>
      </c>
      <c r="V16" s="108">
        <v>0.04</v>
      </c>
      <c r="W16" s="108">
        <v>0.05</v>
      </c>
      <c r="X16" s="108">
        <v>6.0000000000000005E-2</v>
      </c>
      <c r="Y16" s="108">
        <v>0.06</v>
      </c>
      <c r="Z16" s="108">
        <v>6.9999999999999993E-2</v>
      </c>
      <c r="AA16" s="108">
        <v>0.08</v>
      </c>
      <c r="AB16" s="108">
        <v>0.08</v>
      </c>
      <c r="AC16" s="108">
        <v>0.09</v>
      </c>
      <c r="AD16" s="108">
        <v>9.9999999999999992E-2</v>
      </c>
      <c r="AE16" s="108">
        <v>9.9999999999999992E-2</v>
      </c>
      <c r="AF16" s="108">
        <v>9.9999999999999992E-2</v>
      </c>
      <c r="AG16" s="108">
        <v>9.9999999999999992E-2</v>
      </c>
      <c r="AH16" s="108">
        <v>9.9999999999999992E-2</v>
      </c>
      <c r="AI16" s="108">
        <v>9.9999999999999992E-2</v>
      </c>
      <c r="AJ16" s="108">
        <v>9.9999999999999992E-2</v>
      </c>
      <c r="AK16" s="108">
        <v>9.9999999999999992E-2</v>
      </c>
      <c r="AL16" s="108">
        <v>9.9999999999999992E-2</v>
      </c>
      <c r="AM16" s="108">
        <v>9.9999999999999992E-2</v>
      </c>
      <c r="AN16" s="108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2</v>
      </c>
      <c r="S21" s="120">
        <v>3</v>
      </c>
      <c r="T21" s="120">
        <v>3</v>
      </c>
      <c r="U21" s="120">
        <v>4</v>
      </c>
      <c r="V21" s="120">
        <v>5</v>
      </c>
      <c r="W21" s="120">
        <v>7</v>
      </c>
      <c r="X21" s="120">
        <v>7</v>
      </c>
      <c r="Y21" s="120">
        <v>8</v>
      </c>
      <c r="Z21" s="120">
        <v>9</v>
      </c>
      <c r="AA21" s="120">
        <v>10</v>
      </c>
      <c r="AB21" s="120">
        <v>11</v>
      </c>
      <c r="AC21" s="120">
        <v>12</v>
      </c>
      <c r="AD21" s="120">
        <v>13</v>
      </c>
      <c r="AE21" s="120">
        <v>13</v>
      </c>
      <c r="AF21" s="120">
        <v>13</v>
      </c>
      <c r="AG21" s="120">
        <v>13</v>
      </c>
      <c r="AH21" s="120">
        <v>13</v>
      </c>
      <c r="AI21" s="120">
        <v>13</v>
      </c>
      <c r="AJ21" s="120">
        <v>13</v>
      </c>
      <c r="AK21" s="120">
        <v>13</v>
      </c>
      <c r="AL21" s="120">
        <v>13</v>
      </c>
      <c r="AM21" s="120">
        <v>13</v>
      </c>
      <c r="AN21" s="120">
        <v>13</v>
      </c>
    </row>
    <row r="22" spans="2:50" x14ac:dyDescent="0.25">
      <c r="B22" s="2" t="s">
        <v>464</v>
      </c>
      <c r="C22" s="3"/>
      <c r="D22" s="77">
        <f>MAX(_xlfn.ANCHORARRAY(E22))</f>
        <v>100.05246655681819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100.05246655681819</v>
      </c>
      <c r="R22" s="78">
        <v>100.05246655681816</v>
      </c>
      <c r="S22" s="78">
        <v>100.05246655681816</v>
      </c>
      <c r="T22" s="78">
        <v>100.05246655681816</v>
      </c>
      <c r="U22" s="78">
        <v>100.05246655681819</v>
      </c>
      <c r="V22" s="78">
        <v>100.05246655681816</v>
      </c>
      <c r="W22" s="78">
        <v>100.05246655681816</v>
      </c>
      <c r="X22" s="78">
        <v>100.05246655681817</v>
      </c>
      <c r="Y22" s="78">
        <v>100.05246655681817</v>
      </c>
      <c r="Z22" s="78">
        <v>100.05246655681815</v>
      </c>
      <c r="AA22" s="78">
        <v>100.05246655681817</v>
      </c>
      <c r="AB22" s="78">
        <v>100.05246655681816</v>
      </c>
      <c r="AC22" s="78">
        <v>100.05246655681819</v>
      </c>
      <c r="AD22" s="78">
        <v>100.05246655681816</v>
      </c>
      <c r="AE22" s="78">
        <v>100.05246655681816</v>
      </c>
      <c r="AF22" s="78">
        <v>100.05246655681816</v>
      </c>
      <c r="AG22" s="78">
        <v>100.05246655681816</v>
      </c>
      <c r="AH22" s="78">
        <v>100.05246655681816</v>
      </c>
      <c r="AI22" s="78">
        <v>100.05246655681816</v>
      </c>
      <c r="AJ22" s="78">
        <v>100.05246655681816</v>
      </c>
      <c r="AK22" s="78">
        <v>100.05246655681816</v>
      </c>
      <c r="AL22" s="78">
        <v>100.05246655681816</v>
      </c>
      <c r="AM22" s="78">
        <v>100.05246655681816</v>
      </c>
      <c r="AN22" s="78">
        <v>100.05246655681816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51.626666666666658</v>
      </c>
      <c r="R23" s="52">
        <v>154.88</v>
      </c>
      <c r="S23" s="52">
        <v>258.13333333333333</v>
      </c>
      <c r="T23" s="52">
        <v>309.76</v>
      </c>
      <c r="U23" s="52">
        <v>413.01333333333326</v>
      </c>
      <c r="V23" s="52">
        <v>516.26666666666665</v>
      </c>
      <c r="W23" s="52">
        <v>619.52</v>
      </c>
      <c r="X23" s="52">
        <v>671.14666666666665</v>
      </c>
      <c r="Y23" s="52">
        <v>774.39999999999986</v>
      </c>
      <c r="Z23" s="52">
        <v>877.65333333333331</v>
      </c>
      <c r="AA23" s="52">
        <v>929.27999999999986</v>
      </c>
      <c r="AB23" s="52">
        <v>1032.5333333333333</v>
      </c>
      <c r="AC23" s="52">
        <v>1135.7866666666666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4318.4939264999994</v>
      </c>
      <c r="R26" s="12">
        <v>12955.481779499996</v>
      </c>
      <c r="S26" s="12">
        <v>21592.469632499993</v>
      </c>
      <c r="T26" s="12">
        <v>25910.963558999993</v>
      </c>
      <c r="U26" s="12">
        <v>34547.951411999995</v>
      </c>
      <c r="V26" s="12">
        <v>43184.939264999986</v>
      </c>
      <c r="W26" s="12">
        <v>51821.927117999985</v>
      </c>
      <c r="X26" s="12">
        <v>56140.421044499984</v>
      </c>
      <c r="Y26" s="12">
        <v>64777.408897499983</v>
      </c>
      <c r="Z26" s="12">
        <v>73414.396750499975</v>
      </c>
      <c r="AA26" s="12">
        <v>77732.890676999974</v>
      </c>
      <c r="AB26" s="12">
        <v>86369.878529999973</v>
      </c>
      <c r="AC26" s="12">
        <v>95006.866383</v>
      </c>
      <c r="AD26" s="12">
        <v>103643.85423599997</v>
      </c>
      <c r="AE26" s="12">
        <v>103643.85423599997</v>
      </c>
      <c r="AF26" s="12">
        <v>103643.85423599997</v>
      </c>
      <c r="AG26" s="12">
        <v>103643.85423599997</v>
      </c>
      <c r="AH26" s="12">
        <v>103643.85423599997</v>
      </c>
      <c r="AI26" s="12">
        <v>103643.85423599997</v>
      </c>
      <c r="AJ26" s="12">
        <v>103643.85423599997</v>
      </c>
      <c r="AK26" s="12">
        <v>103643.85423599997</v>
      </c>
      <c r="AL26" s="12">
        <v>103643.85423599997</v>
      </c>
      <c r="AM26" s="12">
        <v>103643.85423599997</v>
      </c>
      <c r="AN26" s="12">
        <v>103643.85423599997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872.04370110000002</v>
      </c>
      <c r="R28" s="12">
        <v>2616.1311033000002</v>
      </c>
      <c r="S28" s="12">
        <v>4360.2185055</v>
      </c>
      <c r="T28" s="12">
        <v>5232.2622066000004</v>
      </c>
      <c r="U28" s="12">
        <v>6976.3496088000002</v>
      </c>
      <c r="V28" s="12">
        <v>8720.437011</v>
      </c>
      <c r="W28" s="12">
        <v>10464.524413200001</v>
      </c>
      <c r="X28" s="12">
        <v>11336.5681143</v>
      </c>
      <c r="Y28" s="12">
        <v>13080.655516499999</v>
      </c>
      <c r="Z28" s="12">
        <v>14824.7429187</v>
      </c>
      <c r="AA28" s="12">
        <v>15696.786619799999</v>
      </c>
      <c r="AB28" s="12">
        <v>17440.874022</v>
      </c>
      <c r="AC28" s="12">
        <v>19184.961424199995</v>
      </c>
      <c r="AD28" s="12">
        <v>20929.048826400001</v>
      </c>
      <c r="AE28" s="12">
        <v>20929.048826400001</v>
      </c>
      <c r="AF28" s="12">
        <v>20929.048826400001</v>
      </c>
      <c r="AG28" s="12">
        <v>20929.048826400001</v>
      </c>
      <c r="AH28" s="12">
        <v>20929.048826400001</v>
      </c>
      <c r="AI28" s="12">
        <v>20929.048826400001</v>
      </c>
      <c r="AJ28" s="12">
        <v>20929.048826400001</v>
      </c>
      <c r="AK28" s="12">
        <v>20929.048826400001</v>
      </c>
      <c r="AL28" s="12">
        <v>20929.048826400001</v>
      </c>
      <c r="AM28" s="12">
        <v>20929.048826400001</v>
      </c>
      <c r="AN28" s="12">
        <v>20929.048826400001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134.16056940000001</v>
      </c>
      <c r="R29" s="12">
        <v>402.48170819999996</v>
      </c>
      <c r="S29" s="12">
        <v>670.80284699999993</v>
      </c>
      <c r="T29" s="12">
        <v>804.96341639999991</v>
      </c>
      <c r="U29" s="12">
        <v>1073.2845552000001</v>
      </c>
      <c r="V29" s="12">
        <v>1341.6056939999999</v>
      </c>
      <c r="W29" s="12">
        <v>1609.9268327999998</v>
      </c>
      <c r="X29" s="12">
        <v>1744.0874022</v>
      </c>
      <c r="Y29" s="12">
        <v>2012.408541</v>
      </c>
      <c r="Z29" s="12">
        <v>2280.7296798000002</v>
      </c>
      <c r="AA29" s="12">
        <v>2414.8902491999997</v>
      </c>
      <c r="AB29" s="12">
        <v>2683.2113879999997</v>
      </c>
      <c r="AC29" s="12">
        <v>2951.5325268000006</v>
      </c>
      <c r="AD29" s="12">
        <v>3219.8536655999997</v>
      </c>
      <c r="AE29" s="12">
        <v>3219.8536655999997</v>
      </c>
      <c r="AF29" s="12">
        <v>3219.8536655999997</v>
      </c>
      <c r="AG29" s="12">
        <v>3219.8536655999997</v>
      </c>
      <c r="AH29" s="12">
        <v>3219.8536655999997</v>
      </c>
      <c r="AI29" s="12">
        <v>3219.8536655999997</v>
      </c>
      <c r="AJ29" s="12">
        <v>3219.8536655999997</v>
      </c>
      <c r="AK29" s="12">
        <v>3219.8536655999997</v>
      </c>
      <c r="AL29" s="12">
        <v>3219.8536655999997</v>
      </c>
      <c r="AM29" s="12">
        <v>3219.8536655999997</v>
      </c>
      <c r="AN29" s="12">
        <v>3219.8536655999997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192.86182538666662</v>
      </c>
      <c r="R30" s="12">
        <v>578.58547615999998</v>
      </c>
      <c r="S30" s="12">
        <v>964.30912693333323</v>
      </c>
      <c r="T30" s="12">
        <v>1157.17095232</v>
      </c>
      <c r="U30" s="12">
        <v>1542.894603093333</v>
      </c>
      <c r="V30" s="12">
        <v>1928.6182538666665</v>
      </c>
      <c r="W30" s="12">
        <v>2314.3419046399999</v>
      </c>
      <c r="X30" s="12">
        <v>2507.2037300266666</v>
      </c>
      <c r="Y30" s="12">
        <v>2892.9273807999994</v>
      </c>
      <c r="Z30" s="12">
        <v>3278.6510315733326</v>
      </c>
      <c r="AA30" s="12">
        <v>3471.5128569599992</v>
      </c>
      <c r="AB30" s="12">
        <v>3857.2365077333329</v>
      </c>
      <c r="AC30" s="12">
        <v>4242.9601585066666</v>
      </c>
      <c r="AD30" s="12">
        <v>4628.6838092799999</v>
      </c>
      <c r="AE30" s="12">
        <v>4628.6838092799999</v>
      </c>
      <c r="AF30" s="12">
        <v>4628.6838092799999</v>
      </c>
      <c r="AG30" s="12">
        <v>4628.6838092799999</v>
      </c>
      <c r="AH30" s="12">
        <v>4628.6838092799999</v>
      </c>
      <c r="AI30" s="12">
        <v>4628.6838092799999</v>
      </c>
      <c r="AJ30" s="12">
        <v>4628.6838092799999</v>
      </c>
      <c r="AK30" s="12">
        <v>4628.6838092799999</v>
      </c>
      <c r="AL30" s="12">
        <v>4628.6838092799999</v>
      </c>
      <c r="AM30" s="12">
        <v>4628.6838092799999</v>
      </c>
      <c r="AN30" s="12">
        <v>4628.6838092799999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-662.10720268639989</v>
      </c>
      <c r="R35" s="12">
        <v>-1986.3216080591994</v>
      </c>
      <c r="S35" s="12">
        <v>-3310.536013431999</v>
      </c>
      <c r="T35" s="12">
        <v>-3972.6432161183989</v>
      </c>
      <c r="U35" s="12">
        <v>-5296.8576214911991</v>
      </c>
      <c r="V35" s="12">
        <v>-6621.072026863998</v>
      </c>
      <c r="W35" s="12">
        <v>-7945.2864322367977</v>
      </c>
      <c r="X35" s="12">
        <v>-8607.393634923199</v>
      </c>
      <c r="Y35" s="12">
        <v>-9931.608040295996</v>
      </c>
      <c r="Z35" s="12">
        <v>-11255.822445668797</v>
      </c>
      <c r="AA35" s="12">
        <v>-11917.929648355197</v>
      </c>
      <c r="AB35" s="12">
        <v>-13242.144053727996</v>
      </c>
      <c r="AC35" s="12">
        <v>-14566.3584591008</v>
      </c>
      <c r="AD35" s="12">
        <v>-15890.572864473595</v>
      </c>
      <c r="AE35" s="12">
        <v>-15890.572864473595</v>
      </c>
      <c r="AF35" s="12">
        <v>-15890.572864473595</v>
      </c>
      <c r="AG35" s="12">
        <v>-15890.572864473595</v>
      </c>
      <c r="AH35" s="12">
        <v>-15890.572864473595</v>
      </c>
      <c r="AI35" s="12">
        <v>-15890.572864473595</v>
      </c>
      <c r="AJ35" s="12">
        <v>-15890.572864473595</v>
      </c>
      <c r="AK35" s="12">
        <v>-15890.572864473595</v>
      </c>
      <c r="AL35" s="12">
        <v>-15890.572864473595</v>
      </c>
      <c r="AM35" s="12">
        <v>-15890.572864473595</v>
      </c>
      <c r="AN35" s="12">
        <v>-15890.572864473595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4855.4528197002655</v>
      </c>
      <c r="R37" s="13">
        <v>14566.358459100797</v>
      </c>
      <c r="S37" s="13">
        <v>24277.264098501328</v>
      </c>
      <c r="T37" s="13">
        <v>29132.716918201593</v>
      </c>
      <c r="U37" s="13">
        <v>38843.622557602124</v>
      </c>
      <c r="V37" s="13">
        <v>48554.528197002655</v>
      </c>
      <c r="W37" s="13">
        <v>58265.433836403186</v>
      </c>
      <c r="X37" s="13">
        <v>63120.886656103467</v>
      </c>
      <c r="Y37" s="13">
        <v>72831.792295503983</v>
      </c>
      <c r="Z37" s="13">
        <v>82542.697934904514</v>
      </c>
      <c r="AA37" s="13">
        <v>87398.15075460478</v>
      </c>
      <c r="AB37" s="13">
        <v>97109.056394005311</v>
      </c>
      <c r="AC37" s="13">
        <v>106819.96203340587</v>
      </c>
      <c r="AD37" s="13">
        <v>116530.86767280637</v>
      </c>
      <c r="AE37" s="13">
        <v>116530.86767280637</v>
      </c>
      <c r="AF37" s="13">
        <v>116530.86767280637</v>
      </c>
      <c r="AG37" s="13">
        <v>116530.86767280637</v>
      </c>
      <c r="AH37" s="13">
        <v>116530.86767280637</v>
      </c>
      <c r="AI37" s="13">
        <v>116530.86767280637</v>
      </c>
      <c r="AJ37" s="13">
        <v>116530.86767280637</v>
      </c>
      <c r="AK37" s="13">
        <v>116530.86767280637</v>
      </c>
      <c r="AL37" s="13">
        <v>116530.86767280637</v>
      </c>
      <c r="AM37" s="13">
        <v>116530.86767280637</v>
      </c>
      <c r="AN37" s="13">
        <v>116530.86767280637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12714.606035951665</v>
      </c>
      <c r="R40" s="12">
        <v>24896.080576743872</v>
      </c>
      <c r="S40" s="12">
        <v>28520.380117536086</v>
      </c>
      <c r="T40" s="12">
        <v>30815.017387932185</v>
      </c>
      <c r="U40" s="12">
        <v>34707.80859539107</v>
      </c>
      <c r="V40" s="12">
        <v>38332.108136183277</v>
      </c>
      <c r="W40" s="12">
        <v>42335.851442531042</v>
      </c>
      <c r="X40" s="12">
        <v>44572.0053795938</v>
      </c>
      <c r="Y40" s="12">
        <v>48254.788253719358</v>
      </c>
      <c r="Z40" s="12">
        <v>52147.579461178226</v>
      </c>
      <c r="AA40" s="12">
        <v>54383.733398240984</v>
      </c>
      <c r="AB40" s="12">
        <v>58066.516272366534</v>
      </c>
      <c r="AC40" s="12">
        <v>68174.939703252414</v>
      </c>
      <c r="AD40" s="12">
        <v>69161.474198123848</v>
      </c>
      <c r="AE40" s="12">
        <v>69161.474198123848</v>
      </c>
      <c r="AF40" s="12">
        <v>69161.474198123848</v>
      </c>
      <c r="AG40" s="12">
        <v>69161.474198123848</v>
      </c>
      <c r="AH40" s="12">
        <v>69161.474198123848</v>
      </c>
      <c r="AI40" s="12">
        <v>69161.474198123848</v>
      </c>
      <c r="AJ40" s="12">
        <v>69161.474198123848</v>
      </c>
      <c r="AK40" s="12">
        <v>69161.474198123848</v>
      </c>
      <c r="AL40" s="12">
        <v>69161.474198123848</v>
      </c>
      <c r="AM40" s="12">
        <v>69161.474198123848</v>
      </c>
      <c r="AN40" s="12">
        <v>69161.474198123848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364.434304</v>
      </c>
      <c r="R44" s="12">
        <v>883.05235200000004</v>
      </c>
      <c r="S44" s="12">
        <v>900.57323200000008</v>
      </c>
      <c r="T44" s="12">
        <v>928.60663999999997</v>
      </c>
      <c r="U44" s="12">
        <v>956.64004799999998</v>
      </c>
      <c r="V44" s="12">
        <v>974.16092800000001</v>
      </c>
      <c r="W44" s="12">
        <v>1002.1943359999998</v>
      </c>
      <c r="X44" s="12">
        <v>1026.7235680000001</v>
      </c>
      <c r="Y44" s="12">
        <v>1047.7486240000003</v>
      </c>
      <c r="Z44" s="12">
        <v>1075.7820319999998</v>
      </c>
      <c r="AA44" s="12">
        <v>1100.3112639999999</v>
      </c>
      <c r="AB44" s="12">
        <v>1121.3363200000001</v>
      </c>
      <c r="AC44" s="12">
        <v>1195.3445171200001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2203.1999999999998</v>
      </c>
      <c r="R46" s="12">
        <v>3508.7999999999993</v>
      </c>
      <c r="S46" s="12">
        <v>4085.0999999999995</v>
      </c>
      <c r="T46" s="12">
        <v>4401.3</v>
      </c>
      <c r="U46" s="12">
        <v>4992.9000000000005</v>
      </c>
      <c r="V46" s="12">
        <v>5569.1999999999989</v>
      </c>
      <c r="W46" s="12">
        <v>6171.0000000000009</v>
      </c>
      <c r="X46" s="12">
        <v>6482.1000000000013</v>
      </c>
      <c r="Y46" s="12">
        <v>7063.5000000000009</v>
      </c>
      <c r="Z46" s="12">
        <v>7655.1</v>
      </c>
      <c r="AA46" s="12">
        <v>7966.1999999999989</v>
      </c>
      <c r="AB46" s="12">
        <v>8547.6</v>
      </c>
      <c r="AC46" s="12">
        <v>9327.1859999999997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544.21918330455117</v>
      </c>
      <c r="R49" s="12">
        <f>'Corp.'!R$50*(R$37-(R31-R32-R34)*$C$35)/(SUM('MDA1:NCA9'!R$37)-SUM('MDA1:NCA9'!R$31)-SUM('MDA1:NCA9'!R$32)-SUM('MDA1:NCA9'!R$34))</f>
        <v>1573.9411094514865</v>
      </c>
      <c r="S49" s="12">
        <f>'Corp.'!S$50*(S$37-(S31-S32-S34)*$C$35)/(SUM('MDA1:NCA9'!S$37)-SUM('MDA1:NCA9'!S$31)-SUM('MDA1:NCA9'!S$32)-SUM('MDA1:NCA9'!S$34))</f>
        <v>2514.9068235139839</v>
      </c>
      <c r="T49" s="12">
        <f>'Corp.'!T$50*(T$37-(T31-T32-T34)*$C$35)/(SUM('MDA1:NCA9'!T$37)-SUM('MDA1:NCA9'!T$31)-SUM('MDA1:NCA9'!T$32)-SUM('MDA1:NCA9'!T$34))</f>
        <v>2908.275666389844</v>
      </c>
      <c r="U49" s="12">
        <f>'Corp.'!U$50*(U$37-(U31-U32-U34)*$C$35)/(SUM('MDA1:NCA9'!U$37)-SUM('MDA1:NCA9'!U$31)-SUM('MDA1:NCA9'!U$32)-SUM('MDA1:NCA9'!U$34))</f>
        <v>3777.9714503177156</v>
      </c>
      <c r="V49" s="12">
        <f>'Corp.'!V$50*(V$37-(V31-V32-V34)*$C$35)/(SUM('MDA1:NCA9'!V$37)-SUM('MDA1:NCA9'!V$31)-SUM('MDA1:NCA9'!V$32)-SUM('MDA1:NCA9'!V$34))</f>
        <v>4621.2974345766843</v>
      </c>
      <c r="W49" s="12">
        <f>'Corp.'!W$50*(W$37-(W31-W32-W34)*$C$35)/(SUM('MDA1:NCA9'!W$37)-SUM('MDA1:NCA9'!W$31)-SUM('MDA1:NCA9'!W$32)-SUM('MDA1:NCA9'!W$34))</f>
        <v>5385.9465137711586</v>
      </c>
      <c r="X49" s="12">
        <f>'Corp.'!X$50*(X$37-(X31-X32-X34)*$C$35)/(SUM('MDA1:NCA9'!X$37)-SUM('MDA1:NCA9'!X$31)-SUM('MDA1:NCA9'!X$32)-SUM('MDA1:NCA9'!X$34))</f>
        <v>5661.3585336023834</v>
      </c>
      <c r="Y49" s="12">
        <f>'Corp.'!Y$50*(Y$37-(Y31-Y32-Y34)*$C$35)/(SUM('MDA1:NCA9'!Y$37)-SUM('MDA1:NCA9'!Y$31)-SUM('MDA1:NCA9'!Y$32)-SUM('MDA1:NCA9'!Y$34))</f>
        <v>6402.6865470692028</v>
      </c>
      <c r="Z49" s="12">
        <f>'Corp.'!Z$50*(Z$37-(Z31-Z32-Z34)*$C$35)/(SUM('MDA1:NCA9'!Z$37)-SUM('MDA1:NCA9'!Z$31)-SUM('MDA1:NCA9'!Z$32)-SUM('MDA1:NCA9'!Z$34))</f>
        <v>7109.359829836465</v>
      </c>
      <c r="AA49" s="12">
        <f>'Corp.'!AA$50*(AA$37-(AA31-AA32-AA34)*$C$35)/(SUM('MDA1:NCA9'!AA$37)-SUM('MDA1:NCA9'!AA$31)-SUM('MDA1:NCA9'!AA$32)-SUM('MDA1:NCA9'!AA$34))</f>
        <v>7366.1119398295305</v>
      </c>
      <c r="AB49" s="12">
        <f>'Corp.'!AB$50*(AB$37-(AB31-AB32-AB34)*$C$35)/(SUM('MDA1:NCA9'!AB$37)-SUM('MDA1:NCA9'!AB$31)-SUM('MDA1:NCA9'!AB$32)-SUM('MDA1:NCA9'!AB$34))</f>
        <v>8009.2312114629431</v>
      </c>
      <c r="AC49" s="12">
        <f>'Corp.'!AC$50*(AC$37-(AC31-AC32-AC34)*$C$35)/(SUM('MDA1:NCA9'!AC$37)-SUM('MDA1:NCA9'!AC$31)-SUM('MDA1:NCA9'!AC$32)-SUM('MDA1:NCA9'!AC$34))</f>
        <v>9533.8013378037322</v>
      </c>
      <c r="AD49" s="12">
        <f>'Corp.'!AD$50*(AD$37-(AD31-AD32-AD34)*$C$35)/(SUM('MDA1:NCA9'!AD$37)-SUM('MDA1:NCA9'!AD$31)-SUM('MDA1:NCA9'!AD$32)-SUM('MDA1:NCA9'!AD$34))</f>
        <v>10240.820237475584</v>
      </c>
      <c r="AE49" s="12">
        <f>'Corp.'!AE$50*(AE$37-(AE31-AE32-AE34)*$C$35)/(SUM('MDA1:NCA9'!AE$37)-SUM('MDA1:NCA9'!AE$31)-SUM('MDA1:NCA9'!AE$32)-SUM('MDA1:NCA9'!AE$34))</f>
        <v>10089.639203114908</v>
      </c>
      <c r="AF49" s="12">
        <f>'Corp.'!AF$50*(AF$37-(AF31-AF32-AF34)*$C$35)/(SUM('MDA1:NCA9'!AF$37)-SUM('MDA1:NCA9'!AF$31)-SUM('MDA1:NCA9'!AF$32)-SUM('MDA1:NCA9'!AF$34))</f>
        <v>9947.4746240235272</v>
      </c>
      <c r="AG49" s="12">
        <f>'Corp.'!AG$50*(AG$37-(AG31-AG32-AG34)*$C$35)/(SUM('MDA1:NCA9'!AG$37)-SUM('MDA1:NCA9'!AG$31)-SUM('MDA1:NCA9'!AG$32)-SUM('MDA1:NCA9'!AG$34))</f>
        <v>9834.2608584500103</v>
      </c>
      <c r="AH49" s="12">
        <f>'Corp.'!AH$50*(AH$37-(AH31-AH32-AH34)*$C$35)/(SUM('MDA1:NCA9'!AH$37)-SUM('MDA1:NCA9'!AH$31)-SUM('MDA1:NCA9'!AH$32)-SUM('MDA1:NCA9'!AH$34))</f>
        <v>9684.1678433646721</v>
      </c>
      <c r="AI49" s="12">
        <f>'Corp.'!AI$50*(AI$37-(AI31-AI32-AI34)*$C$35)/(SUM('MDA1:NCA9'!AI$37)-SUM('MDA1:NCA9'!AI$31)-SUM('MDA1:NCA9'!AI$32)-SUM('MDA1:NCA9'!AI$34))</f>
        <v>9528.5567450361323</v>
      </c>
      <c r="AJ49" s="12">
        <f>'Corp.'!AJ$50*(AJ$37-(AJ31-AJ32-AJ34)*$C$35)/(SUM('MDA1:NCA9'!AJ$37)-SUM('MDA1:NCA9'!AJ$31)-SUM('MDA1:NCA9'!AJ$32)-SUM('MDA1:NCA9'!AJ$34))</f>
        <v>9367.915000053832</v>
      </c>
      <c r="AK49" s="12">
        <f>'Corp.'!AK$50*(AK$37-(AK31-AK32-AK34)*$C$35)/(SUM('MDA1:NCA9'!AK$37)-SUM('MDA1:NCA9'!AK$31)-SUM('MDA1:NCA9'!AK$32)-SUM('MDA1:NCA9'!AK$34))</f>
        <v>9219.5306255643245</v>
      </c>
      <c r="AL49" s="12">
        <f>'Corp.'!AL$50*(AL$37-(AL31-AL32-AL34)*$C$35)/(SUM('MDA1:NCA9'!AL$37)-SUM('MDA1:NCA9'!AL$31)-SUM('MDA1:NCA9'!AL$32)-SUM('MDA1:NCA9'!AL$34))</f>
        <v>9083.1356433328801</v>
      </c>
      <c r="AM49" s="12">
        <f>'Corp.'!AM$50*(AM$37-(AM31-AM32-AM34)*$C$35)/(SUM('MDA1:NCA9'!AM$37)-SUM('MDA1:NCA9'!AM$31)-SUM('MDA1:NCA9'!AM$32)-SUM('MDA1:NCA9'!AM$34))</f>
        <v>8936.0733852107423</v>
      </c>
      <c r="AN49" s="12">
        <f>'Corp.'!AN$50*(AN$37-(AN31-AN32-AN34)*$C$35)/(SUM('MDA1:NCA9'!AN$37)-SUM('MDA1:NCA9'!AN$31)-SUM('MDA1:NCA9'!AN$32)-SUM('MDA1:NCA9'!AN$34))</f>
        <v>8810.9089535625862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22099.525219256215</v>
      </c>
      <c r="R50" s="13">
        <v>36616.321686195362</v>
      </c>
      <c r="S50" s="13">
        <v>41757.88694105007</v>
      </c>
      <c r="T50" s="13">
        <v>44762.093054322031</v>
      </c>
      <c r="U50" s="13">
        <v>50116.180045708788</v>
      </c>
      <c r="V50" s="13">
        <v>55160.105570759959</v>
      </c>
      <c r="W50" s="13">
        <v>60530.297956302202</v>
      </c>
      <c r="X50" s="13">
        <v>63352.963913196181</v>
      </c>
      <c r="Y50" s="13">
        <v>68358.474800788565</v>
      </c>
      <c r="Z50" s="13">
        <v>73549.539291014691</v>
      </c>
      <c r="AA50" s="13">
        <v>76353.545338070515</v>
      </c>
      <c r="AB50" s="13">
        <v>81260.847483829479</v>
      </c>
      <c r="AC50" s="13">
        <v>93867.602041056147</v>
      </c>
      <c r="AD50" s="13">
        <v>95951.305435599425</v>
      </c>
      <c r="AE50" s="13">
        <v>95800.124401238747</v>
      </c>
      <c r="AF50" s="13">
        <v>95657.959822147372</v>
      </c>
      <c r="AG50" s="13">
        <v>95544.746056573858</v>
      </c>
      <c r="AH50" s="13">
        <v>95394.65304148852</v>
      </c>
      <c r="AI50" s="13">
        <v>95239.041943159973</v>
      </c>
      <c r="AJ50" s="13">
        <v>95078.400198177682</v>
      </c>
      <c r="AK50" s="13">
        <v>94930.015823688169</v>
      </c>
      <c r="AL50" s="13">
        <v>94793.620841456723</v>
      </c>
      <c r="AM50" s="13">
        <v>94646.558583334583</v>
      </c>
      <c r="AN50" s="13">
        <v>94521.394151686429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-17244.072399555949</v>
      </c>
      <c r="R52" s="74">
        <f t="shared" si="0"/>
        <v>-22049.963227094566</v>
      </c>
      <c r="S52" s="74">
        <f t="shared" si="0"/>
        <v>-17480.622842548742</v>
      </c>
      <c r="T52" s="74">
        <f t="shared" si="0"/>
        <v>-15629.376136120438</v>
      </c>
      <c r="U52" s="74">
        <f t="shared" si="0"/>
        <v>-11272.557488106664</v>
      </c>
      <c r="V52" s="74">
        <f t="shared" si="0"/>
        <v>-6605.5773737573036</v>
      </c>
      <c r="W52" s="74">
        <f t="shared" si="0"/>
        <v>-2264.8641198990153</v>
      </c>
      <c r="X52" s="74">
        <f t="shared" si="0"/>
        <v>-232.07725709271472</v>
      </c>
      <c r="Y52" s="74">
        <f t="shared" si="0"/>
        <v>4473.3174947154184</v>
      </c>
      <c r="Z52" s="74">
        <f t="shared" si="0"/>
        <v>8993.158643889823</v>
      </c>
      <c r="AA52" s="74">
        <f t="shared" si="0"/>
        <v>11044.605416534265</v>
      </c>
      <c r="AB52" s="74">
        <f t="shared" si="0"/>
        <v>15848.208910175832</v>
      </c>
      <c r="AC52" s="74">
        <f t="shared" si="0"/>
        <v>12952.359992349724</v>
      </c>
      <c r="AD52" s="74">
        <f t="shared" si="0"/>
        <v>20579.562237206948</v>
      </c>
      <c r="AE52" s="74">
        <f t="shared" si="0"/>
        <v>20730.743271567626</v>
      </c>
      <c r="AF52" s="74">
        <f t="shared" si="0"/>
        <v>20872.907850659001</v>
      </c>
      <c r="AG52" s="74">
        <f t="shared" si="0"/>
        <v>20986.121616232514</v>
      </c>
      <c r="AH52" s="74">
        <f t="shared" si="0"/>
        <v>21136.214631317853</v>
      </c>
      <c r="AI52" s="74">
        <f t="shared" si="0"/>
        <v>21291.8257296464</v>
      </c>
      <c r="AJ52" s="74">
        <f t="shared" si="0"/>
        <v>21452.467474628691</v>
      </c>
      <c r="AK52" s="74">
        <f t="shared" si="0"/>
        <v>21600.851849118204</v>
      </c>
      <c r="AL52" s="74">
        <f t="shared" si="0"/>
        <v>21737.24683134965</v>
      </c>
      <c r="AM52" s="74">
        <f t="shared" si="0"/>
        <v>21884.30908947179</v>
      </c>
      <c r="AN52" s="74">
        <f t="shared" si="0"/>
        <v>22009.473521119944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>
        <f t="shared" si="1"/>
        <v>-3.551485935480772</v>
      </c>
      <c r="R53" s="107">
        <f t="shared" si="1"/>
        <v>-1.5137594814109596</v>
      </c>
      <c r="S53" s="107">
        <f t="shared" si="1"/>
        <v>-0.72004088976516289</v>
      </c>
      <c r="T53" s="107">
        <f t="shared" si="1"/>
        <v>-0.53648879299532437</v>
      </c>
      <c r="U53" s="107">
        <f t="shared" si="1"/>
        <v>-0.29020355841915418</v>
      </c>
      <c r="V53" s="107">
        <f t="shared" si="1"/>
        <v>-0.13604451776271353</v>
      </c>
      <c r="W53" s="107">
        <f t="shared" si="1"/>
        <v>-3.8871488132367932E-2</v>
      </c>
      <c r="X53" s="107">
        <f t="shared" si="1"/>
        <v>-3.6767109809011855E-3</v>
      </c>
      <c r="Y53" s="107">
        <f t="shared" si="1"/>
        <v>6.1419846384743758E-2</v>
      </c>
      <c r="Z53" s="107">
        <f t="shared" si="1"/>
        <v>0.10895159558489451</v>
      </c>
      <c r="AA53" s="107">
        <f t="shared" si="1"/>
        <v>0.12637115683997871</v>
      </c>
      <c r="AB53" s="107">
        <f t="shared" si="1"/>
        <v>0.16320011231366641</v>
      </c>
      <c r="AC53" s="107">
        <f t="shared" si="1"/>
        <v>0.12125411529634438</v>
      </c>
      <c r="AD53" s="107">
        <f t="shared" si="1"/>
        <v>0.17660181073215669</v>
      </c>
      <c r="AE53" s="107">
        <f t="shared" si="1"/>
        <v>0.17789915827088063</v>
      </c>
      <c r="AF53" s="107">
        <f t="shared" si="1"/>
        <v>0.17911913184466832</v>
      </c>
      <c r="AG53" s="107">
        <f t="shared" si="1"/>
        <v>0.18009066640743662</v>
      </c>
      <c r="AH53" s="107">
        <f t="shared" si="1"/>
        <v>0.18137867719876419</v>
      </c>
      <c r="AI53" s="107">
        <f t="shared" si="1"/>
        <v>0.18271404096491645</v>
      </c>
      <c r="AJ53" s="107">
        <f t="shared" si="1"/>
        <v>0.18409257480912788</v>
      </c>
      <c r="AK53" s="107">
        <f t="shared" si="1"/>
        <v>0.18536592304254312</v>
      </c>
      <c r="AL53" s="107">
        <f t="shared" si="1"/>
        <v>0.1865363852982127</v>
      </c>
      <c r="AM53" s="107">
        <f t="shared" si="1"/>
        <v>0.18779838789940384</v>
      </c>
      <c r="AN53" s="107">
        <f t="shared" si="1"/>
        <v>0.18887247611437868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-728.31792295503976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-2184.9537688651194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-3641.5896147751992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-4369.9075377302388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-5826.5433836403181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-7283.1792295503983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-8739.8150754604776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-9468.13299841552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-10924.768844325597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-12381.404690235677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-13109.722613190717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-14566.358459100797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-16022.99430501088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-17244.072399555949</v>
      </c>
      <c r="R58" s="13">
        <f t="shared" si="2"/>
        <v>-22049.963227094566</v>
      </c>
      <c r="S58" s="13">
        <f t="shared" si="2"/>
        <v>-17480.622842548742</v>
      </c>
      <c r="T58" s="13">
        <f t="shared" si="2"/>
        <v>-15629.376136120438</v>
      </c>
      <c r="U58" s="13">
        <f t="shared" si="2"/>
        <v>-11272.557488106664</v>
      </c>
      <c r="V58" s="13">
        <f t="shared" si="2"/>
        <v>-7333.8952967123432</v>
      </c>
      <c r="W58" s="13">
        <f t="shared" si="2"/>
        <v>-4449.8178887641352</v>
      </c>
      <c r="X58" s="13">
        <f t="shared" si="2"/>
        <v>-3873.6668718679139</v>
      </c>
      <c r="Y58" s="13">
        <f t="shared" si="2"/>
        <v>103.40995698517963</v>
      </c>
      <c r="Z58" s="13">
        <f t="shared" si="2"/>
        <v>3166.6152602495049</v>
      </c>
      <c r="AA58" s="13">
        <f t="shared" si="2"/>
        <v>3761.4261869838665</v>
      </c>
      <c r="AB58" s="13">
        <f t="shared" si="2"/>
        <v>7108.3938347153544</v>
      </c>
      <c r="AC58" s="13">
        <f t="shared" si="2"/>
        <v>3484.2269939342041</v>
      </c>
      <c r="AD58" s="13">
        <f t="shared" si="2"/>
        <v>9654.7933928813509</v>
      </c>
      <c r="AE58" s="13">
        <f t="shared" si="2"/>
        <v>8349.3385813319492</v>
      </c>
      <c r="AF58" s="13">
        <f t="shared" si="2"/>
        <v>7763.185237468284</v>
      </c>
      <c r="AG58" s="13">
        <f t="shared" si="2"/>
        <v>6419.7631571317179</v>
      </c>
      <c r="AH58" s="13">
        <f t="shared" si="2"/>
        <v>5113.2203263069732</v>
      </c>
      <c r="AI58" s="13">
        <f t="shared" si="2"/>
        <v>3812.1955787254446</v>
      </c>
      <c r="AJ58" s="13">
        <f t="shared" si="2"/>
        <v>3972.8373237077358</v>
      </c>
      <c r="AK58" s="13">
        <f t="shared" si="2"/>
        <v>4121.2216981972488</v>
      </c>
      <c r="AL58" s="13">
        <f t="shared" si="2"/>
        <v>4257.616680428695</v>
      </c>
      <c r="AM58" s="13">
        <f t="shared" si="2"/>
        <v>4404.6789385508346</v>
      </c>
      <c r="AN58" s="13">
        <f t="shared" si="2"/>
        <v>4529.8433701989889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-17244.072399555949</v>
      </c>
      <c r="R59" s="12">
        <v>-39294.035626650511</v>
      </c>
      <c r="S59" s="12">
        <v>-56774.658469199254</v>
      </c>
      <c r="T59" s="12">
        <v>-72404.034605319699</v>
      </c>
      <c r="U59" s="12">
        <v>-83676.592093426356</v>
      </c>
      <c r="V59" s="12">
        <v>-91010.487390138704</v>
      </c>
      <c r="W59" s="12">
        <v>-95460.305278902844</v>
      </c>
      <c r="X59" s="12">
        <v>-99333.972150770758</v>
      </c>
      <c r="Y59" s="12">
        <v>-99230.562193785576</v>
      </c>
      <c r="Z59" s="12">
        <v>-96063.946933536077</v>
      </c>
      <c r="AA59" s="12">
        <v>-92302.520746552211</v>
      </c>
      <c r="AB59" s="12">
        <v>-85194.126911836851</v>
      </c>
      <c r="AC59" s="12">
        <v>-81709.899917902643</v>
      </c>
      <c r="AD59" s="12">
        <v>-72055.106525021285</v>
      </c>
      <c r="AE59" s="12">
        <v>-63705.767943689338</v>
      </c>
      <c r="AF59" s="12">
        <v>-55942.582706221052</v>
      </c>
      <c r="AG59" s="12">
        <v>-49522.819549089334</v>
      </c>
      <c r="AH59" s="12">
        <v>-44409.599222782359</v>
      </c>
      <c r="AI59" s="12">
        <v>-40597.403644056918</v>
      </c>
      <c r="AJ59" s="12">
        <v>-36624.566320349186</v>
      </c>
      <c r="AK59" s="12">
        <v>-32503.344622151937</v>
      </c>
      <c r="AL59" s="12">
        <v>-28245.727941723242</v>
      </c>
      <c r="AM59" s="12">
        <v>-23841.049003172408</v>
      </c>
      <c r="AN59" s="12">
        <v>-19311.205632973419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1.1537294382039608E-3</v>
      </c>
      <c r="R72" s="12">
        <v>3.4611883146118826E-3</v>
      </c>
      <c r="S72" s="12">
        <v>5.768647191019805E-3</v>
      </c>
      <c r="T72" s="12">
        <v>6.9223766292237652E-3</v>
      </c>
      <c r="U72" s="12">
        <v>9.2298355056316863E-3</v>
      </c>
      <c r="V72" s="12">
        <v>1.153729438203961E-2</v>
      </c>
      <c r="W72" s="12">
        <v>1.384475325844753E-2</v>
      </c>
      <c r="X72" s="12">
        <v>1.499848269665149E-2</v>
      </c>
      <c r="Y72" s="12">
        <v>1.7305941573059418E-2</v>
      </c>
      <c r="Z72" s="12">
        <v>1.9613400449467334E-2</v>
      </c>
      <c r="AA72" s="12">
        <v>2.0767129887671303E-2</v>
      </c>
      <c r="AB72" s="12">
        <v>2.307458876407922E-2</v>
      </c>
      <c r="AC72" s="12">
        <v>2.7920252404535863E-2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-1.1537294382039608E-3</v>
      </c>
      <c r="R75" s="74">
        <v>-3.4611883146118826E-3</v>
      </c>
      <c r="S75" s="74">
        <v>-5.768647191019805E-3</v>
      </c>
      <c r="T75" s="74">
        <v>-6.9223766292237652E-3</v>
      </c>
      <c r="U75" s="74">
        <v>-9.2298355056316863E-3</v>
      </c>
      <c r="V75" s="74">
        <v>-1.153729438203961E-2</v>
      </c>
      <c r="W75" s="74">
        <v>-1.384475325844753E-2</v>
      </c>
      <c r="X75" s="74">
        <v>-1.499848269665149E-2</v>
      </c>
      <c r="Y75" s="74">
        <v>-1.7305941573059418E-2</v>
      </c>
      <c r="Z75" s="74">
        <v>-1.9613400449467334E-2</v>
      </c>
      <c r="AA75" s="74">
        <v>-2.0767129887671303E-2</v>
      </c>
      <c r="AB75" s="74">
        <v>-2.307458876407922E-2</v>
      </c>
      <c r="AC75" s="74">
        <v>-2.7920252404535863E-2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E03C7-C274-416F-8B66-CC5592B8E3D6}">
  <dimension ref="A1:AX75"/>
  <sheetViews>
    <sheetView workbookViewId="0">
      <pane xSplit="4" ySplit="25" topLeftCell="E50" activePane="bottomRight" state="frozen"/>
      <selection pane="topRight" activeCell="E1" sqref="E1"/>
      <selection pane="bottomLeft" activeCell="A26" sqref="A26"/>
      <selection pane="bottomRight" activeCell="H63" sqref="H63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8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527</v>
      </c>
      <c r="C1" s="16" t="s">
        <v>65</v>
      </c>
      <c r="D1" s="3" t="s">
        <v>56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3</v>
      </c>
      <c r="AI1" s="69">
        <v>6</v>
      </c>
      <c r="AJ1" s="69">
        <v>9</v>
      </c>
      <c r="AK1" s="69">
        <v>12</v>
      </c>
      <c r="AL1" s="69">
        <v>15</v>
      </c>
      <c r="AM1" s="69">
        <v>18</v>
      </c>
      <c r="AN1" s="69">
        <v>21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317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3.1666666666666665</v>
      </c>
      <c r="AJ2" s="69">
        <v>3.3333333333333335</v>
      </c>
      <c r="AK2" s="69">
        <v>3.5</v>
      </c>
      <c r="AL2" s="69">
        <v>3.6666666666666665</v>
      </c>
      <c r="AM2" s="69">
        <v>3.8333333333333335</v>
      </c>
      <c r="AN2" s="69">
        <v>4</v>
      </c>
    </row>
    <row r="3" spans="1:40" x14ac:dyDescent="0.25">
      <c r="A3" s="65"/>
      <c r="B3" s="55"/>
      <c r="C3" s="55"/>
      <c r="D3" s="55" t="s">
        <v>66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318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3</v>
      </c>
      <c r="AI4" s="69">
        <v>9.1666666666666661</v>
      </c>
      <c r="AJ4" s="69">
        <v>12.333333333333334</v>
      </c>
      <c r="AK4" s="69">
        <v>15.5</v>
      </c>
      <c r="AL4" s="69">
        <v>18.666666666666668</v>
      </c>
      <c r="AM4" s="69">
        <v>21.833333333333332</v>
      </c>
      <c r="AN4" s="69">
        <v>25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121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6</v>
      </c>
      <c r="AI6" s="66">
        <v>11</v>
      </c>
      <c r="AJ6" s="66">
        <v>15</v>
      </c>
      <c r="AK6" s="66">
        <v>18</v>
      </c>
      <c r="AL6" s="66">
        <v>22</v>
      </c>
      <c r="AM6" s="66">
        <v>26</v>
      </c>
      <c r="AN6" s="66">
        <v>29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5"/>
      <c r="E7" s="108" cm="1">
        <f t="array" ref="E7:AN20">_xlfn.LET(_xlpm.census_staff,_xlfn._xlws.FILTER(Base!$D$85:$BD$98,ISNUMBER(SEARCH($B$1&amp;"-"&amp;$C$1,Base!$D$4:$BD$4))),_xlpm.census,_xlfn.ANCHORARRAY($E$1),_xlpm.headcount,_xlpm.census/_xlpm.census_staff,
_xlpm.patient_staff,_xlfn.ANCHORARRAY($E$2)/_xlpm.census_staff,_xlpm.rbt_tr_rec,_xlfn.ANCHORARRAY($E$2)/_xlfn.CHOOSEROWS(_xlpm.census_staff,{7,8})+(_xlfn.ANCHORARRAY($E$1)*0.0055),_xlpm.rounding,_xlfn.VSTACK(2,2,0,0,2,2,2,2,2,2,2,0,0,0),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rbt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2.8299999999999996</v>
      </c>
      <c r="AI7" s="108">
        <v>5.6499999999999995</v>
      </c>
      <c r="AJ7" s="108">
        <v>8.48</v>
      </c>
      <c r="AK7" s="108">
        <v>11.299999999999999</v>
      </c>
      <c r="AL7" s="108">
        <v>14.12</v>
      </c>
      <c r="AM7" s="108">
        <v>16.950000000000003</v>
      </c>
      <c r="AN7" s="108">
        <v>19.770000000000003</v>
      </c>
    </row>
    <row r="8" spans="1:40" hidden="1" outlineLevel="1" x14ac:dyDescent="0.25">
      <c r="B8" s="39" t="str">
        <v>Secondary Direct Staff</v>
      </c>
      <c r="C8" s="3"/>
      <c r="D8" s="3"/>
      <c r="E8" s="108">
        <v>0</v>
      </c>
      <c r="F8" s="108">
        <v>0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0.43</v>
      </c>
      <c r="AI8" s="108">
        <v>0.86</v>
      </c>
      <c r="AJ8" s="108">
        <v>1.29</v>
      </c>
      <c r="AK8" s="108">
        <v>1.72</v>
      </c>
      <c r="AL8" s="108">
        <v>2.15</v>
      </c>
      <c r="AM8" s="108">
        <v>2.5799999999999996</v>
      </c>
      <c r="AN8" s="108">
        <v>3</v>
      </c>
    </row>
    <row r="9" spans="1:40" hidden="1" outlineLevel="1" x14ac:dyDescent="0.25">
      <c r="B9" s="39" t="str">
        <v>Center Manager</v>
      </c>
      <c r="C9" s="3"/>
      <c r="D9" s="3"/>
      <c r="E9" s="108">
        <v>0</v>
      </c>
      <c r="F9" s="108">
        <v>0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</row>
    <row r="10" spans="1:40" hidden="1" outlineLevel="1" x14ac:dyDescent="0.25">
      <c r="B10" s="39" t="str">
        <v>Intake</v>
      </c>
      <c r="C10" s="3"/>
      <c r="D10" s="3"/>
      <c r="E10" s="108">
        <v>0</v>
      </c>
      <c r="F10" s="108">
        <v>0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</row>
    <row r="11" spans="1:40" hidden="1" outlineLevel="1" x14ac:dyDescent="0.25">
      <c r="B11" s="39" t="str">
        <v>Scheduler</v>
      </c>
      <c r="C11" s="3"/>
      <c r="D11" s="3"/>
      <c r="E11" s="108">
        <v>0</v>
      </c>
      <c r="F11" s="108">
        <v>0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8">
        <v>0</v>
      </c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0.25</v>
      </c>
      <c r="AJ12" s="108">
        <v>0.26</v>
      </c>
      <c r="AK12" s="108">
        <v>0.27</v>
      </c>
      <c r="AL12" s="108">
        <v>0.29000000000000004</v>
      </c>
      <c r="AM12" s="108">
        <v>0.3</v>
      </c>
      <c r="AN12" s="108">
        <v>0.31</v>
      </c>
    </row>
    <row r="13" spans="1:40" hidden="1" outlineLevel="1" x14ac:dyDescent="0.25">
      <c r="B13" s="39" t="str">
        <v>Trainer</v>
      </c>
      <c r="C13" s="3"/>
      <c r="D13" s="3"/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0.02</v>
      </c>
      <c r="AI13" s="108">
        <v>0.35000000000000003</v>
      </c>
      <c r="AJ13" s="108">
        <v>0.39</v>
      </c>
      <c r="AK13" s="108">
        <v>0.42</v>
      </c>
      <c r="AL13" s="108">
        <v>0.45</v>
      </c>
      <c r="AM13" s="108">
        <v>0.49</v>
      </c>
      <c r="AN13" s="108">
        <v>0.52</v>
      </c>
    </row>
    <row r="14" spans="1:40" hidden="1" outlineLevel="1" x14ac:dyDescent="0.25">
      <c r="B14" s="39" t="str">
        <v>Recruiter</v>
      </c>
      <c r="C14" s="3"/>
      <c r="D14" s="3"/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8">
        <v>0.02</v>
      </c>
      <c r="AI14" s="108">
        <v>0.2</v>
      </c>
      <c r="AJ14" s="108">
        <v>0.22</v>
      </c>
      <c r="AK14" s="108">
        <v>0.25</v>
      </c>
      <c r="AL14" s="108">
        <v>0.27</v>
      </c>
      <c r="AM14" s="108">
        <v>0.3</v>
      </c>
      <c r="AN14" s="108">
        <v>0.32</v>
      </c>
    </row>
    <row r="15" spans="1:40" hidden="1" outlineLevel="1" x14ac:dyDescent="0.25">
      <c r="B15" s="39" t="str">
        <v>Center Director / Remote Site Director</v>
      </c>
      <c r="C15" s="3"/>
      <c r="D15" s="3"/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8">
        <v>0</v>
      </c>
      <c r="AF15" s="108">
        <v>0</v>
      </c>
      <c r="AG15" s="108">
        <v>0</v>
      </c>
      <c r="AH15" s="108">
        <v>0.02</v>
      </c>
      <c r="AI15" s="108">
        <v>0.03</v>
      </c>
      <c r="AJ15" s="108">
        <v>0.04</v>
      </c>
      <c r="AK15" s="108">
        <v>0.05</v>
      </c>
      <c r="AL15" s="108">
        <v>0.06</v>
      </c>
      <c r="AM15" s="108">
        <v>0.08</v>
      </c>
      <c r="AN15" s="108">
        <v>0.09</v>
      </c>
    </row>
    <row r="16" spans="1:40" hidden="1" outlineLevel="1" x14ac:dyDescent="0.25">
      <c r="B16" s="39" t="str">
        <v>Center Marketing Outreach</v>
      </c>
      <c r="C16" s="3"/>
      <c r="D16" s="3"/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0.02</v>
      </c>
      <c r="AI16" s="108">
        <v>0.03</v>
      </c>
      <c r="AJ16" s="108">
        <v>0.04</v>
      </c>
      <c r="AK16" s="108">
        <v>0.05</v>
      </c>
      <c r="AL16" s="108">
        <v>0.06</v>
      </c>
      <c r="AM16" s="108">
        <v>0.08</v>
      </c>
      <c r="AN16" s="108">
        <v>0.09</v>
      </c>
    </row>
    <row r="17" spans="2:50" hidden="1" outlineLevel="1" x14ac:dyDescent="0.25">
      <c r="B17" s="39" t="str">
        <v>Primary Direct Staff Lead</v>
      </c>
      <c r="C17" s="3"/>
      <c r="D17" s="3"/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0.3</v>
      </c>
      <c r="AI17" s="108">
        <v>0.6</v>
      </c>
      <c r="AJ17" s="108">
        <v>0.9</v>
      </c>
      <c r="AK17" s="108">
        <v>1.2</v>
      </c>
      <c r="AL17" s="108">
        <v>1.5</v>
      </c>
      <c r="AM17" s="108">
        <v>1.8</v>
      </c>
      <c r="AN17" s="108">
        <v>2.1</v>
      </c>
    </row>
    <row r="18" spans="2:50" hidden="1" outlineLevel="1" x14ac:dyDescent="0.25">
      <c r="B18" s="39" t="str">
        <v>Tertiary Direct Staff</v>
      </c>
      <c r="C18" s="3"/>
      <c r="D18" s="3"/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</row>
    <row r="19" spans="2:50" hidden="1" outlineLevel="1" x14ac:dyDescent="0.25">
      <c r="B19" s="39" t="str">
        <v>Quinary Direct Staff</v>
      </c>
      <c r="C19" s="3"/>
      <c r="D19" s="3"/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</row>
    <row r="20" spans="2:50" hidden="1" outlineLevel="1" x14ac:dyDescent="0.25">
      <c r="B20" s="39" t="str">
        <v>Quaternary Direct Staff</v>
      </c>
      <c r="C20" s="3"/>
      <c r="D20" s="3"/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1</v>
      </c>
      <c r="AI20" s="108">
        <v>1</v>
      </c>
      <c r="AJ20" s="108">
        <v>1</v>
      </c>
      <c r="AK20" s="108">
        <v>1</v>
      </c>
      <c r="AL20" s="108">
        <v>1</v>
      </c>
      <c r="AM20" s="108">
        <v>1</v>
      </c>
      <c r="AN20" s="108">
        <v>1</v>
      </c>
    </row>
    <row r="21" spans="2:50" collapsed="1" x14ac:dyDescent="0.25">
      <c r="B21" s="39" t="s">
        <v>459</v>
      </c>
      <c r="C21" s="3"/>
      <c r="D21" s="5"/>
      <c r="E21" s="120" cm="1">
        <f t="array" ref="E21:AN21">ROUND(_xlfn.BYCOL(_xlfn.CHOOSEROWS(_xlfn.ANCHORARRAY(E7),1,2),_xlfn.LAMBDA(_xlpm.col,SUM(_xlpm.col))),0)</f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3</v>
      </c>
      <c r="AI21" s="120">
        <v>7</v>
      </c>
      <c r="AJ21" s="120">
        <v>10</v>
      </c>
      <c r="AK21" s="120">
        <v>13</v>
      </c>
      <c r="AL21" s="120">
        <v>16</v>
      </c>
      <c r="AM21" s="120">
        <v>20</v>
      </c>
      <c r="AN21" s="120">
        <v>23</v>
      </c>
    </row>
    <row r="22" spans="2:50" x14ac:dyDescent="0.25">
      <c r="B22" s="2" t="s">
        <v>464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94.739054978770966</v>
      </c>
      <c r="AI22" s="78">
        <v>94.739054978770966</v>
      </c>
      <c r="AJ22" s="78">
        <v>94.739054978770952</v>
      </c>
      <c r="AK22" s="78">
        <v>94.739054978770966</v>
      </c>
      <c r="AL22" s="78">
        <v>94.739054978770966</v>
      </c>
      <c r="AM22" s="78">
        <v>94.739054978770952</v>
      </c>
      <c r="AN22" s="78">
        <v>94.739054978770966</v>
      </c>
    </row>
    <row r="23" spans="2:50" x14ac:dyDescent="0.25">
      <c r="B23" s="2" t="s">
        <v>55</v>
      </c>
      <c r="C23" s="3"/>
      <c r="D23" s="72"/>
      <c r="E23" s="52" cm="1">
        <f t="array" ref="E23:AN23">_xlfn.LET(_xlpm.site,$B$1&amp;"-"&amp;$C$1,_xlpm.locations,Base!$D$4:$BD$4,_xlpm.census,_xlfn.ANCHORARRAY(E1),_xlpm.hours,SUM(_xlfn.XLOOKUP(_xlpm.site,_xlpm.locations,Base!$D$74:$BD$78,0,0)),
_xlpm.collection,1-_xlfn.XLOOKUP(_xlpm.site,_xlpm.locations,Base!$D$26:$BD$26,0,0),
_xlpm.census*_xlpm.hours*_xlpm.collection*(52/12))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315.03999999999996</v>
      </c>
      <c r="AI23" s="52">
        <v>630.07999999999993</v>
      </c>
      <c r="AJ23" s="52">
        <v>945.11999999999989</v>
      </c>
      <c r="AK23" s="52">
        <v>1260.1599999999999</v>
      </c>
      <c r="AL23" s="52">
        <v>1575.1999999999996</v>
      </c>
      <c r="AM23" s="52">
        <v>1890.2399999999998</v>
      </c>
      <c r="AN23" s="52">
        <v>2205.2799999999997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_xlfn.LET(_xlpm.site,$B$1&amp;"-"&amp;$C$1,_xlpm.locations,Base!$D$4:$BD$4,_xlpm.rates,Base!$D31:$BD31,_xlpm.hours,Base!$D74:$BD74,_xlpm.comp,_xlpm.rates*_xlpm.hours,_xlpm.census,_xlfn.ANCHORARRAY($E$1),
_xlpm.census_comp,_xlfn.XLOOKUP(_xlpm.site,_xlpm.locations,_xlpm.comp,0,0),_xlpm.ann_incr,_xlfn.XLOOKUP(YEAR(_xlfn.ANCHORARRAY($E$25)),Base!$BJ$4:$BL$4,Base!$BJ74:$BL74,0,0),
_xlpm.bad_debt,_xlfn.XLOOKUP(_xlpm.site,_xlpm.locations,Base!$D$28:$BD$28,0,0),_xlpm.census_comp*_xlpm.census*_xlpm.bad_debt*_xlpm.ann_incr*(52/12))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22196.754060623996</v>
      </c>
      <c r="AI26" s="12">
        <v>44393.508121247993</v>
      </c>
      <c r="AJ26" s="12">
        <v>66590.262181871993</v>
      </c>
      <c r="AK26" s="12">
        <v>88787.016242495985</v>
      </c>
      <c r="AL26" s="12">
        <v>110983.77030312001</v>
      </c>
      <c r="AM26" s="12">
        <v>133180.52436374399</v>
      </c>
      <c r="AN26" s="12">
        <v>155377.27842436801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_xlfn.LET(_xlpm.site,$B$1&amp;"-"&amp;$C$1,_xlpm.locations,Base!$D$4:$BD$4,_xlpm.rates,Base!$D32:$BD32,_xlpm.hours,Base!$D75:$BD75,_xlpm.comp,_xlpm.rates*_xlpm.hours,_xlpm.census,_xlfn.ANCHORARRAY($E$1),
_xlpm.census_comp,_xlfn.XLOOKUP(_xlpm.site,_xlpm.locations,_xlpm.comp,0,0),_xlpm.ann_incr,_xlfn.XLOOKUP(YEAR(_xlfn.ANCHORARRAY($E$25)),Base!$BJ$4:$BL$4,Base!$BJ75:$BL75,0,0),
_xlpm.bad_debt,_xlfn.XLOOKUP(_xlpm.site,_xlpm.locations,Base!$D$28:$BD$28,0,0),_xlpm.census_comp*_xlpm.census*_xlpm.bad_debt*_xlpm.ann_incr*(52/12))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4255.7811919999995</v>
      </c>
      <c r="AI27" s="12">
        <v>8511.5623839999989</v>
      </c>
      <c r="AJ27" s="12">
        <v>12767.343575999997</v>
      </c>
      <c r="AK27" s="12">
        <v>17023.124767999998</v>
      </c>
      <c r="AL27" s="12">
        <v>21278.90596</v>
      </c>
      <c r="AM27" s="12">
        <v>25534.687151999995</v>
      </c>
      <c r="AN27" s="12">
        <v>29790.468344000001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_xlfn.LET(_xlpm.site,$B$1&amp;"-"&amp;$C$1,_xlpm.locations,Base!$D$4:$BD$4,_xlpm.rates,Base!$D33:$BD33,_xlpm.hours,Base!$D76:$BD76,_xlpm.comp,_xlpm.rates*_xlpm.hours,_xlpm.census,_xlfn.ANCHORARRAY($E$1),
_xlpm.census_comp,_xlfn.XLOOKUP(_xlpm.site,_xlpm.locations,_xlpm.comp,0,0),_xlpm.ann_incr,_xlfn.XLOOKUP(YEAR(_xlfn.ANCHORARRAY($E$25)),Base!$BJ$4:$BL$4,Base!$BJ76:$BL76,0,0),
_xlpm.bad_debt,_xlfn.XLOOKUP(_xlpm.site,_xlpm.locations,Base!$D$28:$BD$28,0,0),_xlpm.census_comp*_xlpm.census*_xlpm.bad_debt*_xlpm.ann_incr*(52/12))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4686.4231521120009</v>
      </c>
      <c r="AI28" s="12">
        <v>9372.8463042240019</v>
      </c>
      <c r="AJ28" s="12">
        <v>14059.269456336</v>
      </c>
      <c r="AK28" s="12">
        <v>18745.692608448004</v>
      </c>
      <c r="AL28" s="12">
        <v>23432.115760560002</v>
      </c>
      <c r="AM28" s="12">
        <v>28118.538912672</v>
      </c>
      <c r="AN28" s="12">
        <v>32804.962064784006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_xlfn.LET(_xlpm.site,$B$1&amp;"-"&amp;$C$1,_xlpm.locations,Base!$D$4:$BD$4,_xlpm.rates,Base!$D34:$BD34,_xlpm.hours,Base!$D77:$BD77,_xlpm.comp,_xlpm.rates*_xlpm.hours,_xlpm.census,_xlfn.ANCHORARRAY($E$1),
_xlpm.census_comp,_xlfn.XLOOKUP(_xlpm.site,_xlpm.locations,_xlpm.comp,0,0),_xlpm.ann_incr,_xlfn.XLOOKUP(YEAR(_xlfn.ANCHORARRAY($E$25)),Base!$BJ$4:$BL$4,Base!$BJ77:$BL77,0,0),
_xlpm.bad_debt,_xlfn.XLOOKUP(_xlpm.site,_xlpm.locations,Base!$D$28:$BD$28,0,0),_xlpm.census_comp*_xlpm.census*_xlpm.bad_debt*_xlpm.ann_incr*(52/12))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265.16790503999999</v>
      </c>
      <c r="AI29" s="12">
        <v>530.33581007999999</v>
      </c>
      <c r="AJ29" s="12">
        <v>795.50371512000004</v>
      </c>
      <c r="AK29" s="12">
        <v>1060.67162016</v>
      </c>
      <c r="AL29" s="12">
        <v>1325.8395252</v>
      </c>
      <c r="AM29" s="12">
        <v>1591.0074302400001</v>
      </c>
      <c r="AN29" s="12">
        <v>1856.1753352799999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_xlfn.LET(_xlpm.site,$B$1&amp;"-"&amp;$C$1,_xlpm.locations,Base!$D$4:$BD$4,_xlpm.rates,Base!$D35:$BD35,_xlpm.hours,Base!$D78:$BD78,_xlpm.comp,_xlpm.rates*_xlpm.hours,_xlpm.census,_xlfn.ANCHORARRAY($E$1),
_xlpm.census_comp,_xlfn.XLOOKUP(_xlpm.site,_xlpm.locations,_xlpm.comp,0,0),_xlpm.ann_incr,_xlfn.XLOOKUP(YEAR(_xlfn.ANCHORARRAY($E$25)),Base!$BJ$4:$BL$4,Base!$BJ78:$BL78,0,0),
_xlpm.bad_debt,_xlfn.XLOOKUP(_xlpm.site,_xlpm.locations,Base!$D$28:$BD$28,0,0),_xlpm.census_comp*_xlpm.census*_xlpm.bad_debt*_xlpm.ann_incr*(52/12))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477.46047167999996</v>
      </c>
      <c r="AI30" s="12">
        <v>954.92094335999991</v>
      </c>
      <c r="AJ30" s="12">
        <v>1432.3814150400001</v>
      </c>
      <c r="AK30" s="12">
        <v>1909.8418867199998</v>
      </c>
      <c r="AL30" s="12">
        <v>2387.3023584000002</v>
      </c>
      <c r="AM30" s="12">
        <v>2864.7628300800002</v>
      </c>
      <c r="AN30" s="12">
        <v>3342.2233017600001</v>
      </c>
    </row>
    <row r="31" spans="2:50" x14ac:dyDescent="0.25">
      <c r="B31" s="39" t="str">
        <f>Base!B36</f>
        <v>Tertiary Direct Staff - Service A</v>
      </c>
      <c r="C31" s="4"/>
      <c r="E31" s="187" cm="1">
        <f t="array" ref="E31:AN31">_xlfn.LET(_xlpm.site,$B$1&amp;"-"&amp;$C$1,_xlpm.locations,Base!$D$4:$BD$4,_xlpm.rates,Base!$D36:$BD36,_xlpm.hours,Base!$D79:$BD79,_xlpm.comp,_xlpm.rates*_xlpm.hours,_xlpm.census,_xlfn.ANCHORARRAY($E$1)*0,
_xlpm.census_comp,_xlfn.XLOOKUP(_xlpm.site,_xlpm.locations,_xlpm.comp,0,0),_xlpm.ann_incr,_xlfn.XLOOKUP(YEAR(_xlfn.ANCHORARRAY($E$25)),Base!$BJ$4:$BL$4,Base!$BJ79:$BL79,0,0),
_xlpm.bad_debt,_xlfn.XLOOKUP(_xlpm.site,_xlpm.locations,Base!$D$28:$BD$28,0,0),_xlpm.census_comp*_xlpm.census*_xlpm.bad_debt*_xlpm.ann_incr*(52/12))</f>
        <v>0</v>
      </c>
      <c r="F31" s="187">
        <v>0</v>
      </c>
      <c r="G31" s="187">
        <v>0</v>
      </c>
      <c r="H31" s="187">
        <v>0</v>
      </c>
      <c r="I31" s="187">
        <v>0</v>
      </c>
      <c r="J31" s="187">
        <v>0</v>
      </c>
      <c r="K31" s="187">
        <v>0</v>
      </c>
      <c r="L31" s="187">
        <v>0</v>
      </c>
      <c r="M31" s="187">
        <v>0</v>
      </c>
      <c r="N31" s="187">
        <v>0</v>
      </c>
      <c r="O31" s="187">
        <v>0</v>
      </c>
      <c r="P31" s="187">
        <v>0</v>
      </c>
      <c r="Q31" s="187">
        <v>0</v>
      </c>
      <c r="R31" s="187">
        <v>0</v>
      </c>
      <c r="S31" s="187">
        <v>0</v>
      </c>
      <c r="T31" s="187">
        <v>0</v>
      </c>
      <c r="U31" s="187">
        <v>0</v>
      </c>
      <c r="V31" s="187">
        <v>0</v>
      </c>
      <c r="W31" s="187">
        <v>0</v>
      </c>
      <c r="X31" s="187">
        <v>0</v>
      </c>
      <c r="Y31" s="187">
        <v>0</v>
      </c>
      <c r="Z31" s="187">
        <v>0</v>
      </c>
      <c r="AA31" s="187">
        <v>0</v>
      </c>
      <c r="AB31" s="187">
        <v>0</v>
      </c>
      <c r="AC31" s="187">
        <v>0</v>
      </c>
      <c r="AD31" s="187">
        <v>0</v>
      </c>
      <c r="AE31" s="187">
        <v>0</v>
      </c>
      <c r="AF31" s="187">
        <v>0</v>
      </c>
      <c r="AG31" s="187">
        <v>0</v>
      </c>
      <c r="AH31" s="187">
        <v>0</v>
      </c>
      <c r="AI31" s="187">
        <v>0</v>
      </c>
      <c r="AJ31" s="187">
        <v>0</v>
      </c>
      <c r="AK31" s="187">
        <v>0</v>
      </c>
      <c r="AL31" s="187">
        <v>0</v>
      </c>
      <c r="AM31" s="187">
        <v>0</v>
      </c>
      <c r="AN31" s="187">
        <v>0</v>
      </c>
    </row>
    <row r="32" spans="2:50" x14ac:dyDescent="0.25">
      <c r="B32" s="39" t="str">
        <f>Base!B37</f>
        <v>Tertiary Direct Staff - Service B</v>
      </c>
      <c r="C32" s="4"/>
      <c r="E32" s="187" cm="1">
        <f t="array" ref="E32:AN32">_xlfn.LET(_xlpm.site,$B$1&amp;"-"&amp;$C$1,_xlpm.locations,Base!$D$4:$BD$4,_xlpm.rates,Base!$D37:$BD37,_xlpm.hours,Base!$D80:$BD80,_xlpm.comp,_xlpm.rates*_xlpm.hours,_xlpm.census,_xlfn.ANCHORARRAY($E$1)*0,
_xlpm.census_comp,_xlfn.XLOOKUP(_xlpm.site,_xlpm.locations,_xlpm.comp,0,0),_xlpm.ann_incr,_xlfn.XLOOKUP(YEAR(_xlfn.ANCHORARRAY($E$25)),Base!$BJ$4:$BL$4,Base!$BJ80:$BL80,0,0),
_xlpm.bad_debt,_xlfn.XLOOKUP(_xlpm.site,_xlpm.locations,Base!$D$28:$BD$28,0,0),_xlpm.census_comp*_xlpm.census*_xlpm.bad_debt*_xlpm.ann_incr*(52/12))</f>
        <v>0</v>
      </c>
      <c r="F32" s="187">
        <v>0</v>
      </c>
      <c r="G32" s="187">
        <v>0</v>
      </c>
      <c r="H32" s="187">
        <v>0</v>
      </c>
      <c r="I32" s="187">
        <v>0</v>
      </c>
      <c r="J32" s="187">
        <v>0</v>
      </c>
      <c r="K32" s="187">
        <v>0</v>
      </c>
      <c r="L32" s="187">
        <v>0</v>
      </c>
      <c r="M32" s="187">
        <v>0</v>
      </c>
      <c r="N32" s="187">
        <v>0</v>
      </c>
      <c r="O32" s="187">
        <v>0</v>
      </c>
      <c r="P32" s="187">
        <v>0</v>
      </c>
      <c r="Q32" s="187">
        <v>0</v>
      </c>
      <c r="R32" s="187">
        <v>0</v>
      </c>
      <c r="S32" s="187">
        <v>0</v>
      </c>
      <c r="T32" s="187">
        <v>0</v>
      </c>
      <c r="U32" s="187">
        <v>0</v>
      </c>
      <c r="V32" s="187">
        <v>0</v>
      </c>
      <c r="W32" s="187">
        <v>0</v>
      </c>
      <c r="X32" s="187">
        <v>0</v>
      </c>
      <c r="Y32" s="187">
        <v>0</v>
      </c>
      <c r="Z32" s="187">
        <v>0</v>
      </c>
      <c r="AA32" s="187">
        <v>0</v>
      </c>
      <c r="AB32" s="187">
        <v>0</v>
      </c>
      <c r="AC32" s="187">
        <v>0</v>
      </c>
      <c r="AD32" s="187">
        <v>0</v>
      </c>
      <c r="AE32" s="187">
        <v>0</v>
      </c>
      <c r="AF32" s="187">
        <v>0</v>
      </c>
      <c r="AG32" s="187">
        <v>0</v>
      </c>
      <c r="AH32" s="187">
        <v>0</v>
      </c>
      <c r="AI32" s="187">
        <v>0</v>
      </c>
      <c r="AJ32" s="187">
        <v>0</v>
      </c>
      <c r="AK32" s="187">
        <v>0</v>
      </c>
      <c r="AL32" s="187">
        <v>0</v>
      </c>
      <c r="AM32" s="187">
        <v>0</v>
      </c>
      <c r="AN32" s="187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_xlpm.census,_xlfn.ANCHORARRAY($E$2),_xlpm.ann_incr,_xlfn.XLOOKUP(YEAR(_xlfn.ANCHORARRAY($E$25)),Base!$BJ$4:$BL$4,Base!$BJ$81:$BL$81,0,0),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7" cm="1">
        <f t="array" ref="E34:AN34">_xlfn.LET(_xlpm.site,$B$1&amp;"-"&amp;$C$1,_xlpm.locations,Base!$D$4:$BD$4,_xlpm.rates,Base!$D39:$BD39,_xlpm.hours,Base!$D82:$BD82,_xlpm.comp,_xlpm.rates*_xlpm.hours,_xlpm.census,_xlfn.ANCHORARRAY($E$1)*0,
_xlpm.census_comp,_xlfn.XLOOKUP(_xlpm.site,_xlpm.locations,_xlpm.comp,0,0),_xlpm.ann_incr,_xlfn.XLOOKUP(YEAR(_xlfn.ANCHORARRAY($E$25)),Base!$BJ$4:$BL$4,Base!$BJ82:$BL82,0,0),
_xlpm.bad_debt,_xlfn.XLOOKUP(_xlpm.site,_xlpm.locations,Base!$D$28:$BD$28,0,0),_xlpm.census_comp*_xlpm.census*_xlpm.bad_debt*_xlpm.ann_incr*(52/12))</f>
        <v>0</v>
      </c>
      <c r="F34" s="187">
        <v>0</v>
      </c>
      <c r="G34" s="187">
        <v>0</v>
      </c>
      <c r="H34" s="187">
        <v>0</v>
      </c>
      <c r="I34" s="187">
        <v>0</v>
      </c>
      <c r="J34" s="187">
        <v>0</v>
      </c>
      <c r="K34" s="187">
        <v>0</v>
      </c>
      <c r="L34" s="187">
        <v>0</v>
      </c>
      <c r="M34" s="187">
        <v>0</v>
      </c>
      <c r="N34" s="187">
        <v>0</v>
      </c>
      <c r="O34" s="187">
        <v>0</v>
      </c>
      <c r="P34" s="187">
        <v>0</v>
      </c>
      <c r="Q34" s="187">
        <v>0</v>
      </c>
      <c r="R34" s="187">
        <v>0</v>
      </c>
      <c r="S34" s="187">
        <v>0</v>
      </c>
      <c r="T34" s="187">
        <v>0</v>
      </c>
      <c r="U34" s="187">
        <v>0</v>
      </c>
      <c r="V34" s="187">
        <v>0</v>
      </c>
      <c r="W34" s="187">
        <v>0</v>
      </c>
      <c r="X34" s="187">
        <v>0</v>
      </c>
      <c r="Y34" s="187">
        <v>0</v>
      </c>
      <c r="Z34" s="187">
        <v>0</v>
      </c>
      <c r="AA34" s="187">
        <v>0</v>
      </c>
      <c r="AB34" s="187">
        <v>0</v>
      </c>
      <c r="AC34" s="187">
        <v>0</v>
      </c>
      <c r="AD34" s="187">
        <v>0</v>
      </c>
      <c r="AE34" s="187">
        <v>0</v>
      </c>
      <c r="AF34" s="187">
        <v>0</v>
      </c>
      <c r="AG34" s="187">
        <v>0</v>
      </c>
      <c r="AH34" s="187">
        <v>0</v>
      </c>
      <c r="AI34" s="187">
        <v>0</v>
      </c>
      <c r="AJ34" s="187">
        <v>0</v>
      </c>
      <c r="AK34" s="187">
        <v>0</v>
      </c>
      <c r="AL34" s="187">
        <v>0</v>
      </c>
      <c r="AM34" s="187">
        <v>0</v>
      </c>
      <c r="AN34" s="187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-6762.7224845747196</v>
      </c>
      <c r="AI35" s="12">
        <v>-10588.512898349438</v>
      </c>
      <c r="AJ35" s="12">
        <v>-14414.303312124157</v>
      </c>
      <c r="AK35" s="12">
        <v>-18240.093725898878</v>
      </c>
      <c r="AL35" s="12">
        <v>-22065.884139673595</v>
      </c>
      <c r="AM35" s="12">
        <v>-25891.674553448316</v>
      </c>
      <c r="AN35" s="12">
        <v>-29717.464967223041</v>
      </c>
    </row>
    <row r="36" spans="2:40" x14ac:dyDescent="0.25">
      <c r="B36" s="39" t="s">
        <v>320</v>
      </c>
      <c r="C36" s="15"/>
      <c r="E36" s="187" cm="1">
        <f t="array" ref="E36:AN36">_xlfn.BYCOL(_xlfn.ANCHORARRAY($E$25),_xlfn.LAMBDA(_xlpm.a,0))</f>
        <v>0</v>
      </c>
      <c r="F36" s="187">
        <v>0</v>
      </c>
      <c r="G36" s="187">
        <v>0</v>
      </c>
      <c r="H36" s="187">
        <v>0</v>
      </c>
      <c r="I36" s="187">
        <v>0</v>
      </c>
      <c r="J36" s="187">
        <v>0</v>
      </c>
      <c r="K36" s="187">
        <v>0</v>
      </c>
      <c r="L36" s="187">
        <v>0</v>
      </c>
      <c r="M36" s="187">
        <v>0</v>
      </c>
      <c r="N36" s="187">
        <v>0</v>
      </c>
      <c r="O36" s="187">
        <v>0</v>
      </c>
      <c r="P36" s="187">
        <v>0</v>
      </c>
      <c r="Q36" s="187">
        <v>0</v>
      </c>
      <c r="R36" s="187">
        <v>0</v>
      </c>
      <c r="S36" s="187">
        <v>0</v>
      </c>
      <c r="T36" s="187">
        <v>0</v>
      </c>
      <c r="U36" s="187">
        <v>0</v>
      </c>
      <c r="V36" s="187">
        <v>0</v>
      </c>
      <c r="W36" s="187">
        <v>0</v>
      </c>
      <c r="X36" s="187">
        <v>0</v>
      </c>
      <c r="Y36" s="187">
        <v>0</v>
      </c>
      <c r="Z36" s="187">
        <v>0</v>
      </c>
      <c r="AA36" s="187">
        <v>0</v>
      </c>
      <c r="AB36" s="187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331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45337.517028214614</v>
      </c>
      <c r="AI37" s="13">
        <v>69137.532203895898</v>
      </c>
      <c r="AJ37" s="13">
        <v>92937.547379577154</v>
      </c>
      <c r="AK37" s="13">
        <v>116737.56255525845</v>
      </c>
      <c r="AL37" s="13">
        <v>140537.57773093972</v>
      </c>
      <c r="AM37" s="13">
        <v>164337.59290662099</v>
      </c>
      <c r="AN37" s="13">
        <v>188137.60808230232</v>
      </c>
    </row>
    <row r="38" spans="2:40" x14ac:dyDescent="0.25">
      <c r="E38" s="67"/>
      <c r="F38" s="67"/>
    </row>
    <row r="39" spans="2:40" x14ac:dyDescent="0.25">
      <c r="B39" s="1" t="s">
        <v>132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48487.313024043993</v>
      </c>
      <c r="AI40" s="12">
        <v>79115.21964808795</v>
      </c>
      <c r="AJ40" s="12">
        <v>98372.562672131957</v>
      </c>
      <c r="AK40" s="12">
        <v>117590.37096284259</v>
      </c>
      <c r="AL40" s="12">
        <v>136854.9659202199</v>
      </c>
      <c r="AM40" s="12">
        <v>156404.72561093056</v>
      </c>
      <c r="AN40" s="12">
        <v>175450.00806830791</v>
      </c>
    </row>
    <row r="41" spans="2:40" x14ac:dyDescent="0.25">
      <c r="B41" s="39" t="s">
        <v>458</v>
      </c>
      <c r="C41" s="146">
        <f>_xlfn.XLOOKUP($B$1&amp;"-"&amp;$C$1,Base!$D$4:$BD$4,Base!$D$12:$BD$12,0,0)</f>
        <v>0</v>
      </c>
      <c r="E41" s="187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8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393.58904832000007</v>
      </c>
      <c r="AI44" s="12">
        <v>1042.2821094400001</v>
      </c>
      <c r="AJ44" s="12">
        <v>1075.0811968000003</v>
      </c>
      <c r="AK44" s="12">
        <v>1107.88028416</v>
      </c>
      <c r="AL44" s="12">
        <v>1140.6793715200004</v>
      </c>
      <c r="AM44" s="12">
        <v>1184.4114880000002</v>
      </c>
      <c r="AN44" s="12">
        <v>1213.5662323200002</v>
      </c>
    </row>
    <row r="45" spans="2:40" x14ac:dyDescent="0.25">
      <c r="B45" s="39" t="s">
        <v>37</v>
      </c>
      <c r="C45" s="98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40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3676.7735999999991</v>
      </c>
      <c r="AI46" s="12">
        <v>5617.639799999999</v>
      </c>
      <c r="AJ46" s="12">
        <v>6946.7507999999998</v>
      </c>
      <c r="AK46" s="12">
        <v>8272.2203999999983</v>
      </c>
      <c r="AL46" s="12">
        <v>9597.6899999999969</v>
      </c>
      <c r="AM46" s="12">
        <v>10937.725199999999</v>
      </c>
      <c r="AN46" s="12">
        <v>12255.912</v>
      </c>
    </row>
    <row r="47" spans="2:40" x14ac:dyDescent="0.25">
      <c r="B47" s="39" t="s">
        <v>42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43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104139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44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3767.7238080420843</v>
      </c>
      <c r="AI49" s="12">
        <f>'Corp.'!AI$50*(AI$37-(AI31-AI32-AI34)*$C$35)/(SUM('MDA1:NCA9'!AI$37)-SUM('MDA1:NCA9'!AI$31)-SUM('MDA1:NCA9'!AI$32)-SUM('MDA1:NCA9'!AI$34))</f>
        <v>5653.2737803540622</v>
      </c>
      <c r="AJ49" s="12">
        <f>'Corp.'!AJ$50*(AJ$37-(AJ31-AJ32-AJ34)*$C$35)/(SUM('MDA1:NCA9'!AJ$37)-SUM('MDA1:NCA9'!AJ$31)-SUM('MDA1:NCA9'!AJ$32)-SUM('MDA1:NCA9'!AJ$34))</f>
        <v>7471.2482756920626</v>
      </c>
      <c r="AK49" s="12">
        <f>'Corp.'!AK$50*(AK$37-(AK31-AK32-AK34)*$C$35)/(SUM('MDA1:NCA9'!AK$37)-SUM('MDA1:NCA9'!AK$31)-SUM('MDA1:NCA9'!AK$32)-SUM('MDA1:NCA9'!AK$34))</f>
        <v>9235.8836300254679</v>
      </c>
      <c r="AL49" s="12">
        <f>'Corp.'!AL$50*(AL$37-(AL31-AL32-AL34)*$C$35)/(SUM('MDA1:NCA9'!AL$37)-SUM('MDA1:NCA9'!AL$31)-SUM('MDA1:NCA9'!AL$32)-SUM('MDA1:NCA9'!AL$34))</f>
        <v>10954.366915895307</v>
      </c>
      <c r="AM49" s="12">
        <f>'Corp.'!AM$50*(AM$37-(AM31-AM32-AM34)*$C$35)/(SUM('MDA1:NCA9'!AM$37)-SUM('MDA1:NCA9'!AM$31)-SUM('MDA1:NCA9'!AM$32)-SUM('MDA1:NCA9'!AM$34))</f>
        <v>12602.092642833295</v>
      </c>
      <c r="AN49" s="12">
        <f>'Corp.'!AN$50*(AN$37-(AN31-AN32-AN34)*$C$35)/(SUM('MDA1:NCA9'!AN$37)-SUM('MDA1:NCA9'!AN$31)-SUM('MDA1:NCA9'!AN$32)-SUM('MDA1:NCA9'!AN$34))</f>
        <v>14225.100770798073</v>
      </c>
    </row>
    <row r="50" spans="2:40" x14ac:dyDescent="0.25">
      <c r="B50" s="1" t="s">
        <v>332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104139</v>
      </c>
      <c r="AG50" s="13">
        <v>0</v>
      </c>
      <c r="AH50" s="13">
        <v>80589.867132086074</v>
      </c>
      <c r="AI50" s="13">
        <v>115044.18992844202</v>
      </c>
      <c r="AJ50" s="13">
        <v>137448.618447824</v>
      </c>
      <c r="AK50" s="13">
        <v>159756.53169286804</v>
      </c>
      <c r="AL50" s="13">
        <v>182065.0795361152</v>
      </c>
      <c r="AM50" s="13">
        <v>204602.60015376384</v>
      </c>
      <c r="AN50" s="13">
        <v>226589.07753910599</v>
      </c>
    </row>
    <row r="52" spans="2:40" x14ac:dyDescent="0.25">
      <c r="B52" s="1" t="s">
        <v>50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-104139</v>
      </c>
      <c r="AG52" s="74">
        <f t="shared" si="0"/>
        <v>0</v>
      </c>
      <c r="AH52" s="74">
        <f t="shared" si="0"/>
        <v>-35252.35010387146</v>
      </c>
      <c r="AI52" s="74">
        <f t="shared" si="0"/>
        <v>-45906.657724546123</v>
      </c>
      <c r="AJ52" s="74">
        <f t="shared" si="0"/>
        <v>-44511.071068246849</v>
      </c>
      <c r="AK52" s="74">
        <f t="shared" si="0"/>
        <v>-43018.969137609587</v>
      </c>
      <c r="AL52" s="74">
        <f t="shared" si="0"/>
        <v>-41527.501805175474</v>
      </c>
      <c r="AM52" s="74">
        <f t="shared" si="0"/>
        <v>-40265.007247142843</v>
      </c>
      <c r="AN52" s="74">
        <f t="shared" si="0"/>
        <v>-38451.469456803665</v>
      </c>
    </row>
    <row r="53" spans="2:40" x14ac:dyDescent="0.25">
      <c r="E53" s="107" t="str">
        <f>IFERROR(E52/E37,"")</f>
        <v/>
      </c>
      <c r="F53" s="107" t="str">
        <f t="shared" ref="F53:AN53" si="1">IFERROR(F52/F37,"")</f>
        <v/>
      </c>
      <c r="G53" s="107" t="str">
        <f t="shared" si="1"/>
        <v/>
      </c>
      <c r="H53" s="107" t="str">
        <f t="shared" si="1"/>
        <v/>
      </c>
      <c r="I53" s="107" t="str">
        <f t="shared" si="1"/>
        <v/>
      </c>
      <c r="J53" s="107" t="str">
        <f t="shared" si="1"/>
        <v/>
      </c>
      <c r="K53" s="107" t="str">
        <f t="shared" si="1"/>
        <v/>
      </c>
      <c r="L53" s="107" t="str">
        <f t="shared" si="1"/>
        <v/>
      </c>
      <c r="M53" s="107" t="str">
        <f t="shared" si="1"/>
        <v/>
      </c>
      <c r="N53" s="107" t="str">
        <f t="shared" si="1"/>
        <v/>
      </c>
      <c r="O53" s="107" t="str">
        <f t="shared" si="1"/>
        <v/>
      </c>
      <c r="P53" s="107" t="str">
        <f t="shared" si="1"/>
        <v/>
      </c>
      <c r="Q53" s="107" t="str">
        <f t="shared" si="1"/>
        <v/>
      </c>
      <c r="R53" s="107" t="str">
        <f t="shared" si="1"/>
        <v/>
      </c>
      <c r="S53" s="107" t="str">
        <f t="shared" si="1"/>
        <v/>
      </c>
      <c r="T53" s="107" t="str">
        <f t="shared" si="1"/>
        <v/>
      </c>
      <c r="U53" s="107" t="str">
        <f t="shared" si="1"/>
        <v/>
      </c>
      <c r="V53" s="107" t="str">
        <f t="shared" si="1"/>
        <v/>
      </c>
      <c r="W53" s="107" t="str">
        <f t="shared" si="1"/>
        <v/>
      </c>
      <c r="X53" s="107" t="str">
        <f t="shared" si="1"/>
        <v/>
      </c>
      <c r="Y53" s="107" t="str">
        <f t="shared" si="1"/>
        <v/>
      </c>
      <c r="Z53" s="107" t="str">
        <f t="shared" si="1"/>
        <v/>
      </c>
      <c r="AA53" s="107" t="str">
        <f t="shared" si="1"/>
        <v/>
      </c>
      <c r="AB53" s="107" t="str">
        <f t="shared" si="1"/>
        <v/>
      </c>
      <c r="AC53" s="107" t="str">
        <f t="shared" si="1"/>
        <v/>
      </c>
      <c r="AD53" s="107" t="str">
        <f t="shared" si="1"/>
        <v/>
      </c>
      <c r="AE53" s="107" t="str">
        <f t="shared" si="1"/>
        <v/>
      </c>
      <c r="AF53" s="107" t="str">
        <f t="shared" si="1"/>
        <v/>
      </c>
      <c r="AG53" s="107" t="str">
        <f t="shared" si="1"/>
        <v/>
      </c>
      <c r="AH53" s="107">
        <f t="shared" si="1"/>
        <v>-0.77755361154721125</v>
      </c>
      <c r="AI53" s="107">
        <f t="shared" si="1"/>
        <v>-0.66399040088907435</v>
      </c>
      <c r="AJ53" s="107">
        <f t="shared" si="1"/>
        <v>-0.47893528851642658</v>
      </c>
      <c r="AK53" s="107">
        <f t="shared" si="1"/>
        <v>-0.36851008532276225</v>
      </c>
      <c r="AL53" s="107">
        <f t="shared" si="1"/>
        <v>-0.2954903768491029</v>
      </c>
      <c r="AM53" s="107">
        <f t="shared" si="1"/>
        <v>-0.24501397723418039</v>
      </c>
      <c r="AN53" s="107">
        <f t="shared" si="1"/>
        <v>-0.20437949567203362</v>
      </c>
    </row>
    <row r="55" spans="2:40" x14ac:dyDescent="0.25">
      <c r="B55" t="s">
        <v>60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345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2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-29025.142200541704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-30736.39352930235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-31971.644554549363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-33637.645616847098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336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-235279</v>
      </c>
      <c r="AG58" s="13">
        <f t="shared" si="2"/>
        <v>-131140</v>
      </c>
      <c r="AH58" s="13">
        <f t="shared" si="2"/>
        <v>-166392.35010387146</v>
      </c>
      <c r="AI58" s="13">
        <f t="shared" si="2"/>
        <v>-177046.65772454612</v>
      </c>
      <c r="AJ58" s="13">
        <f t="shared" si="2"/>
        <v>-175651.07106824685</v>
      </c>
      <c r="AK58" s="13">
        <f t="shared" si="2"/>
        <v>-203184.1113381513</v>
      </c>
      <c r="AL58" s="13">
        <f t="shared" si="2"/>
        <v>-72263.895334477827</v>
      </c>
      <c r="AM58" s="13">
        <f t="shared" si="2"/>
        <v>-72236.651801692205</v>
      </c>
      <c r="AN58" s="13">
        <f t="shared" si="2"/>
        <v>-72089.115073650755</v>
      </c>
    </row>
    <row r="59" spans="2:40" x14ac:dyDescent="0.25">
      <c r="B59" t="s">
        <v>337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-235279</v>
      </c>
      <c r="AG59" s="12">
        <v>-366419</v>
      </c>
      <c r="AH59" s="12">
        <v>-532811.35010387143</v>
      </c>
      <c r="AI59" s="12">
        <v>-709858.00782841758</v>
      </c>
      <c r="AJ59" s="12">
        <v>-885509.07889666443</v>
      </c>
      <c r="AK59" s="12">
        <v>-1088693.1902348157</v>
      </c>
      <c r="AL59" s="12">
        <v>-1160957.0855692935</v>
      </c>
      <c r="AM59" s="12">
        <v>-1233193.7373709856</v>
      </c>
      <c r="AN59" s="12">
        <v>-1305282.8524446364</v>
      </c>
    </row>
    <row r="61" spans="2:40" x14ac:dyDescent="0.25">
      <c r="B61" s="1" t="s">
        <v>366</v>
      </c>
    </row>
    <row r="63" spans="2:40" x14ac:dyDescent="0.25">
      <c r="B63" s="39" t="s">
        <v>116</v>
      </c>
      <c r="E63" s="12" cm="1">
        <f t="array" ref="E63:AN63">_xlfn.LET(_xlpm.site,$B$1&amp;"-"&amp;$C$1,_xlpm.locations,Base!$D$4:$BD$4,_xlpm.rates,Base!$D$36:$BD$36,_xlpm.hours,Base!$D$79:$BD$79,_xlpm.comp,_xlpm.rates*_xlpm.hours,_xlpm.census,_xlfn.ANCHORARRAY($E$1),
_xlpm.census_comp,_xlfn.XLOOKUP(_xlpm.site,_xlpm.locations,_xlpm.comp,0,0),_xlpm.ann_incr,_xlfn.XLOOKUP(YEAR(_xlfn.ANCHORARRAY($E$25)),Base!$BJ$4:$BL$4,Base!$BJ$79:$BL$79,0,0),
_xlpm.bad_debt,_xlfn.XLOOKUP(_xlpm.site,_xlpm.locations,Base!$D$28:$BD$28,0,0),_xlpm.census_comp*_xlpm.census*_xlpm.bad_debt*_xlpm.ann_incr*(52/12)*(1-$C$35))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1346.9342361446402</v>
      </c>
      <c r="AI63" s="12">
        <v>2693.8684722892804</v>
      </c>
      <c r="AJ63" s="12">
        <v>4040.8027084339196</v>
      </c>
      <c r="AK63" s="12">
        <v>5387.7369445785607</v>
      </c>
      <c r="AL63" s="12">
        <v>6734.6711807232014</v>
      </c>
      <c r="AM63" s="12">
        <v>8081.6054168678393</v>
      </c>
      <c r="AN63" s="12">
        <v>9428.5396530124799</v>
      </c>
    </row>
    <row r="64" spans="2:40" x14ac:dyDescent="0.25">
      <c r="B64" s="39" t="s">
        <v>117</v>
      </c>
      <c r="E64" s="12" cm="1">
        <f t="array" ref="E64:AN64">_xlfn.LET(_xlpm.site,$B$1&amp;"-"&amp;$C$1,_xlpm.locations,Base!$D$4:$BD$4,_xlpm.rates,Base!$D$37:$BD$37,_xlpm.hours,Base!$D$80:$BD$80,_xlpm.comp,_xlpm.rates*_xlpm.hours,_xlpm.census,_xlfn.ANCHORARRAY($E$1),
_xlpm.census_comp,_xlfn.XLOOKUP(_xlpm.site,_xlpm.locations,_xlpm.comp,0,0),_xlpm.ann_incr,_xlfn.XLOOKUP(YEAR(_xlfn.ANCHORARRAY($E$25)),Base!$BJ$4:$BL$4,Base!$BJ$80:$BL$80,0,0),
_xlpm.bad_debt,_xlfn.XLOOKUP(_xlpm.site,_xlpm.locations,Base!$D$28:$BD$28,0,0),_xlpm.census_comp*_xlpm.census*_xlpm.bad_debt*_xlpm.ann_incr*(52/12)*(1-$C$35))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364.20187326336008</v>
      </c>
      <c r="AI64" s="12">
        <v>728.40374652672017</v>
      </c>
      <c r="AJ64" s="12">
        <v>1092.6056197900805</v>
      </c>
      <c r="AK64" s="12">
        <v>1456.8074930534403</v>
      </c>
      <c r="AL64" s="12">
        <v>1821.0093663168002</v>
      </c>
      <c r="AM64" s="12">
        <v>2185.211239580161</v>
      </c>
      <c r="AN64" s="12">
        <v>2549.4131128435206</v>
      </c>
    </row>
    <row r="65" spans="2:40" x14ac:dyDescent="0.25">
      <c r="B65" s="39" t="s">
        <v>59</v>
      </c>
      <c r="E65" s="12" cm="1">
        <f t="array" ref="E65:AN65">_xlfn.LET(_xlpm.site,$B$1&amp;"-"&amp;$C$1,_xlpm.locations,Base!$D$4:$BD$4,_xlpm.rates,Base!$D$39:$BD$39,_xlpm.hours,Base!$D$82:$BD$82,_xlpm.comp,_xlpm.rates*_xlpm.hours,_xlpm.census,_xlfn.ANCHORARRAY($E$1),
_xlpm.census_comp,_xlfn.XLOOKUP(_xlpm.site,_xlpm.locations,_xlpm.comp,0,0),_xlpm.ann_incr,_xlfn.XLOOKUP(YEAR(_xlfn.ANCHORARRAY($E$25)),Base!$BJ$4:$BL$4,Base!$BJ$82:$BL$82,0,0),
_xlpm.bad_debt,_xlfn.XLOOKUP(_xlpm.site,_xlpm.locations,Base!$D$28:$BD$28,0,0),_xlpm.census_comp*_xlpm.census*_xlpm.bad_debt*_xlpm.ann_incr*(52/12)*(1-$C$35))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1003.8872385484801</v>
      </c>
      <c r="AI65" s="12">
        <v>2007.7744770969603</v>
      </c>
      <c r="AJ65" s="12">
        <v>3011.6617156454399</v>
      </c>
      <c r="AK65" s="12">
        <v>4015.5489541939205</v>
      </c>
      <c r="AL65" s="12">
        <v>5019.4361927424006</v>
      </c>
      <c r="AM65" s="12">
        <v>6023.3234312908799</v>
      </c>
      <c r="AN65" s="12">
        <v>7027.2106698393609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367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2715.0233479564804</v>
      </c>
      <c r="AI67" s="13">
        <v>5430.0466959129608</v>
      </c>
      <c r="AJ67" s="13">
        <v>8145.0700438694403</v>
      </c>
      <c r="AK67" s="13">
        <v>10860.093391825922</v>
      </c>
      <c r="AL67" s="13">
        <v>13575.116739782403</v>
      </c>
      <c r="AM67" s="13">
        <v>16290.140087738881</v>
      </c>
      <c r="AN67" s="13">
        <v>19005.163435695362</v>
      </c>
    </row>
    <row r="68" spans="2:40" x14ac:dyDescent="0.25">
      <c r="B68" s="39"/>
      <c r="C68" s="12"/>
    </row>
    <row r="69" spans="2:40" x14ac:dyDescent="0.25">
      <c r="B69" s="39" t="s">
        <v>368</v>
      </c>
      <c r="C69" s="12"/>
      <c r="E69" s="108" cm="1">
        <f t="array" ref="E69:AN70">_xlfn.LET(_xlpm.census_staff,_xlfn._xlws.FILTER(Base!$D$96:$BD$97,ISNUMBER(SEARCH($B$1&amp;"-"&amp;$C$1,Base!$D$4:$BD$4))),_xlpm.census,_xlfn.ANCHORARRAY($E$1),_xlpm.headcount,_xlpm.census/_xlpm.census_staff,
_xlpm.rounding,_xlfn.VSTACK(0,0),IFERROR(ROUND(_xlpm.headcount,_xlpm.rounding),0))</f>
        <v>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1</v>
      </c>
    </row>
    <row r="70" spans="2:40" x14ac:dyDescent="0.25">
      <c r="B70" s="39" t="s">
        <v>369</v>
      </c>
      <c r="C70" s="12"/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761.52099071064936</v>
      </c>
      <c r="AI72" s="12">
        <v>1523.0419814212987</v>
      </c>
      <c r="AJ72" s="12">
        <v>2284.5629721319478</v>
      </c>
      <c r="AK72" s="12">
        <v>3046.0839628425974</v>
      </c>
      <c r="AL72" s="12">
        <v>3807.604953553247</v>
      </c>
      <c r="AM72" s="12">
        <v>4569.1259442638957</v>
      </c>
      <c r="AN72" s="12">
        <v>22033.486934974546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370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1953.502357245831</v>
      </c>
      <c r="AI75" s="74">
        <v>3907.0047144916621</v>
      </c>
      <c r="AJ75" s="74">
        <v>5860.5070717374929</v>
      </c>
      <c r="AK75" s="74">
        <v>7814.0094289833241</v>
      </c>
      <c r="AL75" s="74">
        <v>9767.5117862291554</v>
      </c>
      <c r="AM75" s="74">
        <v>11721.014143474986</v>
      </c>
      <c r="AN75" s="74">
        <v>-3028.323499279184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16fb86c-95ac-4b2a-8446-4801da4353f7" xsi:nil="true"/>
    <lcf76f155ced4ddcb4097134ff3c332f xmlns="c09d9172-065e-46bf-9c47-45e58c6590a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F5114595E9049893FDE46CD07FF86" ma:contentTypeVersion="11" ma:contentTypeDescription="Create a new document." ma:contentTypeScope="" ma:versionID="94066622f23678c569143b959763077e">
  <xsd:schema xmlns:xsd="http://www.w3.org/2001/XMLSchema" xmlns:xs="http://www.w3.org/2001/XMLSchema" xmlns:p="http://schemas.microsoft.com/office/2006/metadata/properties" xmlns:ns2="c09d9172-065e-46bf-9c47-45e58c6590a2" xmlns:ns3="116fb86c-95ac-4b2a-8446-4801da4353f7" targetNamespace="http://schemas.microsoft.com/office/2006/metadata/properties" ma:root="true" ma:fieldsID="ebb24598c44c251b51f456dd82b48a7b" ns2:_="" ns3:_="">
    <xsd:import namespace="c09d9172-065e-46bf-9c47-45e58c6590a2"/>
    <xsd:import namespace="116fb86c-95ac-4b2a-8446-4801da4353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9d9172-065e-46bf-9c47-45e58c6590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d1e2a36-cd3b-4d99-8ed8-cf4066d268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fb86c-95ac-4b2a-8446-4801da4353f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ac6079c-ea5f-4eef-a678-9efdde1742b8}" ma:internalName="TaxCatchAll" ma:showField="CatchAllData" ma:web="116fb86c-95ac-4b2a-8446-4801da4353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E2A015-EC63-4B5A-A83D-E8A34027493D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116fb86c-95ac-4b2a-8446-4801da4353f7"/>
    <ds:schemaRef ds:uri="c09d9172-065e-46bf-9c47-45e58c6590a2"/>
  </ds:schemaRefs>
</ds:datastoreItem>
</file>

<file path=customXml/itemProps2.xml><?xml version="1.0" encoding="utf-8"?>
<ds:datastoreItem xmlns:ds="http://schemas.openxmlformats.org/officeDocument/2006/customXml" ds:itemID="{233B124A-3D63-4B87-BDFC-EE506FBFBE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9d9172-065e-46bf-9c47-45e58c6590a2"/>
    <ds:schemaRef ds:uri="116fb86c-95ac-4b2a-8446-4801da4353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F9BEBA-9F41-4EF5-A6CF-CCEC35C631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3</vt:i4>
      </vt:variant>
    </vt:vector>
  </HeadingPairs>
  <TitlesOfParts>
    <vt:vector size="69" baseType="lpstr">
      <vt:lpstr>Summary Sheets</vt:lpstr>
      <vt:lpstr>Base</vt:lpstr>
      <vt:lpstr>CAPEX</vt:lpstr>
      <vt:lpstr>P&amp;Ls</vt:lpstr>
      <vt:lpstr>Summary</vt:lpstr>
      <vt:lpstr>JV1</vt:lpstr>
      <vt:lpstr>JV2</vt:lpstr>
      <vt:lpstr>All</vt:lpstr>
      <vt:lpstr>JV1-Monthly</vt:lpstr>
      <vt:lpstr>JV2-Monthly</vt:lpstr>
      <vt:lpstr>Monthly</vt:lpstr>
      <vt:lpstr>Corp.</vt:lpstr>
      <vt:lpstr>QTR</vt:lpstr>
      <vt:lpstr>Sites</vt:lpstr>
      <vt:lpstr>MS</vt:lpstr>
      <vt:lpstr>AAPL</vt:lpstr>
      <vt:lpstr>NF</vt:lpstr>
      <vt:lpstr>META</vt:lpstr>
      <vt:lpstr>MDA1</vt:lpstr>
      <vt:lpstr>MDB1</vt:lpstr>
      <vt:lpstr>MDA3</vt:lpstr>
      <vt:lpstr>MDB2</vt:lpstr>
      <vt:lpstr>GBA1</vt:lpstr>
      <vt:lpstr>GBB1</vt:lpstr>
      <vt:lpstr>AZB1</vt:lpstr>
      <vt:lpstr>NJA1</vt:lpstr>
      <vt:lpstr>NJA2</vt:lpstr>
      <vt:lpstr>NJA3</vt:lpstr>
      <vt:lpstr>NJB1</vt:lpstr>
      <vt:lpstr>NJA4</vt:lpstr>
      <vt:lpstr>NJB2</vt:lpstr>
      <vt:lpstr>NJA5</vt:lpstr>
      <vt:lpstr>NJB3</vt:lpstr>
      <vt:lpstr>NJA6</vt:lpstr>
      <vt:lpstr>NJA7</vt:lpstr>
      <vt:lpstr>NJB4</vt:lpstr>
      <vt:lpstr>NJ2601-C</vt:lpstr>
      <vt:lpstr>NJ2601-H</vt:lpstr>
      <vt:lpstr>NJ2602-C</vt:lpstr>
      <vt:lpstr>NJ2602-H</vt:lpstr>
      <vt:lpstr>NJ2701-C</vt:lpstr>
      <vt:lpstr>NJ2701-H</vt:lpstr>
      <vt:lpstr>NJ2702-C</vt:lpstr>
      <vt:lpstr>NJ2702-H</vt:lpstr>
      <vt:lpstr>NJ2703-C</vt:lpstr>
      <vt:lpstr>NJ2704-C</vt:lpstr>
      <vt:lpstr>NJ2704-H</vt:lpstr>
      <vt:lpstr>NJ2705-C</vt:lpstr>
      <vt:lpstr>NJ2801-C</vt:lpstr>
      <vt:lpstr>NJ2801-H</vt:lpstr>
      <vt:lpstr>NJ2802-C</vt:lpstr>
      <vt:lpstr>NJ2802-H</vt:lpstr>
      <vt:lpstr>NJ2803-C</vt:lpstr>
      <vt:lpstr>NJ2804-C</vt:lpstr>
      <vt:lpstr>NJ2805-C</vt:lpstr>
      <vt:lpstr>NJ2806-H</vt:lpstr>
      <vt:lpstr>MD2601-C</vt:lpstr>
      <vt:lpstr>MD2601-H</vt:lpstr>
      <vt:lpstr>MD2701-C</vt:lpstr>
      <vt:lpstr>MD2801-C</vt:lpstr>
      <vt:lpstr>NC2601-C</vt:lpstr>
      <vt:lpstr>NC-2026-02</vt:lpstr>
      <vt:lpstr>NC2701-C</vt:lpstr>
      <vt:lpstr>AZB2</vt:lpstr>
      <vt:lpstr>AZB3</vt:lpstr>
      <vt:lpstr>NCA9</vt:lpstr>
      <vt:lpstr>'Summary Sheets'!Print_Area</vt:lpstr>
      <vt:lpstr>All!Print_Titles</vt:lpstr>
      <vt:lpstr>'JV1'!Print_Titles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Song</dc:creator>
  <cp:keywords/>
  <dc:description/>
  <cp:lastModifiedBy>Nicholas Song</cp:lastModifiedBy>
  <cp:revision/>
  <cp:lastPrinted>2025-09-17T03:45:08Z</cp:lastPrinted>
  <dcterms:created xsi:type="dcterms:W3CDTF">2025-08-21T18:57:49Z</dcterms:created>
  <dcterms:modified xsi:type="dcterms:W3CDTF">2025-09-18T04:21:31Z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0x010100230F5114595E9049893FDE46CD07FF86</vt:lpwstr>
  </property>
  <property fmtid="{D5CDD505-2E9C-101B-9397-08002B2CF9AE}" pid="3" name="MediaServiceImageTags">
    <vt:lpwstr/>
  </property>
</Properties>
</file>