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3\GC gas data 2023\Calculations\Aug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51" l="1"/>
  <c r="N7" i="51" l="1"/>
  <c r="M10" i="43"/>
  <c r="C17" i="45" l="1"/>
  <c r="D17" i="45"/>
  <c r="E17" i="45"/>
  <c r="F17" i="45"/>
  <c r="G17" i="45" s="1"/>
  <c r="J17" i="45" s="1"/>
  <c r="H17" i="45"/>
  <c r="I17" i="45" s="1"/>
  <c r="C18" i="45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7" i="45"/>
  <c r="D37" i="45"/>
  <c r="E37" i="45"/>
  <c r="F37" i="45"/>
  <c r="G37" i="45"/>
  <c r="J37" i="45" s="1"/>
  <c r="H37" i="45"/>
  <c r="I37" i="45" s="1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M17" i="45"/>
  <c r="N17" i="45" s="1"/>
  <c r="O17" i="45" s="1"/>
  <c r="L18" i="45"/>
  <c r="M18" i="45" s="1"/>
  <c r="N18" i="45" s="1"/>
  <c r="O18" i="45" s="1"/>
  <c r="M37" i="45"/>
  <c r="N37" i="45" s="1"/>
  <c r="O37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D18" i="43"/>
  <c r="H18" i="43" s="1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5" i="45" l="1"/>
  <c r="G35" i="45"/>
  <c r="G36" i="45"/>
  <c r="F12" i="45"/>
  <c r="G12" i="45" s="1"/>
  <c r="Y31" i="51"/>
  <c r="F33" i="45" s="1"/>
  <c r="G33" i="45" s="1"/>
  <c r="Y35" i="51"/>
  <c r="X17" i="51"/>
  <c r="X13" i="51"/>
  <c r="E14" i="45" s="1"/>
  <c r="Y32" i="51"/>
  <c r="F34" i="45" s="1"/>
  <c r="G34" i="45" s="1"/>
  <c r="W16" i="5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L14" i="43"/>
  <c r="L15" i="43"/>
  <c r="L16" i="43"/>
  <c r="L17" i="43"/>
  <c r="L18" i="43"/>
  <c r="D11" i="43"/>
  <c r="D12" i="43"/>
  <c r="D13" i="43"/>
  <c r="H12" i="45" l="1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J36" i="45"/>
  <c r="M36" i="45" s="1"/>
  <c r="N36" i="45" s="1"/>
  <c r="O36" i="45" s="1"/>
  <c r="I36" i="45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<sst xmlns="http://schemas.openxmlformats.org/spreadsheetml/2006/main" count="288" uniqueCount="76">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</sst>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2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6" borderId="1" xfId="1" applyFont="1" applyFill="1" applyBorder="1"/>
    <xf numFmtId="2" fontId="7" fillId="6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4" xfId="1" applyFont="1" applyFill="1" applyBorder="1"/>
    <xf numFmtId="0" fontId="2" fillId="6" borderId="5" xfId="2" applyFont="1" applyFill="1" applyBorder="1"/>
    <xf numFmtId="0" fontId="2" fillId="6" borderId="5" xfId="1" applyFont="1" applyFill="1" applyBorder="1"/>
    <xf numFmtId="0" fontId="2" fillId="6" borderId="6" xfId="1" applyFont="1" applyFill="1" applyBorder="1"/>
    <xf numFmtId="2" fontId="2" fillId="6" borderId="4" xfId="2" applyNumberFormat="1" applyFont="1" applyFill="1" applyBorder="1" applyAlignment="1">
      <alignment horizontal="center"/>
    </xf>
    <xf numFmtId="0" fontId="2" fillId="6" borderId="4" xfId="2" applyFont="1" applyFill="1" applyBorder="1" applyAlignment="1">
      <alignment horizontal="center"/>
    </xf>
    <xf numFmtId="0" fontId="7" fillId="6" borderId="4" xfId="1" applyFont="1" applyFill="1" applyBorder="1"/>
    <xf numFmtId="2" fontId="2" fillId="18" borderId="5" xfId="2" applyNumberFormat="1" applyFont="1" applyFill="1" applyBorder="1" applyAlignment="1">
      <alignment horizontal="center"/>
    </xf>
    <xf numFmtId="2" fontId="2" fillId="6" borderId="7" xfId="2" applyNumberFormat="1" applyFont="1" applyFill="1" applyBorder="1" applyAlignment="1">
      <alignment horizontal="center"/>
    </xf>
    <xf numFmtId="2" fontId="2" fillId="6" borderId="8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0" fillId="19" borderId="0" xfId="0" applyFill="1"/>
    <xf numFmtId="0" fontId="7" fillId="20" borderId="9" xfId="1" applyFont="1" applyFill="1" applyBorder="1" applyAlignment="1">
      <alignment horizontal="center" vertical="center"/>
    </xf>
    <xf numFmtId="0" fontId="7" fillId="20" borderId="10" xfId="1" applyFont="1" applyFill="1" applyBorder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2" fillId="0" borderId="0" xfId="1" applyFont="1" applyFill="1" applyAlignment="1">
      <alignment horizontal="center" wrapText="1"/>
    </xf>
    <xf numFmtId="0" fontId="9" fillId="11" borderId="0" xfId="1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9" fillId="10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1" fillId="0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O24" sqref="O24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77" t="s">
        <v>8</v>
      </c>
      <c r="D6" s="177"/>
      <c r="E6" s="177"/>
      <c r="F6" s="177"/>
      <c r="G6" s="177"/>
      <c r="H6" s="177"/>
      <c r="I6" s="76" t="s">
        <v>9</v>
      </c>
      <c r="J6" s="178" t="s">
        <v>10</v>
      </c>
      <c r="K6" s="178"/>
      <c r="L6" s="75" t="s">
        <v>40</v>
      </c>
      <c r="M6" s="77" t="s">
        <v>37</v>
      </c>
      <c r="Q6" s="175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5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66" t="s">
        <v>68</v>
      </c>
      <c r="B10" s="4"/>
      <c r="C10" s="34">
        <v>7.62</v>
      </c>
      <c r="D10" s="38">
        <f>AVERAGE(B38:B41)</f>
        <v>-9.5</v>
      </c>
      <c r="E10" s="165">
        <v>76.2</v>
      </c>
      <c r="F10" s="158"/>
      <c r="G10" s="92"/>
      <c r="H10" s="39">
        <f>SUM(C10:G10)</f>
        <v>74.320000000000007</v>
      </c>
      <c r="I10" s="34">
        <v>14.75</v>
      </c>
      <c r="J10" s="23">
        <f>3.141592654*(I10*I10)*H10</f>
        <v>50797.181312726236</v>
      </c>
      <c r="K10" s="37">
        <f t="shared" ref="K10:K11" si="0">J10/1000</f>
        <v>50.797181312726238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-9.5</v>
      </c>
      <c r="Q10" s="74"/>
    </row>
    <row r="11" spans="1:17" ht="12.75" x14ac:dyDescent="0.2">
      <c r="A11" s="167" t="s">
        <v>69</v>
      </c>
      <c r="B11" s="4"/>
      <c r="C11" s="34">
        <v>7.62</v>
      </c>
      <c r="D11" s="39">
        <f>AVERAGE(C38:C41)</f>
        <v>-10</v>
      </c>
      <c r="E11" s="165">
        <v>76.2</v>
      </c>
      <c r="F11" s="158"/>
      <c r="G11" s="92"/>
      <c r="H11" s="39">
        <f t="shared" ref="H11" si="1">SUM(C11:G11)</f>
        <v>73.820000000000007</v>
      </c>
      <c r="I11" s="34">
        <v>14.75</v>
      </c>
      <c r="J11" s="23">
        <f t="shared" ref="J11" si="2">3.141592654*(I11*I11)*H11</f>
        <v>50455.434936833299</v>
      </c>
      <c r="K11" s="37">
        <f t="shared" si="0"/>
        <v>50.455434936833299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-10</v>
      </c>
      <c r="Q11" s="74"/>
    </row>
    <row r="12" spans="1:17" ht="12.75" x14ac:dyDescent="0.2">
      <c r="A12" s="167" t="s">
        <v>70</v>
      </c>
      <c r="B12" s="4"/>
      <c r="C12" s="34">
        <v>7.62</v>
      </c>
      <c r="D12" s="38">
        <f>AVERAGE(D38:D41)</f>
        <v>-9.25</v>
      </c>
      <c r="E12" s="165">
        <v>76.2</v>
      </c>
      <c r="F12" s="158"/>
      <c r="G12" s="92"/>
      <c r="H12" s="39">
        <f t="shared" ref="H12:H21" si="4">SUM(C12:G12)</f>
        <v>74.570000000000007</v>
      </c>
      <c r="I12" s="34">
        <v>14.75</v>
      </c>
      <c r="J12" s="23">
        <f t="shared" ref="J12:J21" si="5">3.141592654*(I12*I12)*H12</f>
        <v>50968.054500672704</v>
      </c>
      <c r="K12" s="37">
        <f t="shared" ref="K12:K21" si="6">J12/1000</f>
        <v>50.968054500672707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-9.25</v>
      </c>
      <c r="Q12" s="74"/>
    </row>
    <row r="13" spans="1:17" ht="10.9" customHeight="1" x14ac:dyDescent="0.2">
      <c r="A13" s="167" t="s">
        <v>71</v>
      </c>
      <c r="B13" s="4"/>
      <c r="C13" s="34">
        <v>7.62</v>
      </c>
      <c r="D13" s="38">
        <f>AVERAGE(E38:E41)</f>
        <v>-10</v>
      </c>
      <c r="E13" s="165">
        <v>76.2</v>
      </c>
      <c r="F13" s="158"/>
      <c r="G13" s="92"/>
      <c r="H13" s="39">
        <f t="shared" si="4"/>
        <v>73.820000000000007</v>
      </c>
      <c r="I13" s="34">
        <v>14.75</v>
      </c>
      <c r="J13" s="23">
        <f t="shared" si="5"/>
        <v>50455.434936833299</v>
      </c>
      <c r="K13" s="37">
        <f t="shared" si="6"/>
        <v>50.455434936833299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-10</v>
      </c>
      <c r="Q13" s="74"/>
    </row>
    <row r="14" spans="1:17" s="56" customFormat="1" ht="12.75" x14ac:dyDescent="0.2">
      <c r="A14" s="167" t="s">
        <v>72</v>
      </c>
      <c r="B14" s="4"/>
      <c r="C14" s="34">
        <v>7.62</v>
      </c>
      <c r="D14" s="62">
        <f>AVERAGE(F38:F41)</f>
        <v>-9.5</v>
      </c>
      <c r="E14" s="165">
        <v>76.2</v>
      </c>
      <c r="F14" s="159"/>
      <c r="G14" s="98"/>
      <c r="H14" s="39">
        <f t="shared" si="4"/>
        <v>74.320000000000007</v>
      </c>
      <c r="I14" s="34">
        <v>14.75</v>
      </c>
      <c r="J14" s="23">
        <f t="shared" si="5"/>
        <v>50797.181312726236</v>
      </c>
      <c r="K14" s="37">
        <f t="shared" si="6"/>
        <v>50.797181312726238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-9.5</v>
      </c>
    </row>
    <row r="15" spans="1:17" ht="12.75" x14ac:dyDescent="0.2">
      <c r="A15" s="167" t="s">
        <v>73</v>
      </c>
      <c r="B15" s="4"/>
      <c r="C15" s="34">
        <v>7.62</v>
      </c>
      <c r="D15" s="62">
        <f>AVERAGE(G38:G41)</f>
        <v>-9.75</v>
      </c>
      <c r="E15" s="165">
        <v>76.2</v>
      </c>
      <c r="F15" s="159"/>
      <c r="G15" s="98"/>
      <c r="H15" s="39">
        <f t="shared" si="4"/>
        <v>74.070000000000007</v>
      </c>
      <c r="I15" s="34">
        <v>14.75</v>
      </c>
      <c r="J15" s="23">
        <f t="shared" si="5"/>
        <v>50626.308124779767</v>
      </c>
      <c r="K15" s="37">
        <f t="shared" si="6"/>
        <v>50.626308124779769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-9.75</v>
      </c>
    </row>
    <row r="16" spans="1:17" ht="12.75" x14ac:dyDescent="0.2">
      <c r="A16" s="167" t="s">
        <v>74</v>
      </c>
      <c r="B16" s="4"/>
      <c r="C16" s="34">
        <v>7.62</v>
      </c>
      <c r="D16" s="62">
        <f>AVERAGE(H38:H41)</f>
        <v>-9.5</v>
      </c>
      <c r="E16" s="162">
        <v>76.2</v>
      </c>
      <c r="F16" s="160"/>
      <c r="G16" s="97"/>
      <c r="H16" s="39">
        <f t="shared" si="4"/>
        <v>74.320000000000007</v>
      </c>
      <c r="I16" s="34">
        <v>14.75</v>
      </c>
      <c r="J16" s="23">
        <f t="shared" si="5"/>
        <v>50797.181312726236</v>
      </c>
      <c r="K16" s="37">
        <f t="shared" si="6"/>
        <v>50.797181312726238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-9.5</v>
      </c>
    </row>
    <row r="17" spans="1:16" ht="13.5" thickBot="1" x14ac:dyDescent="0.25">
      <c r="A17" s="168" t="s">
        <v>75</v>
      </c>
      <c r="B17" s="4"/>
      <c r="C17" s="34">
        <v>7.62</v>
      </c>
      <c r="D17" s="62">
        <f>AVERAGE(I38:I41)</f>
        <v>-10</v>
      </c>
      <c r="E17" s="162">
        <v>76.2</v>
      </c>
      <c r="F17" s="160"/>
      <c r="G17" s="97"/>
      <c r="H17" s="39">
        <f t="shared" si="4"/>
        <v>73.820000000000007</v>
      </c>
      <c r="I17" s="34">
        <v>14.75</v>
      </c>
      <c r="J17" s="23">
        <f t="shared" si="5"/>
        <v>50455.434936833299</v>
      </c>
      <c r="K17" s="37">
        <f t="shared" si="6"/>
        <v>50.455434936833299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-10</v>
      </c>
    </row>
    <row r="18" spans="1:16" ht="13.5" thickBot="1" x14ac:dyDescent="0.25">
      <c r="A18" s="121"/>
      <c r="B18" s="4"/>
      <c r="C18" s="34">
        <v>7.62</v>
      </c>
      <c r="D18" s="62" t="e">
        <f>AVERAGE(J38:J41)</f>
        <v>#DIV/0!</v>
      </c>
      <c r="E18" s="163"/>
      <c r="F18" s="160"/>
      <c r="G18" s="97"/>
      <c r="H18" s="39" t="e">
        <f t="shared" si="4"/>
        <v>#DIV/0!</v>
      </c>
      <c r="I18" s="34">
        <v>14.75</v>
      </c>
      <c r="J18" s="23" t="e">
        <f t="shared" si="5"/>
        <v>#DIV/0!</v>
      </c>
      <c r="K18" s="37" t="e">
        <f t="shared" si="6"/>
        <v>#DIV/0!</v>
      </c>
      <c r="L18" s="35">
        <f t="shared" si="3"/>
        <v>683.49275178587504</v>
      </c>
      <c r="M18" s="15" t="e">
        <f>AVERAGE(J48:J51)</f>
        <v>#DIV/0!</v>
      </c>
    </row>
    <row r="19" spans="1:16" s="153" customFormat="1" ht="12.75" x14ac:dyDescent="0.2">
      <c r="A19" s="142" t="s">
        <v>66</v>
      </c>
      <c r="B19" s="143"/>
      <c r="C19" s="144">
        <v>7.62</v>
      </c>
      <c r="D19" s="145" t="e">
        <f>AVERAGE(K38:K41)</f>
        <v>#DIV/0!</v>
      </c>
      <c r="E19" s="161"/>
      <c r="F19" s="147"/>
      <c r="G19" s="147"/>
      <c r="H19" s="148" t="e">
        <f t="shared" si="4"/>
        <v>#DIV/0!</v>
      </c>
      <c r="I19" s="144">
        <v>14.75</v>
      </c>
      <c r="J19" s="149" t="e">
        <f t="shared" si="5"/>
        <v>#DIV/0!</v>
      </c>
      <c r="K19" s="150" t="e">
        <f t="shared" si="6"/>
        <v>#DIV/0!</v>
      </c>
      <c r="L19" s="151">
        <f t="shared" si="3"/>
        <v>683.49275178587504</v>
      </c>
      <c r="M19" s="152" t="e">
        <f>AVERAGE(K48:K51)</f>
        <v>#DIV/0!</v>
      </c>
    </row>
    <row r="20" spans="1:16" s="153" customFormat="1" ht="12.75" x14ac:dyDescent="0.2">
      <c r="A20" s="142" t="s">
        <v>66</v>
      </c>
      <c r="B20" s="143"/>
      <c r="C20" s="144">
        <v>7.62</v>
      </c>
      <c r="D20" s="145" t="e">
        <f>AVERAGE(L38:L41)</f>
        <v>#DIV/0!</v>
      </c>
      <c r="E20" s="146"/>
      <c r="F20" s="147"/>
      <c r="G20" s="147"/>
      <c r="H20" s="148" t="e">
        <f t="shared" si="4"/>
        <v>#DIV/0!</v>
      </c>
      <c r="I20" s="144">
        <v>14.75</v>
      </c>
      <c r="J20" s="149" t="e">
        <f t="shared" si="5"/>
        <v>#DIV/0!</v>
      </c>
      <c r="K20" s="150" t="e">
        <f t="shared" si="6"/>
        <v>#DIV/0!</v>
      </c>
      <c r="L20" s="151">
        <f t="shared" si="3"/>
        <v>683.49275178587504</v>
      </c>
      <c r="M20" s="152" t="e">
        <f>AVERAGE(L48:L51)</f>
        <v>#DIV/0!</v>
      </c>
    </row>
    <row r="21" spans="1:16" s="153" customFormat="1" ht="12.75" x14ac:dyDescent="0.2">
      <c r="A21" s="142" t="s">
        <v>66</v>
      </c>
      <c r="B21" s="143"/>
      <c r="C21" s="144">
        <v>7.62</v>
      </c>
      <c r="D21" s="145" t="e">
        <f>AVERAGE(M38:M41)</f>
        <v>#DIV/0!</v>
      </c>
      <c r="E21" s="146"/>
      <c r="F21" s="147"/>
      <c r="G21" s="147"/>
      <c r="H21" s="148" t="e">
        <f t="shared" si="4"/>
        <v>#DIV/0!</v>
      </c>
      <c r="I21" s="144">
        <v>14.75</v>
      </c>
      <c r="J21" s="149" t="e">
        <f t="shared" si="5"/>
        <v>#DIV/0!</v>
      </c>
      <c r="K21" s="150" t="e">
        <f t="shared" si="6"/>
        <v>#DIV/0!</v>
      </c>
      <c r="L21" s="151">
        <f t="shared" si="3"/>
        <v>683.49275178587504</v>
      </c>
      <c r="M21" s="152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101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21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9"/>
      <c r="G35" s="99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6" t="s">
        <v>18</v>
      </c>
      <c r="C36" s="176"/>
      <c r="D36" s="176"/>
      <c r="E36" s="176"/>
      <c r="F36" s="176" t="s">
        <v>18</v>
      </c>
      <c r="G36" s="176"/>
      <c r="H36" s="176"/>
      <c r="I36" s="176"/>
      <c r="J36" s="176" t="s">
        <v>18</v>
      </c>
      <c r="K36" s="176"/>
      <c r="L36" s="176"/>
      <c r="M36" s="176"/>
      <c r="O36" s="10"/>
    </row>
    <row r="37" spans="1:22" s="33" customFormat="1" ht="12.75" customHeight="1" thickBot="1" x14ac:dyDescent="0.25">
      <c r="A37" s="21" t="s">
        <v>13</v>
      </c>
      <c r="B37" s="166" t="s">
        <v>68</v>
      </c>
      <c r="C37" s="167" t="s">
        <v>69</v>
      </c>
      <c r="D37" s="167" t="s">
        <v>70</v>
      </c>
      <c r="E37" s="167" t="s">
        <v>71</v>
      </c>
      <c r="F37" s="167" t="s">
        <v>72</v>
      </c>
      <c r="G37" s="167" t="s">
        <v>73</v>
      </c>
      <c r="H37" s="167" t="s">
        <v>74</v>
      </c>
      <c r="I37" s="168" t="s">
        <v>75</v>
      </c>
      <c r="J37" s="120"/>
      <c r="K37" s="120" t="s">
        <v>66</v>
      </c>
      <c r="L37" s="120" t="s">
        <v>66</v>
      </c>
      <c r="M37" s="120" t="s">
        <v>66</v>
      </c>
      <c r="O37" s="10"/>
    </row>
    <row r="38" spans="1:22" s="33" customFormat="1" ht="13.5" thickBot="1" x14ac:dyDescent="0.25">
      <c r="A38" s="12">
        <v>1</v>
      </c>
      <c r="B38" s="10">
        <v>-9.5</v>
      </c>
      <c r="C38" s="10">
        <v>-10</v>
      </c>
      <c r="D38" s="10">
        <v>-9.25</v>
      </c>
      <c r="E38" s="10">
        <v>-10</v>
      </c>
      <c r="F38" s="38">
        <v>-9.5</v>
      </c>
      <c r="G38" s="10">
        <v>-9.75</v>
      </c>
      <c r="H38" s="10">
        <v>-9.5</v>
      </c>
      <c r="I38" s="10">
        <v>-10</v>
      </c>
      <c r="J38" s="157"/>
      <c r="K38" s="154"/>
      <c r="L38" s="132"/>
      <c r="M38" s="132"/>
      <c r="O38" s="10"/>
    </row>
    <row r="39" spans="1:22" s="53" customFormat="1" ht="12.75" x14ac:dyDescent="0.2">
      <c r="A39" s="12">
        <v>2</v>
      </c>
      <c r="B39" s="155"/>
      <c r="C39" s="155"/>
      <c r="D39" s="155"/>
      <c r="E39" s="155"/>
      <c r="F39" s="155"/>
      <c r="G39" s="156"/>
      <c r="H39" s="156"/>
      <c r="I39" s="156"/>
      <c r="J39" s="156"/>
      <c r="K39" s="132"/>
      <c r="L39" s="132"/>
      <c r="M39" s="132"/>
      <c r="O39" s="10"/>
    </row>
    <row r="40" spans="1:22" s="33" customFormat="1" ht="12.75" x14ac:dyDescent="0.2">
      <c r="A40" s="12">
        <v>3</v>
      </c>
      <c r="B40" s="93"/>
      <c r="C40" s="93"/>
      <c r="D40" s="93"/>
      <c r="E40" s="93"/>
      <c r="F40" s="93"/>
      <c r="G40" s="132"/>
      <c r="H40" s="132"/>
      <c r="I40" s="132"/>
      <c r="J40" s="132"/>
      <c r="K40" s="132"/>
      <c r="L40" s="132"/>
      <c r="M40" s="132"/>
      <c r="N40" s="53"/>
      <c r="O40" s="10"/>
      <c r="P40" s="53"/>
    </row>
    <row r="41" spans="1:22" s="33" customFormat="1" ht="12.75" x14ac:dyDescent="0.2">
      <c r="A41" s="12">
        <v>4</v>
      </c>
      <c r="B41" s="93"/>
      <c r="C41" s="93"/>
      <c r="D41" s="93"/>
      <c r="E41" s="93"/>
      <c r="F41" s="93"/>
      <c r="G41" s="132"/>
      <c r="H41" s="132"/>
      <c r="I41" s="132"/>
      <c r="J41" s="132"/>
      <c r="K41" s="132"/>
      <c r="L41" s="132"/>
      <c r="M41" s="132"/>
      <c r="N41" s="53"/>
      <c r="O41" s="10"/>
      <c r="P41" s="53"/>
    </row>
    <row r="42" spans="1:22" s="33" customFormat="1" ht="12.75" x14ac:dyDescent="0.2">
      <c r="A42" s="43" t="s">
        <v>14</v>
      </c>
      <c r="B42" s="42">
        <f>AVERAGE(B38:B41)</f>
        <v>-9.5</v>
      </c>
      <c r="C42" s="42">
        <f t="shared" ref="C42:M42" si="7">AVERAGE(C38:C41)</f>
        <v>-10</v>
      </c>
      <c r="D42" s="42">
        <f>AVERAGE(D38:D41)</f>
        <v>-9.25</v>
      </c>
      <c r="E42" s="42">
        <f t="shared" si="7"/>
        <v>-10</v>
      </c>
      <c r="F42" s="43">
        <f t="shared" si="7"/>
        <v>-9.5</v>
      </c>
      <c r="G42" s="40">
        <f t="shared" si="7"/>
        <v>-9.75</v>
      </c>
      <c r="H42" s="40">
        <f t="shared" si="7"/>
        <v>-9.5</v>
      </c>
      <c r="I42" s="40">
        <f t="shared" si="7"/>
        <v>-10</v>
      </c>
      <c r="J42" s="40" t="e">
        <f t="shared" si="7"/>
        <v>#DIV/0!</v>
      </c>
      <c r="K42" s="40" t="e">
        <f t="shared" si="7"/>
        <v>#DIV/0!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/>
    </row>
    <row r="44" spans="1:22" x14ac:dyDescent="0.2">
      <c r="G44" s="43"/>
      <c r="H44" s="42"/>
      <c r="I44" s="42"/>
      <c r="J44" s="42"/>
      <c r="K44" s="42"/>
      <c r="N44" s="101"/>
      <c r="P44" s="101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</row>
    <row r="46" spans="1:22" x14ac:dyDescent="0.2">
      <c r="A46" s="21"/>
      <c r="B46" s="96" t="s">
        <v>60</v>
      </c>
      <c r="C46" s="96"/>
      <c r="D46" s="96"/>
      <c r="E46" s="96"/>
      <c r="F46" s="179" t="s">
        <v>18</v>
      </c>
      <c r="G46" s="179"/>
      <c r="H46" s="179"/>
      <c r="I46" s="179"/>
      <c r="J46" s="179" t="s">
        <v>18</v>
      </c>
      <c r="K46" s="179"/>
      <c r="L46" s="179"/>
      <c r="M46" s="179"/>
    </row>
    <row r="47" spans="1:22" s="121" customFormat="1" x14ac:dyDescent="0.2">
      <c r="A47" s="118" t="s">
        <v>13</v>
      </c>
      <c r="B47" s="119">
        <v>402</v>
      </c>
      <c r="C47" s="119">
        <v>409</v>
      </c>
      <c r="D47" s="119">
        <v>505</v>
      </c>
      <c r="E47" s="119">
        <v>512</v>
      </c>
      <c r="F47" s="120">
        <v>601</v>
      </c>
      <c r="G47" s="120">
        <v>608</v>
      </c>
      <c r="H47" s="120">
        <v>209</v>
      </c>
      <c r="I47" s="120">
        <v>307</v>
      </c>
      <c r="J47" s="120" t="s">
        <v>67</v>
      </c>
      <c r="K47" s="120" t="s">
        <v>66</v>
      </c>
      <c r="L47" s="120" t="s">
        <v>66</v>
      </c>
      <c r="M47" s="120" t="s">
        <v>66</v>
      </c>
      <c r="O47" s="10"/>
    </row>
    <row r="48" spans="1:22" x14ac:dyDescent="0.2">
      <c r="A48" s="12">
        <v>1</v>
      </c>
      <c r="B48" s="93">
        <v>0</v>
      </c>
      <c r="C48" s="93">
        <v>0</v>
      </c>
      <c r="D48" s="93">
        <v>0</v>
      </c>
      <c r="E48" s="93">
        <v>0</v>
      </c>
      <c r="F48" s="113">
        <v>0</v>
      </c>
      <c r="G48" s="113">
        <v>0</v>
      </c>
      <c r="H48" s="113"/>
      <c r="I48" s="114"/>
      <c r="J48" s="114"/>
      <c r="K48" s="114"/>
      <c r="L48" s="114"/>
      <c r="M48" s="114"/>
    </row>
    <row r="49" spans="1:13" x14ac:dyDescent="0.2">
      <c r="A49" s="12">
        <v>2</v>
      </c>
      <c r="B49" s="93"/>
      <c r="C49" s="93"/>
      <c r="D49" s="93"/>
      <c r="E49" s="93"/>
      <c r="F49" s="114"/>
      <c r="G49" s="115"/>
      <c r="H49" s="115"/>
      <c r="I49" s="114"/>
      <c r="J49" s="114"/>
      <c r="K49" s="114"/>
      <c r="L49" s="114"/>
      <c r="M49" s="114"/>
    </row>
    <row r="50" spans="1:13" x14ac:dyDescent="0.2">
      <c r="A50" s="12">
        <v>3</v>
      </c>
      <c r="B50" s="93"/>
      <c r="C50" s="93"/>
      <c r="D50" s="93"/>
      <c r="E50" s="93"/>
      <c r="F50" s="114"/>
      <c r="G50" s="114"/>
      <c r="H50" s="114"/>
      <c r="I50" s="114"/>
      <c r="J50" s="114"/>
      <c r="K50" s="114"/>
      <c r="L50" s="114"/>
      <c r="M50" s="114"/>
    </row>
    <row r="51" spans="1:13" x14ac:dyDescent="0.2">
      <c r="A51" s="12">
        <v>4</v>
      </c>
      <c r="B51" s="100"/>
      <c r="C51" s="93"/>
      <c r="D51" s="93"/>
      <c r="E51" s="93"/>
      <c r="F51" s="114"/>
      <c r="G51" s="114"/>
      <c r="H51" s="114"/>
      <c r="I51" s="114"/>
      <c r="J51" s="114"/>
      <c r="K51" s="114"/>
      <c r="L51" s="114"/>
      <c r="M51" s="114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3">
        <f t="shared" si="8"/>
        <v>0</v>
      </c>
      <c r="G52" s="133">
        <f t="shared" si="8"/>
        <v>0</v>
      </c>
      <c r="H52" s="133" t="e">
        <f t="shared" si="8"/>
        <v>#DIV/0!</v>
      </c>
      <c r="I52" s="133" t="e">
        <f t="shared" si="8"/>
        <v>#DIV/0!</v>
      </c>
      <c r="J52" s="133" t="e">
        <f t="shared" si="8"/>
        <v>#DIV/0!</v>
      </c>
      <c r="K52" s="133" t="e">
        <f t="shared" si="8"/>
        <v>#DIV/0!</v>
      </c>
      <c r="L52" s="133" t="e">
        <f t="shared" si="8"/>
        <v>#DIV/0!</v>
      </c>
      <c r="M52" s="133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82" t="s">
        <v>25</v>
      </c>
      <c r="L56" s="182"/>
      <c r="M56" s="182"/>
    </row>
    <row r="57" spans="1:13" ht="12.75" x14ac:dyDescent="0.2">
      <c r="A57" s="33" t="s">
        <v>27</v>
      </c>
      <c r="B57" s="33"/>
      <c r="C57" s="33"/>
      <c r="D57" s="33"/>
      <c r="E57" s="33"/>
      <c r="I57" s="180" t="s">
        <v>39</v>
      </c>
      <c r="J57" s="180" t="s">
        <v>61</v>
      </c>
      <c r="K57" s="181" t="s">
        <v>41</v>
      </c>
      <c r="L57" s="181"/>
      <c r="M57" s="181" t="s">
        <v>26</v>
      </c>
    </row>
    <row r="58" spans="1:13" x14ac:dyDescent="0.2">
      <c r="A58" s="180" t="s">
        <v>39</v>
      </c>
      <c r="B58" s="180" t="s">
        <v>61</v>
      </c>
      <c r="C58" s="181" t="s">
        <v>41</v>
      </c>
      <c r="D58" s="181"/>
      <c r="E58" s="181" t="s">
        <v>26</v>
      </c>
      <c r="I58" s="180"/>
      <c r="J58" s="180"/>
      <c r="K58" s="94">
        <v>1</v>
      </c>
      <c r="L58" s="94">
        <v>2</v>
      </c>
      <c r="M58" s="181"/>
    </row>
    <row r="59" spans="1:13" x14ac:dyDescent="0.2">
      <c r="A59" s="180"/>
      <c r="B59" s="180"/>
      <c r="C59" s="94">
        <v>1</v>
      </c>
      <c r="D59" s="94">
        <v>2</v>
      </c>
      <c r="E59" s="181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7"/>
      <c r="L60" s="127"/>
      <c r="M60" s="128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7"/>
      <c r="D61" s="127"/>
      <c r="E61" s="128" t="e">
        <f t="shared" ref="E61:E72" si="10">AVERAGE(C61:D61)</f>
        <v>#DIV/0!</v>
      </c>
      <c r="I61" s="12">
        <v>107</v>
      </c>
      <c r="J61" s="4"/>
      <c r="K61" s="127"/>
      <c r="L61" s="127"/>
      <c r="M61" s="128" t="e">
        <f t="shared" si="9"/>
        <v>#DIV/0!</v>
      </c>
    </row>
    <row r="62" spans="1:13" ht="12.75" x14ac:dyDescent="0.2">
      <c r="A62" s="12">
        <v>107</v>
      </c>
      <c r="B62" s="4"/>
      <c r="C62" s="127"/>
      <c r="D62" s="127"/>
      <c r="E62" s="128" t="e">
        <f t="shared" si="10"/>
        <v>#DIV/0!</v>
      </c>
      <c r="I62" s="12">
        <v>204</v>
      </c>
      <c r="J62" s="4"/>
      <c r="K62" s="127"/>
      <c r="L62" s="127"/>
      <c r="M62" s="128" t="e">
        <f t="shared" si="9"/>
        <v>#DIV/0!</v>
      </c>
    </row>
    <row r="63" spans="1:13" ht="12.75" x14ac:dyDescent="0.2">
      <c r="A63" s="12">
        <v>204</v>
      </c>
      <c r="B63" s="4"/>
      <c r="C63" s="127"/>
      <c r="D63" s="127"/>
      <c r="E63" s="128" t="e">
        <f t="shared" si="10"/>
        <v>#DIV/0!</v>
      </c>
      <c r="I63" s="12">
        <v>209</v>
      </c>
      <c r="J63" s="4"/>
      <c r="K63" s="127"/>
      <c r="L63" s="127"/>
      <c r="M63" s="128" t="e">
        <f t="shared" si="9"/>
        <v>#DIV/0!</v>
      </c>
    </row>
    <row r="64" spans="1:13" ht="12.75" x14ac:dyDescent="0.2">
      <c r="A64" s="12">
        <v>209</v>
      </c>
      <c r="B64" s="4"/>
      <c r="C64" s="127"/>
      <c r="D64" s="127"/>
      <c r="E64" s="128" t="e">
        <f t="shared" si="10"/>
        <v>#DIV/0!</v>
      </c>
      <c r="I64" s="102">
        <v>302</v>
      </c>
      <c r="J64" s="4"/>
      <c r="K64" s="130"/>
      <c r="L64" s="130"/>
      <c r="M64" s="121" t="e">
        <f t="shared" si="9"/>
        <v>#DIV/0!</v>
      </c>
    </row>
    <row r="65" spans="1:13" ht="12.75" x14ac:dyDescent="0.2">
      <c r="A65" s="102">
        <v>302</v>
      </c>
      <c r="B65" s="4"/>
      <c r="C65" s="127"/>
      <c r="D65" s="127"/>
      <c r="E65" s="129" t="e">
        <f t="shared" si="10"/>
        <v>#DIV/0!</v>
      </c>
      <c r="I65" s="102">
        <v>307</v>
      </c>
      <c r="J65" s="4"/>
      <c r="K65" s="130"/>
      <c r="L65" s="130"/>
      <c r="M65" s="121" t="e">
        <f t="shared" si="9"/>
        <v>#DIV/0!</v>
      </c>
    </row>
    <row r="66" spans="1:13" ht="12.75" x14ac:dyDescent="0.2">
      <c r="A66" s="102">
        <v>307</v>
      </c>
      <c r="B66" s="4"/>
      <c r="C66" s="130"/>
      <c r="D66" s="130"/>
      <c r="E66" s="131" t="e">
        <f t="shared" si="10"/>
        <v>#DIV/0!</v>
      </c>
      <c r="I66" s="102" t="s">
        <v>63</v>
      </c>
      <c r="J66" s="4"/>
      <c r="K66" s="130"/>
      <c r="L66" s="130"/>
      <c r="M66" s="121" t="e">
        <f t="shared" si="9"/>
        <v>#DIV/0!</v>
      </c>
    </row>
    <row r="67" spans="1:13" ht="12.75" x14ac:dyDescent="0.2">
      <c r="A67" s="102" t="s">
        <v>63</v>
      </c>
      <c r="B67" s="4"/>
      <c r="C67" s="130"/>
      <c r="D67" s="130"/>
      <c r="E67" s="121" t="e">
        <f t="shared" si="10"/>
        <v>#DIV/0!</v>
      </c>
      <c r="I67" s="102" t="s">
        <v>64</v>
      </c>
      <c r="J67" s="4"/>
      <c r="K67" s="130"/>
      <c r="L67" s="130"/>
      <c r="M67" s="121" t="e">
        <f t="shared" si="9"/>
        <v>#DIV/0!</v>
      </c>
    </row>
    <row r="68" spans="1:13" ht="12.75" x14ac:dyDescent="0.2">
      <c r="A68" s="102" t="s">
        <v>64</v>
      </c>
      <c r="B68" s="4"/>
      <c r="C68" s="130"/>
      <c r="D68" s="130"/>
      <c r="E68" s="121" t="e">
        <f t="shared" si="10"/>
        <v>#DIV/0!</v>
      </c>
      <c r="I68" s="12" t="s">
        <v>65</v>
      </c>
      <c r="J68" s="4"/>
      <c r="K68" s="130"/>
      <c r="L68" s="130"/>
      <c r="M68" s="121" t="e">
        <f t="shared" si="9"/>
        <v>#DIV/0!</v>
      </c>
    </row>
    <row r="69" spans="1:13" ht="12.75" x14ac:dyDescent="0.2">
      <c r="A69" s="12" t="s">
        <v>65</v>
      </c>
      <c r="B69" s="4"/>
      <c r="C69" s="130"/>
      <c r="D69" s="130"/>
      <c r="E69" s="121" t="e">
        <f t="shared" si="10"/>
        <v>#DIV/0!</v>
      </c>
      <c r="I69" s="142" t="s">
        <v>66</v>
      </c>
      <c r="J69" s="4"/>
      <c r="K69" s="130"/>
      <c r="L69" s="130"/>
      <c r="M69" s="121" t="e">
        <f t="shared" si="9"/>
        <v>#DIV/0!</v>
      </c>
    </row>
    <row r="70" spans="1:13" ht="12.75" x14ac:dyDescent="0.2">
      <c r="A70" s="142" t="s">
        <v>66</v>
      </c>
      <c r="B70" s="4"/>
      <c r="C70" s="130"/>
      <c r="D70" s="130"/>
      <c r="E70" s="121" t="e">
        <f t="shared" si="10"/>
        <v>#DIV/0!</v>
      </c>
      <c r="I70" s="142" t="s">
        <v>66</v>
      </c>
      <c r="J70" s="4"/>
      <c r="K70" s="130"/>
      <c r="L70" s="130"/>
      <c r="M70" s="121" t="e">
        <f t="shared" si="9"/>
        <v>#DIV/0!</v>
      </c>
    </row>
    <row r="71" spans="1:13" ht="12.75" x14ac:dyDescent="0.2">
      <c r="A71" s="142" t="s">
        <v>66</v>
      </c>
      <c r="B71" s="4"/>
      <c r="C71" s="130"/>
      <c r="D71" s="130"/>
      <c r="E71" s="121" t="e">
        <f t="shared" si="10"/>
        <v>#DIV/0!</v>
      </c>
      <c r="I71" s="142" t="s">
        <v>66</v>
      </c>
      <c r="J71" s="4"/>
      <c r="K71" s="130"/>
      <c r="L71" s="130"/>
      <c r="M71" s="121" t="e">
        <f t="shared" si="9"/>
        <v>#DIV/0!</v>
      </c>
    </row>
    <row r="72" spans="1:13" ht="12.75" x14ac:dyDescent="0.2">
      <c r="A72" s="142" t="s">
        <v>66</v>
      </c>
      <c r="B72" s="4"/>
      <c r="C72" s="130"/>
      <c r="D72" s="130"/>
      <c r="E72" s="121" t="e">
        <f t="shared" si="10"/>
        <v>#DIV/0!</v>
      </c>
    </row>
    <row r="73" spans="1:13" x14ac:dyDescent="0.2">
      <c r="A73" s="95" t="s">
        <v>50</v>
      </c>
    </row>
  </sheetData>
  <mergeCells count="17">
    <mergeCell ref="A58:A59"/>
    <mergeCell ref="B58:B59"/>
    <mergeCell ref="C58:D58"/>
    <mergeCell ref="E58:E59"/>
    <mergeCell ref="I57:I58"/>
    <mergeCell ref="J57:J58"/>
    <mergeCell ref="K57:L57"/>
    <mergeCell ref="J46:M46"/>
    <mergeCell ref="F36:I36"/>
    <mergeCell ref="J36:M36"/>
    <mergeCell ref="K56:M56"/>
    <mergeCell ref="M57:M58"/>
    <mergeCell ref="Q6:Q7"/>
    <mergeCell ref="B36:E36"/>
    <mergeCell ref="C6:H6"/>
    <mergeCell ref="J6:K6"/>
    <mergeCell ref="F46:I4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opLeftCell="A7" zoomScaleNormal="100" zoomScalePageLayoutView="150" workbookViewId="0">
      <selection activeCell="I9" sqref="I9"/>
    </sheetView>
  </sheetViews>
  <sheetFormatPr defaultColWidth="8.7109375" defaultRowHeight="12.75" outlineLevelCol="3" x14ac:dyDescent="0.2"/>
  <cols>
    <col min="2" max="2" width="8.7109375" style="108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83" t="s">
        <v>56</v>
      </c>
      <c r="B1" s="183"/>
      <c r="C1" s="183"/>
      <c r="D1" s="183"/>
      <c r="E1" s="183"/>
      <c r="F1" s="183"/>
    </row>
    <row r="2" spans="1:28" ht="13.5" thickBot="1" x14ac:dyDescent="0.25">
      <c r="A2" s="4" t="s">
        <v>53</v>
      </c>
      <c r="B2" s="108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9" t="s">
        <v>16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81"/>
      <c r="AA2" s="81"/>
      <c r="AB2" s="30" t="s">
        <v>0</v>
      </c>
    </row>
    <row r="3" spans="1:28" ht="22.5" customHeight="1" x14ac:dyDescent="0.2">
      <c r="A3" s="169" t="s">
        <v>62</v>
      </c>
      <c r="B3" s="172"/>
      <c r="C3" s="170" t="s">
        <v>68</v>
      </c>
      <c r="D3" s="106">
        <v>0</v>
      </c>
      <c r="E3" s="123">
        <v>7.8149000000000006</v>
      </c>
      <c r="F3" s="123">
        <v>0.28610000000000008</v>
      </c>
      <c r="H3" s="192" t="s">
        <v>39</v>
      </c>
      <c r="I3" s="192" t="s">
        <v>61</v>
      </c>
      <c r="J3" s="194" t="s">
        <v>28</v>
      </c>
      <c r="K3" s="194"/>
      <c r="L3" s="194"/>
      <c r="M3" s="44"/>
      <c r="N3" s="187" t="s">
        <v>48</v>
      </c>
      <c r="O3" s="191"/>
      <c r="P3" s="191"/>
      <c r="Q3" s="191"/>
      <c r="R3" s="188" t="s">
        <v>47</v>
      </c>
      <c r="S3" s="188"/>
      <c r="T3" s="188"/>
      <c r="U3" s="188"/>
      <c r="V3" s="187" t="s">
        <v>42</v>
      </c>
      <c r="W3" s="187"/>
      <c r="X3" s="187"/>
      <c r="Y3" s="187"/>
      <c r="Z3" s="82"/>
      <c r="AA3" s="82"/>
    </row>
    <row r="4" spans="1:28" x14ac:dyDescent="0.2">
      <c r="A4" s="169" t="s">
        <v>62</v>
      </c>
      <c r="B4" s="173"/>
      <c r="C4" s="170" t="s">
        <v>68</v>
      </c>
      <c r="D4" s="106">
        <v>21</v>
      </c>
      <c r="E4" s="123">
        <v>14.0281</v>
      </c>
      <c r="F4" s="123">
        <v>0.28865000000000002</v>
      </c>
      <c r="H4" s="192"/>
      <c r="I4" s="192"/>
      <c r="J4" s="36"/>
      <c r="K4" s="36"/>
      <c r="L4" s="36"/>
      <c r="M4" s="36"/>
      <c r="N4" s="191"/>
      <c r="O4" s="191"/>
      <c r="P4" s="191"/>
      <c r="Q4" s="191"/>
      <c r="R4" s="188"/>
      <c r="S4" s="188"/>
      <c r="T4" s="188"/>
      <c r="U4" s="188"/>
      <c r="V4" s="187"/>
      <c r="W4" s="187"/>
      <c r="X4" s="187"/>
      <c r="Y4" s="187"/>
      <c r="Z4" s="24"/>
      <c r="AA4" s="65"/>
      <c r="AB4" s="25"/>
    </row>
    <row r="5" spans="1:28" x14ac:dyDescent="0.2">
      <c r="A5" s="169" t="s">
        <v>62</v>
      </c>
      <c r="B5" s="173"/>
      <c r="C5" s="170" t="s">
        <v>68</v>
      </c>
      <c r="D5" s="106">
        <v>42</v>
      </c>
      <c r="E5" s="123">
        <v>20.792100000000001</v>
      </c>
      <c r="F5" s="123">
        <v>0.28643000000000002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69" t="s">
        <v>62</v>
      </c>
      <c r="B6" s="173"/>
      <c r="C6" s="170" t="s">
        <v>68</v>
      </c>
      <c r="D6" s="106">
        <v>63</v>
      </c>
      <c r="E6" s="123">
        <v>27.069100000000002</v>
      </c>
      <c r="F6" s="123">
        <v>0.29202000000000011</v>
      </c>
      <c r="J6" s="184" t="s">
        <v>56</v>
      </c>
      <c r="K6" s="184"/>
      <c r="L6" s="184"/>
      <c r="M6" s="18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69" t="s">
        <v>62</v>
      </c>
      <c r="B7" s="173"/>
      <c r="C7" s="170" t="s">
        <v>69</v>
      </c>
      <c r="D7" s="106">
        <v>0</v>
      </c>
      <c r="E7" s="123">
        <v>9.6128999999999998</v>
      </c>
      <c r="F7" s="123">
        <v>0.2899500000000001</v>
      </c>
      <c r="H7" s="166" t="s">
        <v>68</v>
      </c>
      <c r="I7" s="4"/>
      <c r="J7">
        <v>27</v>
      </c>
      <c r="K7">
        <v>28.2</v>
      </c>
      <c r="L7">
        <v>29</v>
      </c>
      <c r="M7">
        <v>30.5</v>
      </c>
      <c r="N7" s="85">
        <f>F3</f>
        <v>0.28610000000000008</v>
      </c>
      <c r="O7" s="85">
        <f>F4</f>
        <v>0.28865000000000002</v>
      </c>
      <c r="P7" s="85">
        <f>F5</f>
        <v>0.28643000000000002</v>
      </c>
      <c r="Q7" s="85">
        <f>F6</f>
        <v>0.29202000000000011</v>
      </c>
      <c r="R7" s="6">
        <f>(((760*22.4)*(273+J7))/(760*273))</f>
        <v>24.615384615384617</v>
      </c>
      <c r="S7" s="6">
        <f t="shared" ref="R7:U18" si="0">(((760*22.4)*(273+K7))/(760*273))</f>
        <v>24.713846153846152</v>
      </c>
      <c r="T7" s="6">
        <f t="shared" si="0"/>
        <v>24.77948717948718</v>
      </c>
      <c r="U7" s="6">
        <f t="shared" si="0"/>
        <v>24.902564102564103</v>
      </c>
      <c r="V7" s="61">
        <f>((N7/(R7))*(0.044014))</f>
        <v>5.115664693750001E-4</v>
      </c>
      <c r="W7" s="61">
        <f t="shared" ref="W7:Y7" si="1">((O7/(S7))*(0.044014))</f>
        <v>5.1406976562500006E-4</v>
      </c>
      <c r="X7" s="61">
        <f t="shared" si="1"/>
        <v>5.0876476694950324E-4</v>
      </c>
      <c r="Y7" s="61">
        <f t="shared" si="1"/>
        <v>5.16130316021417E-4</v>
      </c>
      <c r="AA7" s="65"/>
      <c r="AB7">
        <v>27</v>
      </c>
    </row>
    <row r="8" spans="1:28" x14ac:dyDescent="0.2">
      <c r="A8" s="169" t="s">
        <v>62</v>
      </c>
      <c r="B8" s="173"/>
      <c r="C8" s="170" t="s">
        <v>69</v>
      </c>
      <c r="D8" s="106">
        <v>21</v>
      </c>
      <c r="E8" s="123">
        <v>18.758900000000001</v>
      </c>
      <c r="F8" s="123">
        <v>0.29099000000000003</v>
      </c>
      <c r="H8" s="167" t="s">
        <v>69</v>
      </c>
      <c r="I8" s="4"/>
      <c r="J8" s="1">
        <v>27.7</v>
      </c>
      <c r="K8" s="1">
        <v>28.9</v>
      </c>
      <c r="L8" s="53">
        <v>30.8</v>
      </c>
      <c r="M8" s="33">
        <v>30.9</v>
      </c>
      <c r="N8" s="85">
        <f>F7</f>
        <v>0.2899500000000001</v>
      </c>
      <c r="O8" s="85">
        <f>F8</f>
        <v>0.29099000000000003</v>
      </c>
      <c r="P8" s="85">
        <f>F9</f>
        <v>0.29449000000000009</v>
      </c>
      <c r="Q8" s="85">
        <f>F10</f>
        <v>0.28391000000000005</v>
      </c>
      <c r="R8" s="6">
        <f>(((760*22.4)*(273+J8))/(760*273))</f>
        <v>24.672820512820511</v>
      </c>
      <c r="S8" s="6">
        <f t="shared" si="0"/>
        <v>24.77128205128205</v>
      </c>
      <c r="T8" s="6">
        <f t="shared" si="0"/>
        <v>24.927179487179487</v>
      </c>
      <c r="U8" s="6">
        <f t="shared" si="0"/>
        <v>24.935384615384613</v>
      </c>
      <c r="V8" s="61">
        <f t="shared" ref="V8:V9" si="2">((N8/(R8))*(0.044014))</f>
        <v>5.1724363225390778E-4</v>
      </c>
      <c r="W8" s="61">
        <f t="shared" ref="W8:W18" si="3">((O8/(S8))*(0.044014))</f>
        <v>5.1703556697167946E-4</v>
      </c>
      <c r="X8" s="61">
        <f t="shared" ref="X8:X18" si="4">((P8/(T8))*(0.044014))</f>
        <v>5.1998192842741945E-4</v>
      </c>
      <c r="Y8" s="61">
        <f t="shared" ref="Y8:Y18" si="5">((Q8/(U8))*(0.044014))</f>
        <v>5.0113583298371184E-4</v>
      </c>
      <c r="AA8" s="65"/>
      <c r="AB8">
        <v>28.2</v>
      </c>
    </row>
    <row r="9" spans="1:28" x14ac:dyDescent="0.2">
      <c r="A9" s="169" t="s">
        <v>62</v>
      </c>
      <c r="B9" s="173"/>
      <c r="C9" s="170" t="s">
        <v>69</v>
      </c>
      <c r="D9" s="106">
        <v>42</v>
      </c>
      <c r="E9" s="123">
        <v>24.644300000000001</v>
      </c>
      <c r="F9" s="123">
        <v>0.29449000000000009</v>
      </c>
      <c r="H9" s="167" t="s">
        <v>70</v>
      </c>
      <c r="I9" s="4"/>
      <c r="J9" s="53">
        <v>29</v>
      </c>
      <c r="K9" s="34">
        <v>30</v>
      </c>
      <c r="L9" s="34">
        <v>32.700000000000003</v>
      </c>
      <c r="M9" s="33">
        <v>33.1</v>
      </c>
      <c r="N9" s="85">
        <f>F11</f>
        <v>0.28596000000000005</v>
      </c>
      <c r="O9" s="85">
        <f>F12</f>
        <v>0.28643000000000002</v>
      </c>
      <c r="P9" s="85">
        <f>F13</f>
        <v>0.28321000000000002</v>
      </c>
      <c r="Q9" s="85">
        <f>F14</f>
        <v>0.28178000000000009</v>
      </c>
      <c r="R9" s="6">
        <f t="shared" si="0"/>
        <v>24.77948717948718</v>
      </c>
      <c r="S9" s="6">
        <f t="shared" si="0"/>
        <v>24.861538461538462</v>
      </c>
      <c r="T9" s="6">
        <f t="shared" si="0"/>
        <v>25.083076923076923</v>
      </c>
      <c r="U9" s="6">
        <f t="shared" si="0"/>
        <v>25.115897435897438</v>
      </c>
      <c r="V9" s="61">
        <f t="shared" si="2"/>
        <v>5.0792994014900667E-4</v>
      </c>
      <c r="W9" s="61">
        <f t="shared" si="3"/>
        <v>5.0708567530940594E-4</v>
      </c>
      <c r="X9" s="61">
        <f t="shared" si="4"/>
        <v>4.9695677201913645E-4</v>
      </c>
      <c r="Y9" s="61">
        <f t="shared" si="5"/>
        <v>4.9380138422901025E-4</v>
      </c>
      <c r="AA9" s="65"/>
      <c r="AB9">
        <v>29</v>
      </c>
    </row>
    <row r="10" spans="1:28" x14ac:dyDescent="0.2">
      <c r="A10" s="169" t="s">
        <v>62</v>
      </c>
      <c r="B10" s="173"/>
      <c r="C10" s="170" t="s">
        <v>69</v>
      </c>
      <c r="D10" s="106">
        <v>63</v>
      </c>
      <c r="E10" s="123">
        <v>32.538100000000007</v>
      </c>
      <c r="F10" s="123">
        <v>0.28391000000000005</v>
      </c>
      <c r="H10" s="167" t="s">
        <v>71</v>
      </c>
      <c r="I10" s="4"/>
      <c r="J10" s="33">
        <v>28</v>
      </c>
      <c r="K10" s="33">
        <v>29.9</v>
      </c>
      <c r="L10" s="33">
        <v>32</v>
      </c>
      <c r="M10" s="33">
        <v>31.8</v>
      </c>
      <c r="N10" s="85">
        <f>F15</f>
        <v>0.28056000000000009</v>
      </c>
      <c r="O10" s="85">
        <f>F16</f>
        <v>0.28213000000000005</v>
      </c>
      <c r="P10" s="85">
        <f>F17</f>
        <v>0.28401000000000004</v>
      </c>
      <c r="Q10" s="85">
        <f>F18</f>
        <v>0.2859000000000001</v>
      </c>
      <c r="R10" s="6">
        <f t="shared" si="0"/>
        <v>24.697435897435899</v>
      </c>
      <c r="S10" s="6">
        <f t="shared" si="0"/>
        <v>24.853333333333332</v>
      </c>
      <c r="T10" s="6">
        <f t="shared" si="0"/>
        <v>25.025641025641026</v>
      </c>
      <c r="U10" s="6">
        <f t="shared" si="0"/>
        <v>25.009230769230768</v>
      </c>
      <c r="V10" s="61">
        <f>((N10/(R10))*(0.044014))</f>
        <v>4.9999392209302336E-4</v>
      </c>
      <c r="W10" s="61">
        <f t="shared" si="3"/>
        <v>4.9963800241416322E-4</v>
      </c>
      <c r="X10" s="61">
        <f t="shared" si="4"/>
        <v>4.9950433346311477E-4</v>
      </c>
      <c r="Y10" s="61">
        <f t="shared" si="5"/>
        <v>5.031583224655513E-4</v>
      </c>
      <c r="AA10" s="65"/>
      <c r="AB10">
        <v>30.5</v>
      </c>
    </row>
    <row r="11" spans="1:28" s="1" customFormat="1" x14ac:dyDescent="0.2">
      <c r="A11" s="169" t="s">
        <v>62</v>
      </c>
      <c r="B11" s="173"/>
      <c r="C11" s="170" t="s">
        <v>70</v>
      </c>
      <c r="D11" s="106">
        <v>0</v>
      </c>
      <c r="E11" s="123">
        <v>7.7463000000000006</v>
      </c>
      <c r="F11" s="123">
        <v>0.28596000000000005</v>
      </c>
      <c r="H11" s="167" t="s">
        <v>72</v>
      </c>
      <c r="I11" s="4"/>
      <c r="J11" s="33">
        <v>27.5</v>
      </c>
      <c r="K11" s="33">
        <v>30</v>
      </c>
      <c r="L11" s="33">
        <v>31.8</v>
      </c>
      <c r="M11" s="33">
        <v>34.1</v>
      </c>
      <c r="N11" s="85">
        <f>F19</f>
        <v>0.31535000000000007</v>
      </c>
      <c r="O11" s="85">
        <f>F20</f>
        <v>0.30774000000000007</v>
      </c>
      <c r="P11" s="85">
        <f>F21</f>
        <v>0.3121000000000001</v>
      </c>
      <c r="Q11" s="85">
        <f>F22</f>
        <v>0.31917000000000012</v>
      </c>
      <c r="R11" s="6">
        <f t="shared" si="0"/>
        <v>24.656410256410258</v>
      </c>
      <c r="S11" s="6">
        <f t="shared" si="0"/>
        <v>24.861538461538462</v>
      </c>
      <c r="T11" s="6">
        <f t="shared" si="0"/>
        <v>25.009230769230768</v>
      </c>
      <c r="U11" s="6">
        <f t="shared" si="0"/>
        <v>25.197948717948719</v>
      </c>
      <c r="V11" s="61">
        <f t="shared" ref="V11:V18" si="6">((N11/(R11))*(0.044014))</f>
        <v>5.6292926487104826E-4</v>
      </c>
      <c r="W11" s="61">
        <f t="shared" si="3"/>
        <v>5.448121555693071E-4</v>
      </c>
      <c r="X11" s="61">
        <f t="shared" si="4"/>
        <v>5.4926796936515768E-4</v>
      </c>
      <c r="Y11" s="61">
        <f>((Q11/(U11))*(0.044014))</f>
        <v>5.5750364989010114E-4</v>
      </c>
      <c r="AA11" s="65"/>
      <c r="AB11" s="1">
        <v>27.7</v>
      </c>
    </row>
    <row r="12" spans="1:28" s="1" customFormat="1" x14ac:dyDescent="0.2">
      <c r="A12" s="169" t="s">
        <v>62</v>
      </c>
      <c r="B12" s="173"/>
      <c r="C12" s="170" t="s">
        <v>70</v>
      </c>
      <c r="D12" s="106">
        <v>21</v>
      </c>
      <c r="E12" s="123">
        <v>16.019500000000001</v>
      </c>
      <c r="F12" s="123">
        <v>0.28643000000000002</v>
      </c>
      <c r="H12" s="167" t="s">
        <v>73</v>
      </c>
      <c r="I12" s="4"/>
      <c r="J12" s="33">
        <v>27.7</v>
      </c>
      <c r="K12" s="33">
        <v>31.2</v>
      </c>
      <c r="L12" s="33">
        <v>31.7</v>
      </c>
      <c r="M12" s="33">
        <v>33.700000000000003</v>
      </c>
      <c r="N12" s="85">
        <f>F23</f>
        <v>0.31569000000000008</v>
      </c>
      <c r="O12" s="85">
        <f>F24</f>
        <v>0.31661000000000011</v>
      </c>
      <c r="P12" s="85">
        <f>F25</f>
        <v>0.32030000000000008</v>
      </c>
      <c r="Q12" s="85">
        <f>F26</f>
        <v>0.32543000000000005</v>
      </c>
      <c r="R12" s="6">
        <f t="shared" si="0"/>
        <v>24.672820512820511</v>
      </c>
      <c r="S12" s="6">
        <f t="shared" si="0"/>
        <v>24.96</v>
      </c>
      <c r="T12" s="6">
        <f t="shared" si="0"/>
        <v>25.001025641025642</v>
      </c>
      <c r="U12" s="6">
        <f t="shared" si="0"/>
        <v>25.165128205128205</v>
      </c>
      <c r="V12" s="61">
        <f t="shared" si="6"/>
        <v>5.631613804664118E-4</v>
      </c>
      <c r="W12" s="61">
        <f t="shared" si="3"/>
        <v>5.5830418830128215E-4</v>
      </c>
      <c r="X12" s="61">
        <f t="shared" si="4"/>
        <v>5.6388423428782423E-4</v>
      </c>
      <c r="Y12" s="61">
        <f t="shared" si="5"/>
        <v>5.6917953698646892E-4</v>
      </c>
      <c r="Z12" s="5"/>
      <c r="AA12" s="65"/>
      <c r="AB12" s="1">
        <v>28.9</v>
      </c>
    </row>
    <row r="13" spans="1:28" s="53" customFormat="1" ht="13.15" customHeight="1" x14ac:dyDescent="0.2">
      <c r="A13" s="169" t="s">
        <v>62</v>
      </c>
      <c r="B13" s="173"/>
      <c r="C13" s="170" t="s">
        <v>70</v>
      </c>
      <c r="D13" s="106">
        <v>42</v>
      </c>
      <c r="E13" s="123">
        <v>29.853300000000001</v>
      </c>
      <c r="F13" s="123">
        <v>0.28321000000000002</v>
      </c>
      <c r="H13" s="167" t="s">
        <v>74</v>
      </c>
      <c r="I13" s="4"/>
      <c r="J13" s="33">
        <v>28.6</v>
      </c>
      <c r="K13" s="33">
        <v>32.4</v>
      </c>
      <c r="L13" s="33">
        <v>33.1</v>
      </c>
      <c r="M13" s="33">
        <v>34.799999999999997</v>
      </c>
      <c r="N13" s="85">
        <f>F27</f>
        <v>0.28075000000000011</v>
      </c>
      <c r="O13" s="85">
        <f>F28</f>
        <v>0.28593000000000007</v>
      </c>
      <c r="P13" s="85">
        <f>F29</f>
        <v>0.2830700000000001</v>
      </c>
      <c r="Q13" s="85">
        <f>F30</f>
        <v>0.31170000000000003</v>
      </c>
      <c r="R13" s="6">
        <f t="shared" si="0"/>
        <v>24.74666666666667</v>
      </c>
      <c r="S13" s="6">
        <f t="shared" si="0"/>
        <v>25.058461538461536</v>
      </c>
      <c r="T13" s="6">
        <f t="shared" si="0"/>
        <v>25.115897435897438</v>
      </c>
      <c r="U13" s="6">
        <f t="shared" si="0"/>
        <v>25.255384615384617</v>
      </c>
      <c r="V13" s="61">
        <f t="shared" si="6"/>
        <v>4.9933716998922428E-4</v>
      </c>
      <c r="W13" s="61">
        <f t="shared" si="3"/>
        <v>5.0222249281679776E-4</v>
      </c>
      <c r="X13" s="61">
        <f t="shared" si="4"/>
        <v>4.9606202652319512E-4</v>
      </c>
      <c r="Y13" s="61">
        <f t="shared" si="5"/>
        <v>5.4321737755847952E-4</v>
      </c>
      <c r="AA13" s="65"/>
      <c r="AB13" s="53">
        <v>30.8</v>
      </c>
    </row>
    <row r="14" spans="1:28" s="33" customFormat="1" ht="13.5" thickBot="1" x14ac:dyDescent="0.25">
      <c r="A14" s="169" t="s">
        <v>62</v>
      </c>
      <c r="B14" s="173"/>
      <c r="C14" s="170" t="s">
        <v>70</v>
      </c>
      <c r="D14" s="106">
        <v>63</v>
      </c>
      <c r="E14" s="123">
        <v>42.172100000000007</v>
      </c>
      <c r="F14" s="123">
        <v>0.28178000000000009</v>
      </c>
      <c r="H14" s="168" t="s">
        <v>75</v>
      </c>
      <c r="I14" s="4"/>
      <c r="J14" s="33">
        <v>28.7</v>
      </c>
      <c r="K14" s="33">
        <v>32.299999999999997</v>
      </c>
      <c r="L14" s="33">
        <v>33.4</v>
      </c>
      <c r="M14" s="33">
        <v>35.1</v>
      </c>
      <c r="N14" s="85">
        <f>F31</f>
        <v>0.31952000000000008</v>
      </c>
      <c r="O14" s="85">
        <f>F32</f>
        <v>0.29548000000000002</v>
      </c>
      <c r="P14" s="85">
        <f>F33</f>
        <v>0.28455000000000003</v>
      </c>
      <c r="Q14" s="85">
        <f>F34</f>
        <v>0.29149000000000008</v>
      </c>
      <c r="R14" s="6">
        <f t="shared" si="0"/>
        <v>24.754871794871793</v>
      </c>
      <c r="S14" s="6">
        <f t="shared" si="0"/>
        <v>25.050256410256413</v>
      </c>
      <c r="T14" s="6">
        <f t="shared" si="0"/>
        <v>25.140512820512818</v>
      </c>
      <c r="U14" s="6">
        <f t="shared" si="0"/>
        <v>25.28</v>
      </c>
      <c r="V14" s="61">
        <f t="shared" si="6"/>
        <v>5.681044683460393E-4</v>
      </c>
      <c r="W14" s="61">
        <f t="shared" si="3"/>
        <v>5.1916661079266292E-4</v>
      </c>
      <c r="X14" s="61">
        <f t="shared" si="4"/>
        <v>4.9816739178769592E-4</v>
      </c>
      <c r="Y14" s="61">
        <f t="shared" si="5"/>
        <v>5.0750161629746851E-4</v>
      </c>
      <c r="Z14" s="24"/>
      <c r="AA14" s="65"/>
      <c r="AB14" s="33">
        <v>30.9</v>
      </c>
    </row>
    <row r="15" spans="1:28" s="53" customFormat="1" x14ac:dyDescent="0.2">
      <c r="A15" s="169" t="s">
        <v>62</v>
      </c>
      <c r="B15" s="173"/>
      <c r="C15" s="170" t="s">
        <v>71</v>
      </c>
      <c r="D15" s="106">
        <v>0</v>
      </c>
      <c r="E15" s="123">
        <v>18.575500000000002</v>
      </c>
      <c r="F15" s="123">
        <v>0.28056000000000009</v>
      </c>
      <c r="H15" s="12"/>
      <c r="I15" s="4"/>
      <c r="J15" s="90"/>
      <c r="K15" s="105"/>
      <c r="L15" s="105"/>
      <c r="M15" s="105"/>
      <c r="N15" s="85">
        <f>F35</f>
        <v>0</v>
      </c>
      <c r="O15" s="85">
        <f>F36</f>
        <v>0</v>
      </c>
      <c r="P15" s="85">
        <f>F37</f>
        <v>0</v>
      </c>
      <c r="Q15" s="85">
        <f>F38</f>
        <v>0</v>
      </c>
      <c r="R15" s="6">
        <f t="shared" si="0"/>
        <v>22.4</v>
      </c>
      <c r="S15" s="6">
        <f t="shared" si="0"/>
        <v>22.4</v>
      </c>
      <c r="T15" s="6">
        <f t="shared" si="0"/>
        <v>22.4</v>
      </c>
      <c r="U15" s="6">
        <f t="shared" si="0"/>
        <v>22.4</v>
      </c>
      <c r="V15" s="61">
        <f t="shared" si="6"/>
        <v>0</v>
      </c>
      <c r="W15" s="61">
        <f t="shared" si="3"/>
        <v>0</v>
      </c>
      <c r="X15" s="61">
        <f t="shared" si="4"/>
        <v>0</v>
      </c>
      <c r="Y15" s="61">
        <f t="shared" si="5"/>
        <v>0</v>
      </c>
      <c r="Z15" s="24"/>
      <c r="AA15" s="65"/>
      <c r="AB15" s="53">
        <v>29</v>
      </c>
    </row>
    <row r="16" spans="1:28" s="53" customFormat="1" x14ac:dyDescent="0.2">
      <c r="A16" s="169" t="s">
        <v>62</v>
      </c>
      <c r="B16" s="173"/>
      <c r="C16" s="170" t="s">
        <v>71</v>
      </c>
      <c r="D16" s="106">
        <v>21</v>
      </c>
      <c r="E16" s="123">
        <v>37.600700000000003</v>
      </c>
      <c r="F16" s="123">
        <v>0.28213000000000005</v>
      </c>
      <c r="H16" s="142" t="s">
        <v>66</v>
      </c>
      <c r="I16" s="4"/>
      <c r="J16" s="90"/>
      <c r="K16" s="105"/>
      <c r="L16" s="105"/>
      <c r="M16" s="105"/>
      <c r="N16" s="85">
        <f>F39</f>
        <v>0</v>
      </c>
      <c r="O16" s="85">
        <f>F40</f>
        <v>0</v>
      </c>
      <c r="P16" s="85">
        <f>F41</f>
        <v>0</v>
      </c>
      <c r="Q16" s="85">
        <f>F42</f>
        <v>0</v>
      </c>
      <c r="R16" s="6">
        <f t="shared" si="0"/>
        <v>22.4</v>
      </c>
      <c r="S16" s="6">
        <f t="shared" si="0"/>
        <v>22.4</v>
      </c>
      <c r="T16" s="6">
        <f t="shared" si="0"/>
        <v>22.4</v>
      </c>
      <c r="U16" s="6">
        <f t="shared" si="0"/>
        <v>22.4</v>
      </c>
      <c r="V16" s="61">
        <f t="shared" si="6"/>
        <v>0</v>
      </c>
      <c r="W16" s="61">
        <f t="shared" si="3"/>
        <v>0</v>
      </c>
      <c r="X16" s="61">
        <f t="shared" si="4"/>
        <v>0</v>
      </c>
      <c r="Y16" s="61">
        <f t="shared" si="5"/>
        <v>0</v>
      </c>
      <c r="Z16" s="34"/>
      <c r="AA16" s="65"/>
      <c r="AB16" s="34">
        <v>30</v>
      </c>
    </row>
    <row r="17" spans="1:28" s="53" customFormat="1" x14ac:dyDescent="0.2">
      <c r="A17" s="169" t="s">
        <v>62</v>
      </c>
      <c r="B17" s="173"/>
      <c r="C17" s="170" t="s">
        <v>71</v>
      </c>
      <c r="D17" s="106">
        <v>42</v>
      </c>
      <c r="E17" s="123">
        <v>57.258700000000005</v>
      </c>
      <c r="F17" s="123">
        <v>0.28401000000000004</v>
      </c>
      <c r="H17" s="142" t="s">
        <v>66</v>
      </c>
      <c r="I17" s="4"/>
      <c r="J17" s="90"/>
      <c r="K17" s="105"/>
      <c r="L17" s="105"/>
      <c r="M17" s="105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32.700000000000003</v>
      </c>
    </row>
    <row r="18" spans="1:28" s="33" customFormat="1" x14ac:dyDescent="0.2">
      <c r="A18" s="169" t="s">
        <v>62</v>
      </c>
      <c r="B18" s="173"/>
      <c r="C18" s="170" t="s">
        <v>71</v>
      </c>
      <c r="D18" s="106">
        <v>63</v>
      </c>
      <c r="E18" s="123">
        <v>73.802300000000002</v>
      </c>
      <c r="F18" s="123">
        <v>0.2859000000000001</v>
      </c>
      <c r="H18" s="142" t="s">
        <v>66</v>
      </c>
      <c r="I18" s="4"/>
      <c r="J18" s="90"/>
      <c r="K18" s="104"/>
      <c r="L18" s="104"/>
      <c r="M18" s="104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33.1</v>
      </c>
    </row>
    <row r="19" spans="1:28" s="33" customFormat="1" x14ac:dyDescent="0.2">
      <c r="A19" s="169" t="s">
        <v>62</v>
      </c>
      <c r="B19" s="173"/>
      <c r="C19" s="170" t="s">
        <v>72</v>
      </c>
      <c r="D19" s="106">
        <v>0</v>
      </c>
      <c r="E19" s="123">
        <v>9.7058999999999997</v>
      </c>
      <c r="F19" s="123">
        <v>0.31535000000000007</v>
      </c>
      <c r="H19" s="15"/>
      <c r="Z19" s="53"/>
      <c r="AA19" s="65"/>
      <c r="AB19" s="33">
        <v>28</v>
      </c>
    </row>
    <row r="20" spans="1:28" s="33" customFormat="1" x14ac:dyDescent="0.2">
      <c r="A20" s="169" t="s">
        <v>62</v>
      </c>
      <c r="B20" s="173"/>
      <c r="C20" s="170" t="s">
        <v>72</v>
      </c>
      <c r="D20" s="106">
        <v>21</v>
      </c>
      <c r="E20" s="123">
        <v>20.410299999999999</v>
      </c>
      <c r="F20" s="123">
        <v>0.30774000000000007</v>
      </c>
      <c r="M20" s="107"/>
      <c r="Z20" s="53"/>
      <c r="AA20" s="65"/>
      <c r="AB20" s="33">
        <v>29.9</v>
      </c>
    </row>
    <row r="21" spans="1:28" s="33" customFormat="1" x14ac:dyDescent="0.2">
      <c r="A21" s="169" t="s">
        <v>62</v>
      </c>
      <c r="B21" s="173"/>
      <c r="C21" s="170" t="s">
        <v>72</v>
      </c>
      <c r="D21" s="106">
        <v>42</v>
      </c>
      <c r="E21" s="123">
        <v>30.703300000000002</v>
      </c>
      <c r="F21" s="123">
        <v>0.3121000000000001</v>
      </c>
      <c r="H21" s="190" t="s">
        <v>15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53"/>
      <c r="AA21" s="65"/>
      <c r="AB21" s="33">
        <v>32</v>
      </c>
    </row>
    <row r="22" spans="1:28" s="33" customFormat="1" x14ac:dyDescent="0.2">
      <c r="A22" s="169" t="s">
        <v>62</v>
      </c>
      <c r="B22" s="173"/>
      <c r="C22" s="170" t="s">
        <v>72</v>
      </c>
      <c r="D22" s="106">
        <v>63</v>
      </c>
      <c r="E22" s="123">
        <v>41.229300000000002</v>
      </c>
      <c r="F22" s="123">
        <v>0.31917000000000012</v>
      </c>
      <c r="H22" s="195" t="s">
        <v>39</v>
      </c>
      <c r="I22" s="195" t="s">
        <v>61</v>
      </c>
      <c r="J22" s="193" t="s">
        <v>28</v>
      </c>
      <c r="K22" s="193"/>
      <c r="L22" s="193"/>
      <c r="M22" s="87"/>
      <c r="N22" s="185" t="s">
        <v>48</v>
      </c>
      <c r="O22" s="196"/>
      <c r="P22" s="196"/>
      <c r="Q22" s="196"/>
      <c r="R22" s="186" t="s">
        <v>47</v>
      </c>
      <c r="S22" s="186"/>
      <c r="T22" s="186"/>
      <c r="U22" s="186"/>
      <c r="V22" s="185" t="s">
        <v>43</v>
      </c>
      <c r="W22" s="185"/>
      <c r="X22" s="185"/>
      <c r="Y22" s="185"/>
      <c r="Z22" s="53"/>
      <c r="AA22" s="65"/>
      <c r="AB22" s="33">
        <v>31.8</v>
      </c>
    </row>
    <row r="23" spans="1:28" s="33" customFormat="1" x14ac:dyDescent="0.2">
      <c r="A23" s="169" t="s">
        <v>62</v>
      </c>
      <c r="B23" s="173"/>
      <c r="C23" s="170" t="s">
        <v>73</v>
      </c>
      <c r="D23" s="106">
        <v>0</v>
      </c>
      <c r="E23" s="123">
        <v>10.8489</v>
      </c>
      <c r="F23" s="123">
        <v>0.31569000000000008</v>
      </c>
      <c r="H23" s="195"/>
      <c r="I23" s="195"/>
      <c r="J23" s="88"/>
      <c r="K23" s="88"/>
      <c r="L23" s="88"/>
      <c r="M23" s="88"/>
      <c r="N23" s="196"/>
      <c r="O23" s="196"/>
      <c r="P23" s="196"/>
      <c r="Q23" s="196"/>
      <c r="R23" s="186"/>
      <c r="S23" s="186"/>
      <c r="T23" s="186"/>
      <c r="U23" s="186"/>
      <c r="V23" s="185"/>
      <c r="W23" s="185"/>
      <c r="X23" s="185"/>
      <c r="Y23" s="185"/>
      <c r="Z23" s="53"/>
      <c r="AA23" s="65"/>
      <c r="AB23" s="33">
        <v>27.5</v>
      </c>
    </row>
    <row r="24" spans="1:28" s="33" customFormat="1" x14ac:dyDescent="0.2">
      <c r="A24" s="169" t="s">
        <v>62</v>
      </c>
      <c r="B24" s="173"/>
      <c r="C24" s="170" t="s">
        <v>73</v>
      </c>
      <c r="D24" s="106">
        <v>21</v>
      </c>
      <c r="E24" s="123">
        <v>21.7271</v>
      </c>
      <c r="F24" s="123">
        <v>0.31661000000000011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30</v>
      </c>
    </row>
    <row r="25" spans="1:28" s="33" customFormat="1" ht="13.5" thickBot="1" x14ac:dyDescent="0.25">
      <c r="A25" s="169" t="s">
        <v>62</v>
      </c>
      <c r="B25" s="173"/>
      <c r="C25" s="170" t="s">
        <v>73</v>
      </c>
      <c r="D25" s="106">
        <v>42</v>
      </c>
      <c r="E25" s="123">
        <v>32.283300000000004</v>
      </c>
      <c r="F25" s="123">
        <v>0.32030000000000008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31.8</v>
      </c>
    </row>
    <row r="26" spans="1:28" s="33" customFormat="1" x14ac:dyDescent="0.2">
      <c r="A26" s="169" t="s">
        <v>62</v>
      </c>
      <c r="B26" s="173"/>
      <c r="C26" s="170" t="s">
        <v>73</v>
      </c>
      <c r="D26" s="106">
        <v>63</v>
      </c>
      <c r="E26" s="123">
        <v>48.584100000000007</v>
      </c>
      <c r="F26" s="123">
        <v>0.32543000000000005</v>
      </c>
      <c r="H26" s="166" t="s">
        <v>68</v>
      </c>
      <c r="I26" s="4"/>
      <c r="J26" s="90">
        <f t="shared" ref="J26:M29" si="7">J7</f>
        <v>27</v>
      </c>
      <c r="K26" s="90">
        <f t="shared" si="7"/>
        <v>28.2</v>
      </c>
      <c r="L26" s="90">
        <f t="shared" si="7"/>
        <v>29</v>
      </c>
      <c r="M26" s="90">
        <f t="shared" si="7"/>
        <v>30.5</v>
      </c>
      <c r="N26" s="85">
        <f>E3</f>
        <v>7.8149000000000006</v>
      </c>
      <c r="O26" s="85">
        <f>E4</f>
        <v>14.0281</v>
      </c>
      <c r="P26" s="85">
        <f>E5</f>
        <v>20.792100000000001</v>
      </c>
      <c r="Q26" s="85">
        <f>E6</f>
        <v>27.069100000000002</v>
      </c>
      <c r="R26" s="6">
        <f t="shared" ref="R26:U37" si="8">(((760*22.4)*(273+J26))/(760*273))</f>
        <v>24.615384615384617</v>
      </c>
      <c r="S26" s="6">
        <f t="shared" si="8"/>
        <v>24.713846153846152</v>
      </c>
      <c r="T26" s="6">
        <f t="shared" si="8"/>
        <v>24.77948717948718</v>
      </c>
      <c r="U26" s="6">
        <f t="shared" si="8"/>
        <v>24.902564102564103</v>
      </c>
      <c r="V26" s="61">
        <f>((N26/(R26))*(0.016043))</f>
        <v>5.0933366534375007E-3</v>
      </c>
      <c r="W26" s="61">
        <f t="shared" ref="W26:Y37" si="9">((O26/(S26))*(0.016043))</f>
        <v>9.1063449573580701E-3</v>
      </c>
      <c r="X26" s="61">
        <f t="shared" si="9"/>
        <v>1.3461443244722683E-2</v>
      </c>
      <c r="Y26" s="61">
        <f t="shared" si="9"/>
        <v>1.7438749259369852E-2</v>
      </c>
      <c r="Z26" s="53"/>
      <c r="AA26" s="65"/>
      <c r="AB26" s="33">
        <v>34.1</v>
      </c>
    </row>
    <row r="27" spans="1:28" s="33" customFormat="1" x14ac:dyDescent="0.2">
      <c r="A27" s="169" t="s">
        <v>62</v>
      </c>
      <c r="B27" s="173"/>
      <c r="C27" s="170" t="s">
        <v>74</v>
      </c>
      <c r="D27" s="106">
        <v>0</v>
      </c>
      <c r="E27" s="123">
        <v>19.280900000000003</v>
      </c>
      <c r="F27" s="123">
        <v>0.28075000000000011</v>
      </c>
      <c r="H27" s="167" t="s">
        <v>69</v>
      </c>
      <c r="I27" s="4"/>
      <c r="J27" s="90">
        <f t="shared" si="7"/>
        <v>27.7</v>
      </c>
      <c r="K27" s="90">
        <f t="shared" si="7"/>
        <v>28.9</v>
      </c>
      <c r="L27" s="90">
        <f t="shared" si="7"/>
        <v>30.8</v>
      </c>
      <c r="M27" s="90">
        <f t="shared" si="7"/>
        <v>30.9</v>
      </c>
      <c r="N27" s="85">
        <f>E7</f>
        <v>9.6128999999999998</v>
      </c>
      <c r="O27" s="85">
        <f>E8</f>
        <v>18.758900000000001</v>
      </c>
      <c r="P27" s="85">
        <f>E9</f>
        <v>24.644300000000001</v>
      </c>
      <c r="Q27" s="85">
        <f>E10</f>
        <v>32.538100000000007</v>
      </c>
      <c r="R27" s="6">
        <f t="shared" si="8"/>
        <v>24.672820512820511</v>
      </c>
      <c r="S27" s="6">
        <f t="shared" si="8"/>
        <v>24.77128205128205</v>
      </c>
      <c r="T27" s="6">
        <f t="shared" si="8"/>
        <v>24.927179487179487</v>
      </c>
      <c r="U27" s="6">
        <f t="shared" si="8"/>
        <v>24.935384615384613</v>
      </c>
      <c r="V27" s="61">
        <f t="shared" ref="V27:V37" si="10">((N27/(R27))*(0.016043))</f>
        <v>6.2505928181119065E-3</v>
      </c>
      <c r="W27" s="61">
        <f t="shared" si="9"/>
        <v>1.2149110089537101E-2</v>
      </c>
      <c r="X27" s="61">
        <f t="shared" si="9"/>
        <v>1.5860940268165737E-2</v>
      </c>
      <c r="Y27" s="61">
        <f t="shared" si="9"/>
        <v>2.0934457051764572E-2</v>
      </c>
      <c r="Z27" s="53"/>
      <c r="AA27" s="65"/>
      <c r="AB27" s="33">
        <v>27.7</v>
      </c>
    </row>
    <row r="28" spans="1:28" s="33" customFormat="1" x14ac:dyDescent="0.2">
      <c r="A28" s="169" t="s">
        <v>62</v>
      </c>
      <c r="B28" s="173"/>
      <c r="C28" s="170" t="s">
        <v>74</v>
      </c>
      <c r="D28" s="106">
        <v>21</v>
      </c>
      <c r="E28" s="123">
        <v>32.087700000000005</v>
      </c>
      <c r="F28" s="123">
        <v>0.28593000000000007</v>
      </c>
      <c r="H28" s="167" t="s">
        <v>70</v>
      </c>
      <c r="I28" s="4"/>
      <c r="J28" s="90">
        <f t="shared" si="7"/>
        <v>29</v>
      </c>
      <c r="K28" s="90">
        <f t="shared" si="7"/>
        <v>30</v>
      </c>
      <c r="L28" s="90">
        <f t="shared" si="7"/>
        <v>32.700000000000003</v>
      </c>
      <c r="M28" s="90">
        <f t="shared" si="7"/>
        <v>33.1</v>
      </c>
      <c r="N28" s="85">
        <f>E11</f>
        <v>7.7463000000000006</v>
      </c>
      <c r="O28" s="85">
        <f>E12</f>
        <v>16.019500000000001</v>
      </c>
      <c r="P28" s="85">
        <f>E13</f>
        <v>29.853300000000001</v>
      </c>
      <c r="Q28" s="85">
        <f>E14</f>
        <v>42.172100000000007</v>
      </c>
      <c r="R28" s="6">
        <f t="shared" si="8"/>
        <v>24.77948717948718</v>
      </c>
      <c r="S28" s="6">
        <f t="shared" si="8"/>
        <v>24.861538461538462</v>
      </c>
      <c r="T28" s="6">
        <f t="shared" si="8"/>
        <v>25.083076923076923</v>
      </c>
      <c r="U28" s="6">
        <f t="shared" si="8"/>
        <v>25.115897435897438</v>
      </c>
      <c r="V28" s="61">
        <f t="shared" si="10"/>
        <v>5.0151922031250011E-3</v>
      </c>
      <c r="W28" s="61">
        <f t="shared" si="9"/>
        <v>1.033728620204208E-2</v>
      </c>
      <c r="X28" s="61">
        <f t="shared" si="9"/>
        <v>1.9094008815934743E-2</v>
      </c>
      <c r="Y28" s="61">
        <f t="shared" si="9"/>
        <v>2.6937799138047214E-2</v>
      </c>
      <c r="Z28" s="53"/>
      <c r="AA28" s="65"/>
      <c r="AB28" s="33">
        <v>31.2</v>
      </c>
    </row>
    <row r="29" spans="1:28" s="33" customFormat="1" x14ac:dyDescent="0.2">
      <c r="A29" s="169" t="s">
        <v>62</v>
      </c>
      <c r="B29" s="173"/>
      <c r="C29" s="170" t="s">
        <v>74</v>
      </c>
      <c r="D29" s="106">
        <v>42</v>
      </c>
      <c r="E29" s="123">
        <v>44.831900000000005</v>
      </c>
      <c r="F29" s="123">
        <v>0.2830700000000001</v>
      </c>
      <c r="H29" s="167" t="s">
        <v>71</v>
      </c>
      <c r="I29" s="4"/>
      <c r="J29" s="90">
        <f t="shared" si="7"/>
        <v>28</v>
      </c>
      <c r="K29" s="90">
        <f t="shared" si="7"/>
        <v>29.9</v>
      </c>
      <c r="L29" s="90">
        <f t="shared" si="7"/>
        <v>32</v>
      </c>
      <c r="M29" s="90">
        <f t="shared" si="7"/>
        <v>31.8</v>
      </c>
      <c r="N29" s="85">
        <f>E15</f>
        <v>18.575500000000002</v>
      </c>
      <c r="O29" s="85">
        <f>E16</f>
        <v>37.600700000000003</v>
      </c>
      <c r="P29" s="85">
        <f>E17</f>
        <v>57.258700000000005</v>
      </c>
      <c r="Q29" s="85">
        <f>E18</f>
        <v>73.802300000000002</v>
      </c>
      <c r="R29" s="6">
        <f t="shared" si="8"/>
        <v>24.697435897435899</v>
      </c>
      <c r="S29" s="6">
        <f t="shared" si="8"/>
        <v>24.853333333333332</v>
      </c>
      <c r="T29" s="6">
        <f t="shared" si="8"/>
        <v>25.025641025641026</v>
      </c>
      <c r="U29" s="6">
        <f t="shared" si="8"/>
        <v>25.009230769230768</v>
      </c>
      <c r="V29" s="61">
        <f t="shared" si="10"/>
        <v>1.2066303066341363E-2</v>
      </c>
      <c r="W29" s="61">
        <f t="shared" si="9"/>
        <v>2.4271514086641636E-2</v>
      </c>
      <c r="X29" s="61">
        <f t="shared" si="9"/>
        <v>3.6706405368750007E-2</v>
      </c>
      <c r="Y29" s="61">
        <f t="shared" si="9"/>
        <v>4.7342931488988695E-2</v>
      </c>
      <c r="Z29" s="53"/>
      <c r="AA29" s="65"/>
      <c r="AB29" s="33">
        <v>31.7</v>
      </c>
    </row>
    <row r="30" spans="1:28" s="33" customFormat="1" x14ac:dyDescent="0.2">
      <c r="A30" s="169" t="s">
        <v>62</v>
      </c>
      <c r="B30" s="173"/>
      <c r="C30" s="170" t="s">
        <v>74</v>
      </c>
      <c r="D30" s="106">
        <v>63</v>
      </c>
      <c r="E30" s="123">
        <v>57.738900000000008</v>
      </c>
      <c r="F30" s="123">
        <v>0.31170000000000003</v>
      </c>
      <c r="H30" s="167" t="s">
        <v>72</v>
      </c>
      <c r="I30" s="4"/>
      <c r="J30" s="90">
        <f t="shared" ref="J30:M30" si="11">J11</f>
        <v>27.5</v>
      </c>
      <c r="K30" s="90">
        <f t="shared" si="11"/>
        <v>30</v>
      </c>
      <c r="L30" s="90">
        <f t="shared" si="11"/>
        <v>31.8</v>
      </c>
      <c r="M30" s="90">
        <f t="shared" si="11"/>
        <v>34.1</v>
      </c>
      <c r="N30" s="85">
        <f>E19</f>
        <v>9.7058999999999997</v>
      </c>
      <c r="O30" s="85">
        <f>E20</f>
        <v>20.410299999999999</v>
      </c>
      <c r="P30" s="85">
        <f>E21</f>
        <v>30.703300000000002</v>
      </c>
      <c r="Q30" s="85">
        <f>E22</f>
        <v>41.229300000000002</v>
      </c>
      <c r="R30" s="6">
        <f t="shared" si="8"/>
        <v>24.656410256410258</v>
      </c>
      <c r="S30" s="6">
        <f t="shared" si="8"/>
        <v>24.861538461538462</v>
      </c>
      <c r="T30" s="6">
        <f t="shared" si="8"/>
        <v>25.009230769230768</v>
      </c>
      <c r="U30" s="6">
        <f t="shared" si="8"/>
        <v>25.197948717948719</v>
      </c>
      <c r="V30" s="61">
        <f t="shared" si="10"/>
        <v>6.3152645531405985E-3</v>
      </c>
      <c r="W30" s="61">
        <f t="shared" si="9"/>
        <v>1.3170642814665841E-2</v>
      </c>
      <c r="X30" s="61">
        <f t="shared" si="9"/>
        <v>1.9695649436208173E-2</v>
      </c>
      <c r="Y30" s="61">
        <f t="shared" si="9"/>
        <v>2.6249821654286066E-2</v>
      </c>
      <c r="Z30" s="53"/>
      <c r="AA30" s="65"/>
      <c r="AB30" s="33">
        <v>33.700000000000003</v>
      </c>
    </row>
    <row r="31" spans="1:28" s="33" customFormat="1" x14ac:dyDescent="0.2">
      <c r="A31" s="169" t="s">
        <v>62</v>
      </c>
      <c r="B31" s="173"/>
      <c r="C31" s="170" t="s">
        <v>75</v>
      </c>
      <c r="D31" s="106">
        <v>0</v>
      </c>
      <c r="E31" s="123">
        <v>14.0823</v>
      </c>
      <c r="F31" s="123">
        <v>0.31952000000000008</v>
      </c>
      <c r="H31" s="167" t="s">
        <v>73</v>
      </c>
      <c r="I31" s="4"/>
      <c r="J31" s="90">
        <f t="shared" ref="J31:M31" si="12">J12</f>
        <v>27.7</v>
      </c>
      <c r="K31" s="90">
        <f t="shared" si="12"/>
        <v>31.2</v>
      </c>
      <c r="L31" s="90">
        <f t="shared" si="12"/>
        <v>31.7</v>
      </c>
      <c r="M31" s="90">
        <f t="shared" si="12"/>
        <v>33.700000000000003</v>
      </c>
      <c r="N31" s="85">
        <f>E23</f>
        <v>10.8489</v>
      </c>
      <c r="O31" s="85">
        <f>E24</f>
        <v>21.7271</v>
      </c>
      <c r="P31" s="85">
        <f>E25</f>
        <v>32.283300000000004</v>
      </c>
      <c r="Q31" s="85">
        <f>E26</f>
        <v>48.584100000000007</v>
      </c>
      <c r="R31" s="6">
        <f t="shared" si="8"/>
        <v>24.672820512820511</v>
      </c>
      <c r="S31" s="6">
        <f t="shared" si="8"/>
        <v>24.96</v>
      </c>
      <c r="T31" s="6">
        <f t="shared" si="8"/>
        <v>25.001025641025642</v>
      </c>
      <c r="U31" s="6">
        <f t="shared" si="8"/>
        <v>25.165128205128205</v>
      </c>
      <c r="V31" s="61">
        <f t="shared" si="10"/>
        <v>7.0542766932366165E-3</v>
      </c>
      <c r="W31" s="61">
        <f t="shared" si="9"/>
        <v>1.3965058705929487E-2</v>
      </c>
      <c r="X31" s="61">
        <f t="shared" si="9"/>
        <v>2.0715989389255833E-2</v>
      </c>
      <c r="Y31" s="61">
        <f t="shared" si="9"/>
        <v>3.0972809275859967E-2</v>
      </c>
      <c r="Z31" s="53"/>
      <c r="AA31" s="65"/>
      <c r="AB31" s="33">
        <v>28.6</v>
      </c>
    </row>
    <row r="32" spans="1:28" s="33" customFormat="1" x14ac:dyDescent="0.2">
      <c r="A32" s="169" t="s">
        <v>62</v>
      </c>
      <c r="B32" s="173"/>
      <c r="C32" s="170" t="s">
        <v>75</v>
      </c>
      <c r="D32" s="106">
        <v>21</v>
      </c>
      <c r="E32" s="123">
        <v>23.8307</v>
      </c>
      <c r="F32" s="123">
        <v>0.29548000000000002</v>
      </c>
      <c r="H32" s="167" t="s">
        <v>74</v>
      </c>
      <c r="I32" s="4"/>
      <c r="J32" s="90">
        <f t="shared" ref="J32:L32" si="13">J13</f>
        <v>28.6</v>
      </c>
      <c r="K32" s="90">
        <f t="shared" si="13"/>
        <v>32.4</v>
      </c>
      <c r="L32" s="90">
        <f t="shared" si="13"/>
        <v>33.1</v>
      </c>
      <c r="M32" s="90">
        <f>M13</f>
        <v>34.799999999999997</v>
      </c>
      <c r="N32" s="85">
        <f>E27</f>
        <v>19.280900000000003</v>
      </c>
      <c r="O32" s="85">
        <f>E28</f>
        <v>32.087700000000005</v>
      </c>
      <c r="P32" s="85">
        <f>E29</f>
        <v>44.831900000000005</v>
      </c>
      <c r="Q32" s="85">
        <f>E30</f>
        <v>57.738900000000008</v>
      </c>
      <c r="R32" s="6">
        <f t="shared" si="8"/>
        <v>24.74666666666667</v>
      </c>
      <c r="S32" s="6">
        <f t="shared" si="8"/>
        <v>25.058461538461536</v>
      </c>
      <c r="T32" s="6">
        <f t="shared" si="8"/>
        <v>25.115897435897438</v>
      </c>
      <c r="U32" s="6">
        <f t="shared" si="8"/>
        <v>25.255384615384617</v>
      </c>
      <c r="V32" s="61">
        <f t="shared" si="10"/>
        <v>1.2499601779364227E-2</v>
      </c>
      <c r="W32" s="61">
        <f t="shared" si="9"/>
        <v>2.0543279175773584E-2</v>
      </c>
      <c r="X32" s="61">
        <f t="shared" si="9"/>
        <v>2.8636769740587233E-2</v>
      </c>
      <c r="Y32" s="61">
        <f t="shared" si="9"/>
        <v>3.6677531813779245E-2</v>
      </c>
      <c r="Z32" s="53"/>
      <c r="AA32" s="65"/>
      <c r="AB32" s="33">
        <v>32.4</v>
      </c>
    </row>
    <row r="33" spans="1:28" s="33" customFormat="1" ht="13.5" thickBot="1" x14ac:dyDescent="0.25">
      <c r="A33" s="169" t="s">
        <v>62</v>
      </c>
      <c r="B33" s="173"/>
      <c r="C33" s="170" t="s">
        <v>75</v>
      </c>
      <c r="D33" s="106">
        <v>42</v>
      </c>
      <c r="E33" s="123">
        <v>33.738100000000003</v>
      </c>
      <c r="F33" s="123">
        <v>0.28455000000000003</v>
      </c>
      <c r="H33" s="168" t="s">
        <v>75</v>
      </c>
      <c r="I33" s="4"/>
      <c r="J33" s="90">
        <f t="shared" ref="J33:M33" si="14">J14</f>
        <v>28.7</v>
      </c>
      <c r="K33" s="90">
        <f t="shared" si="14"/>
        <v>32.299999999999997</v>
      </c>
      <c r="L33" s="90">
        <f t="shared" si="14"/>
        <v>33.4</v>
      </c>
      <c r="M33" s="90">
        <f t="shared" si="14"/>
        <v>35.1</v>
      </c>
      <c r="N33" s="85">
        <f>E31</f>
        <v>14.0823</v>
      </c>
      <c r="O33" s="85">
        <f>E32</f>
        <v>23.8307</v>
      </c>
      <c r="P33" s="85">
        <f>E33</f>
        <v>33.738100000000003</v>
      </c>
      <c r="Q33" s="85">
        <f>E34</f>
        <v>43.081500000000005</v>
      </c>
      <c r="R33" s="6">
        <f t="shared" si="8"/>
        <v>24.754871794871793</v>
      </c>
      <c r="S33" s="6">
        <f t="shared" si="8"/>
        <v>25.050256410256413</v>
      </c>
      <c r="T33" s="6">
        <f t="shared" si="8"/>
        <v>25.140512820512818</v>
      </c>
      <c r="U33" s="6">
        <f t="shared" si="8"/>
        <v>25.28</v>
      </c>
      <c r="V33" s="61">
        <f t="shared" si="10"/>
        <v>9.126378870877529E-3</v>
      </c>
      <c r="W33" s="61">
        <f t="shared" si="9"/>
        <v>1.5261956358397478E-2</v>
      </c>
      <c r="X33" s="61">
        <f t="shared" si="9"/>
        <v>2.1529407222686852E-2</v>
      </c>
      <c r="Y33" s="61">
        <f t="shared" si="9"/>
        <v>2.7340051602056967E-2</v>
      </c>
      <c r="Z33" s="53"/>
      <c r="AA33" s="53"/>
      <c r="AB33" s="33">
        <v>33.1</v>
      </c>
    </row>
    <row r="34" spans="1:28" s="33" customFormat="1" ht="13.5" thickBot="1" x14ac:dyDescent="0.25">
      <c r="A34" s="169" t="s">
        <v>62</v>
      </c>
      <c r="B34" s="174"/>
      <c r="C34" s="170" t="s">
        <v>75</v>
      </c>
      <c r="D34" s="106">
        <v>63</v>
      </c>
      <c r="E34" s="123">
        <v>43.081500000000005</v>
      </c>
      <c r="F34" s="123">
        <v>0.29149000000000008</v>
      </c>
      <c r="H34" s="12"/>
      <c r="I34" s="4"/>
      <c r="J34" s="90">
        <f t="shared" ref="J34:M34" si="15">J15</f>
        <v>0</v>
      </c>
      <c r="K34" s="90">
        <f t="shared" si="15"/>
        <v>0</v>
      </c>
      <c r="L34" s="90">
        <f t="shared" si="15"/>
        <v>0</v>
      </c>
      <c r="M34" s="90">
        <f t="shared" si="15"/>
        <v>0</v>
      </c>
      <c r="N34" s="85">
        <f>E35</f>
        <v>0</v>
      </c>
      <c r="O34" s="85">
        <f>E36</f>
        <v>0</v>
      </c>
      <c r="P34" s="85">
        <f>E37</f>
        <v>0</v>
      </c>
      <c r="Q34" s="85">
        <f>E38</f>
        <v>0</v>
      </c>
      <c r="R34" s="6">
        <f t="shared" si="8"/>
        <v>22.4</v>
      </c>
      <c r="S34" s="6">
        <f t="shared" si="8"/>
        <v>22.4</v>
      </c>
      <c r="T34" s="6">
        <f t="shared" si="8"/>
        <v>22.4</v>
      </c>
      <c r="U34" s="6">
        <f t="shared" si="8"/>
        <v>22.4</v>
      </c>
      <c r="V34" s="61">
        <f t="shared" si="10"/>
        <v>0</v>
      </c>
      <c r="W34" s="61">
        <f t="shared" si="9"/>
        <v>0</v>
      </c>
      <c r="X34" s="61">
        <f t="shared" si="9"/>
        <v>0</v>
      </c>
      <c r="Y34" s="61">
        <f t="shared" si="9"/>
        <v>0</v>
      </c>
      <c r="Z34" s="53"/>
      <c r="AA34" s="53"/>
      <c r="AB34" s="33">
        <v>34.799999999999997</v>
      </c>
    </row>
    <row r="35" spans="1:28" s="33" customFormat="1" x14ac:dyDescent="0.2">
      <c r="A35" s="122" t="s">
        <v>62</v>
      </c>
      <c r="B35" s="171"/>
      <c r="C35" s="126"/>
      <c r="D35" s="106">
        <v>0</v>
      </c>
      <c r="E35" s="123"/>
      <c r="F35" s="123"/>
      <c r="H35" s="142" t="s">
        <v>66</v>
      </c>
      <c r="I35" s="4"/>
      <c r="J35" s="90">
        <f t="shared" ref="J35:M35" si="16">J16</f>
        <v>0</v>
      </c>
      <c r="K35" s="90">
        <f t="shared" si="16"/>
        <v>0</v>
      </c>
      <c r="L35" s="90">
        <f t="shared" si="16"/>
        <v>0</v>
      </c>
      <c r="M35" s="90">
        <f t="shared" si="16"/>
        <v>0</v>
      </c>
      <c r="N35" s="85">
        <f>E39</f>
        <v>0</v>
      </c>
      <c r="O35" s="85">
        <f>E40</f>
        <v>0</v>
      </c>
      <c r="P35" s="85">
        <f>E41</f>
        <v>0</v>
      </c>
      <c r="Q35" s="85">
        <f>E42</f>
        <v>0</v>
      </c>
      <c r="R35" s="6">
        <f t="shared" si="8"/>
        <v>22.4</v>
      </c>
      <c r="S35" s="6">
        <f t="shared" si="8"/>
        <v>22.4</v>
      </c>
      <c r="T35" s="6">
        <f t="shared" si="8"/>
        <v>22.4</v>
      </c>
      <c r="U35" s="6">
        <f t="shared" si="8"/>
        <v>22.4</v>
      </c>
      <c r="V35" s="61">
        <f t="shared" si="10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53"/>
      <c r="AA35" s="53"/>
      <c r="AB35" s="33">
        <v>28.7</v>
      </c>
    </row>
    <row r="36" spans="1:28" s="33" customFormat="1" x14ac:dyDescent="0.2">
      <c r="A36" s="122" t="s">
        <v>62</v>
      </c>
      <c r="B36" s="109"/>
      <c r="C36" s="126"/>
      <c r="D36" s="106">
        <v>21</v>
      </c>
      <c r="E36" s="123"/>
      <c r="F36" s="123"/>
      <c r="H36" s="142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32.299999999999997</v>
      </c>
    </row>
    <row r="37" spans="1:28" s="33" customFormat="1" x14ac:dyDescent="0.2">
      <c r="A37" s="122" t="s">
        <v>62</v>
      </c>
      <c r="B37" s="109"/>
      <c r="C37" s="126"/>
      <c r="D37" s="106">
        <v>42</v>
      </c>
      <c r="E37" s="123"/>
      <c r="F37" s="123"/>
      <c r="H37" s="142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33.4</v>
      </c>
    </row>
    <row r="38" spans="1:28" s="33" customFormat="1" x14ac:dyDescent="0.2">
      <c r="A38" s="122" t="s">
        <v>62</v>
      </c>
      <c r="B38" s="109"/>
      <c r="C38" s="126"/>
      <c r="D38" s="106">
        <v>63</v>
      </c>
      <c r="E38" s="123"/>
      <c r="F38" s="123"/>
      <c r="Z38" s="53"/>
      <c r="AA38" s="53"/>
      <c r="AB38" s="33">
        <v>35.1</v>
      </c>
    </row>
    <row r="39" spans="1:28" s="33" customFormat="1" x14ac:dyDescent="0.2">
      <c r="A39" s="122" t="s">
        <v>62</v>
      </c>
      <c r="B39" s="109"/>
      <c r="C39" s="126" t="s">
        <v>66</v>
      </c>
      <c r="D39" s="106">
        <v>0</v>
      </c>
      <c r="E39" s="123"/>
      <c r="F39" s="123"/>
      <c r="Z39" s="53"/>
      <c r="AA39" s="53"/>
    </row>
    <row r="40" spans="1:28" s="33" customFormat="1" x14ac:dyDescent="0.2">
      <c r="A40" s="122" t="s">
        <v>62</v>
      </c>
      <c r="B40" s="109"/>
      <c r="C40" s="126" t="s">
        <v>66</v>
      </c>
      <c r="D40" s="106">
        <v>21</v>
      </c>
      <c r="E40" s="123"/>
      <c r="F40" s="123"/>
      <c r="Z40" s="53"/>
      <c r="AA40" s="53"/>
    </row>
    <row r="41" spans="1:28" s="33" customFormat="1" x14ac:dyDescent="0.2">
      <c r="A41" s="122" t="s">
        <v>62</v>
      </c>
      <c r="B41" s="109"/>
      <c r="C41" s="126" t="s">
        <v>66</v>
      </c>
      <c r="D41" s="106">
        <v>42</v>
      </c>
      <c r="E41" s="123"/>
      <c r="F41" s="123"/>
      <c r="Z41" s="53"/>
      <c r="AA41" s="53"/>
    </row>
    <row r="42" spans="1:28" s="33" customFormat="1" x14ac:dyDescent="0.2">
      <c r="A42" s="122" t="s">
        <v>62</v>
      </c>
      <c r="B42" s="109"/>
      <c r="C42" s="126" t="s">
        <v>66</v>
      </c>
      <c r="D42" s="106">
        <v>63</v>
      </c>
      <c r="E42" s="123"/>
      <c r="F42" s="123"/>
      <c r="Z42" s="53"/>
      <c r="AA42" s="53"/>
    </row>
    <row r="43" spans="1:28" s="33" customFormat="1" x14ac:dyDescent="0.2">
      <c r="A43" s="122" t="s">
        <v>62</v>
      </c>
      <c r="B43" s="124"/>
      <c r="C43" s="126" t="s">
        <v>66</v>
      </c>
      <c r="D43" s="106">
        <v>0</v>
      </c>
      <c r="E43" s="125"/>
      <c r="F43" s="125"/>
      <c r="Z43" s="53"/>
      <c r="AA43" s="53"/>
    </row>
    <row r="44" spans="1:28" s="33" customFormat="1" x14ac:dyDescent="0.2">
      <c r="A44" s="122" t="s">
        <v>62</v>
      </c>
      <c r="B44" s="124"/>
      <c r="C44" s="126" t="s">
        <v>66</v>
      </c>
      <c r="D44" s="106">
        <v>21</v>
      </c>
      <c r="E44" s="125"/>
      <c r="F44" s="125"/>
      <c r="Z44" s="53"/>
      <c r="AA44" s="53"/>
    </row>
    <row r="45" spans="1:28" s="33" customFormat="1" x14ac:dyDescent="0.2">
      <c r="A45" s="122" t="s">
        <v>62</v>
      </c>
      <c r="B45" s="124"/>
      <c r="C45" s="126" t="s">
        <v>66</v>
      </c>
      <c r="D45" s="106">
        <v>42</v>
      </c>
      <c r="E45" s="125"/>
      <c r="F45" s="125"/>
      <c r="Z45" s="53"/>
      <c r="AA45" s="53"/>
    </row>
    <row r="46" spans="1:28" s="33" customFormat="1" x14ac:dyDescent="0.2">
      <c r="A46" s="122" t="s">
        <v>62</v>
      </c>
      <c r="B46" s="124"/>
      <c r="C46" s="126" t="s">
        <v>66</v>
      </c>
      <c r="D46" s="106">
        <v>63</v>
      </c>
      <c r="E46" s="125"/>
      <c r="F46" s="125"/>
      <c r="Z46" s="53"/>
      <c r="AA46" s="53"/>
    </row>
    <row r="47" spans="1:28" s="33" customFormat="1" x14ac:dyDescent="0.2">
      <c r="A47" s="122" t="s">
        <v>62</v>
      </c>
      <c r="B47" s="124"/>
      <c r="C47" s="126" t="s">
        <v>66</v>
      </c>
      <c r="D47" s="106">
        <v>0</v>
      </c>
      <c r="E47" s="125"/>
      <c r="F47" s="125"/>
      <c r="Z47" s="53"/>
      <c r="AA47" s="53"/>
    </row>
    <row r="48" spans="1:28" s="33" customFormat="1" x14ac:dyDescent="0.2">
      <c r="A48" s="122" t="s">
        <v>62</v>
      </c>
      <c r="B48" s="124"/>
      <c r="C48" s="126" t="s">
        <v>66</v>
      </c>
      <c r="D48" s="106">
        <v>21</v>
      </c>
      <c r="E48" s="125"/>
      <c r="F48" s="125"/>
      <c r="Z48" s="53"/>
      <c r="AA48" s="53"/>
    </row>
    <row r="49" spans="1:27" s="33" customFormat="1" x14ac:dyDescent="0.2">
      <c r="A49" s="122" t="s">
        <v>62</v>
      </c>
      <c r="B49" s="124"/>
      <c r="C49" s="126" t="s">
        <v>66</v>
      </c>
      <c r="D49" s="106">
        <v>42</v>
      </c>
      <c r="E49" s="125"/>
      <c r="F49" s="125"/>
      <c r="Z49" s="53"/>
      <c r="AA49" s="53"/>
    </row>
    <row r="50" spans="1:27" s="33" customFormat="1" x14ac:dyDescent="0.2">
      <c r="A50" s="122" t="s">
        <v>62</v>
      </c>
      <c r="B50" s="124"/>
      <c r="C50" s="126" t="s">
        <v>66</v>
      </c>
      <c r="D50" s="106">
        <v>63</v>
      </c>
      <c r="E50" s="125"/>
      <c r="F50" s="125"/>
      <c r="Z50" s="53"/>
      <c r="AA50" s="53"/>
    </row>
    <row r="51" spans="1:27" s="33" customFormat="1" x14ac:dyDescent="0.2">
      <c r="B51" s="110"/>
      <c r="Z51" s="53"/>
      <c r="AA51" s="53"/>
    </row>
    <row r="52" spans="1:27" s="33" customFormat="1" x14ac:dyDescent="0.2">
      <c r="B52" s="110"/>
      <c r="Z52" s="53"/>
      <c r="AA52" s="53"/>
    </row>
    <row r="53" spans="1:27" s="33" customFormat="1" x14ac:dyDescent="0.2">
      <c r="B53" s="110"/>
      <c r="Z53" s="53"/>
      <c r="AA53" s="53"/>
    </row>
    <row r="54" spans="1:27" s="33" customFormat="1" x14ac:dyDescent="0.2">
      <c r="B54" s="110"/>
      <c r="Z54" s="53"/>
      <c r="AA54" s="53"/>
    </row>
    <row r="55" spans="1:27" s="33" customFormat="1" x14ac:dyDescent="0.2">
      <c r="B55" s="110"/>
      <c r="Z55" s="53"/>
      <c r="AA55" s="53"/>
    </row>
    <row r="56" spans="1:27" s="33" customFormat="1" x14ac:dyDescent="0.2">
      <c r="B56" s="110"/>
      <c r="Z56" s="53"/>
      <c r="AA56" s="53"/>
    </row>
    <row r="57" spans="1:27" s="33" customFormat="1" x14ac:dyDescent="0.2">
      <c r="B57" s="110"/>
      <c r="Z57" s="53"/>
      <c r="AA57" s="53"/>
    </row>
    <row r="58" spans="1:27" s="33" customFormat="1" x14ac:dyDescent="0.2">
      <c r="B58" s="110"/>
      <c r="Z58" s="53"/>
      <c r="AA58" s="53"/>
    </row>
    <row r="59" spans="1:27" s="33" customFormat="1" x14ac:dyDescent="0.2">
      <c r="B59" s="110"/>
      <c r="Z59" s="53"/>
      <c r="AA59" s="53"/>
    </row>
    <row r="60" spans="1:27" s="33" customFormat="1" x14ac:dyDescent="0.2">
      <c r="B60" s="110"/>
      <c r="Z60" s="53"/>
      <c r="AA60" s="53"/>
    </row>
    <row r="61" spans="1:27" s="33" customFormat="1" x14ac:dyDescent="0.2">
      <c r="B61" s="110"/>
      <c r="Z61" s="53"/>
      <c r="AA61" s="53"/>
    </row>
    <row r="62" spans="1:27" s="33" customFormat="1" x14ac:dyDescent="0.2">
      <c r="B62" s="110"/>
      <c r="Z62" s="53"/>
      <c r="AA62" s="53"/>
    </row>
    <row r="63" spans="1:27" s="33" customFormat="1" x14ac:dyDescent="0.2">
      <c r="B63" s="110"/>
      <c r="Z63" s="53"/>
      <c r="AA63" s="53"/>
    </row>
    <row r="64" spans="1:27" s="33" customFormat="1" x14ac:dyDescent="0.2">
      <c r="B64" s="110"/>
      <c r="Z64" s="53"/>
      <c r="AA64" s="53"/>
    </row>
    <row r="65" spans="2:27" s="33" customFormat="1" x14ac:dyDescent="0.2">
      <c r="B65" s="110"/>
      <c r="Z65" s="53"/>
      <c r="AA65" s="53"/>
    </row>
    <row r="66" spans="2:27" s="33" customFormat="1" x14ac:dyDescent="0.2">
      <c r="B66" s="110"/>
      <c r="Z66" s="53"/>
      <c r="AA66" s="53"/>
    </row>
    <row r="67" spans="2:27" s="33" customFormat="1" x14ac:dyDescent="0.2">
      <c r="B67" s="110"/>
      <c r="Z67" s="53"/>
      <c r="AA67" s="53"/>
    </row>
    <row r="68" spans="2:27" s="33" customFormat="1" x14ac:dyDescent="0.2">
      <c r="B68" s="110"/>
      <c r="Z68" s="53"/>
      <c r="AA68" s="53"/>
    </row>
    <row r="69" spans="2:27" s="33" customFormat="1" x14ac:dyDescent="0.2">
      <c r="B69" s="110"/>
      <c r="Z69" s="53"/>
      <c r="AA69" s="53"/>
    </row>
    <row r="70" spans="2:27" s="33" customFormat="1" x14ac:dyDescent="0.2">
      <c r="B70" s="110"/>
      <c r="Z70" s="53"/>
      <c r="AA70" s="53"/>
    </row>
    <row r="71" spans="2:27" s="33" customFormat="1" x14ac:dyDescent="0.2">
      <c r="B71" s="110"/>
      <c r="Z71" s="53"/>
      <c r="AA71" s="53"/>
    </row>
    <row r="72" spans="2:27" s="33" customFormat="1" x14ac:dyDescent="0.2">
      <c r="B72" s="110"/>
      <c r="Z72" s="53"/>
      <c r="AA72" s="53"/>
    </row>
    <row r="73" spans="2:27" s="33" customFormat="1" x14ac:dyDescent="0.2">
      <c r="B73" s="110"/>
      <c r="Z73" s="53"/>
      <c r="AA73" s="53"/>
    </row>
    <row r="74" spans="2:27" s="33" customFormat="1" x14ac:dyDescent="0.2">
      <c r="B74" s="110"/>
      <c r="Z74" s="53"/>
      <c r="AA74" s="53"/>
    </row>
    <row r="75" spans="2:27" s="33" customFormat="1" x14ac:dyDescent="0.2">
      <c r="B75" s="110"/>
      <c r="Z75" s="53"/>
      <c r="AA75" s="53"/>
    </row>
    <row r="76" spans="2:27" s="33" customFormat="1" x14ac:dyDescent="0.2">
      <c r="B76" s="110"/>
      <c r="Z76" s="53"/>
      <c r="AA76" s="53"/>
    </row>
    <row r="77" spans="2:27" s="33" customFormat="1" x14ac:dyDescent="0.2">
      <c r="B77" s="110"/>
      <c r="Z77" s="53"/>
      <c r="AA77" s="53"/>
    </row>
    <row r="78" spans="2:27" s="33" customFormat="1" x14ac:dyDescent="0.2">
      <c r="B78" s="110"/>
      <c r="Z78" s="53"/>
      <c r="AA78" s="53"/>
    </row>
    <row r="79" spans="2:27" s="33" customFormat="1" x14ac:dyDescent="0.2">
      <c r="B79" s="110"/>
      <c r="Z79" s="53"/>
      <c r="AA79" s="53"/>
    </row>
    <row r="80" spans="2:27" s="33" customFormat="1" x14ac:dyDescent="0.2">
      <c r="B80" s="110"/>
      <c r="Z80" s="53"/>
      <c r="AA80" s="53"/>
    </row>
    <row r="81" spans="2:27" s="33" customFormat="1" x14ac:dyDescent="0.2">
      <c r="B81" s="110"/>
      <c r="Z81" s="53"/>
      <c r="AA81" s="53"/>
    </row>
    <row r="82" spans="2:27" s="33" customFormat="1" x14ac:dyDescent="0.2">
      <c r="B82" s="110"/>
      <c r="Z82" s="53"/>
      <c r="AA82" s="53"/>
    </row>
    <row r="83" spans="2:27" s="33" customFormat="1" x14ac:dyDescent="0.2">
      <c r="B83" s="110"/>
      <c r="Z83" s="53"/>
      <c r="AA83" s="53"/>
    </row>
    <row r="84" spans="2:27" s="33" customFormat="1" x14ac:dyDescent="0.2">
      <c r="B84" s="110"/>
      <c r="Z84" s="53"/>
      <c r="AA84" s="53"/>
    </row>
    <row r="85" spans="2:27" s="33" customFormat="1" x14ac:dyDescent="0.2">
      <c r="B85" s="110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5" zoomScale="115" zoomScaleNormal="115" zoomScalePageLayoutView="150" workbookViewId="0">
      <selection activeCell="Q31" sqref="Q31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198" t="s">
        <v>20</v>
      </c>
      <c r="D1" s="198"/>
      <c r="E1" s="198"/>
      <c r="F1" s="198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9" t="s">
        <v>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s="1" customFormat="1" ht="14.25" customHeight="1" x14ac:dyDescent="0.2">
      <c r="A4" s="29"/>
      <c r="B4" s="29"/>
      <c r="C4" s="197" t="s">
        <v>34</v>
      </c>
      <c r="D4" s="197"/>
      <c r="E4" s="197"/>
      <c r="F4" s="197"/>
      <c r="G4" s="200" t="s">
        <v>36</v>
      </c>
      <c r="H4" s="72" t="s">
        <v>35</v>
      </c>
      <c r="I4" s="199" t="s">
        <v>44</v>
      </c>
      <c r="J4" s="199" t="s">
        <v>21</v>
      </c>
      <c r="K4" s="202" t="s">
        <v>23</v>
      </c>
      <c r="L4" s="203" t="s">
        <v>31</v>
      </c>
      <c r="M4" s="29"/>
      <c r="N4" s="31"/>
      <c r="O4" s="31"/>
    </row>
    <row r="5" spans="1:15" ht="12.75" customHeight="1" x14ac:dyDescent="0.2">
      <c r="A5" s="192" t="s">
        <v>39</v>
      </c>
      <c r="B5" s="111"/>
      <c r="C5" s="197"/>
      <c r="D5" s="197"/>
      <c r="E5" s="197"/>
      <c r="F5" s="197"/>
      <c r="G5" s="200"/>
      <c r="H5" s="72"/>
      <c r="I5" s="199"/>
      <c r="J5" s="199"/>
      <c r="K5" s="202"/>
      <c r="L5" s="203"/>
      <c r="M5" s="201" t="s">
        <v>22</v>
      </c>
      <c r="N5" s="201"/>
      <c r="O5" s="201"/>
    </row>
    <row r="6" spans="1:15" ht="16.5" customHeight="1" x14ac:dyDescent="0.2">
      <c r="A6" s="192"/>
      <c r="B6" s="111" t="s">
        <v>61</v>
      </c>
      <c r="C6" s="116">
        <v>0</v>
      </c>
      <c r="D6" s="116">
        <v>21</v>
      </c>
      <c r="E6" s="116">
        <v>42</v>
      </c>
      <c r="F6" s="116">
        <v>63</v>
      </c>
      <c r="G6" s="63"/>
      <c r="H6" s="72"/>
      <c r="I6" s="71"/>
      <c r="J6" s="50"/>
      <c r="K6" s="202"/>
      <c r="L6" s="203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66" t="s">
        <v>68</v>
      </c>
      <c r="B8" s="103"/>
      <c r="C8" s="68">
        <f>'GC rawdata'!V7</f>
        <v>5.115664693750001E-4</v>
      </c>
      <c r="D8" s="68">
        <f>'GC rawdata'!W7</f>
        <v>5.1406976562500006E-4</v>
      </c>
      <c r="E8" s="68">
        <f>'GC rawdata'!X7</f>
        <v>5.0876476694950324E-4</v>
      </c>
      <c r="F8" s="68">
        <f>'GC rawdata'!Y7</f>
        <v>5.16130316021417E-4</v>
      </c>
      <c r="G8" s="84" t="str">
        <f>+IF((ABS(F8-C8))&gt;0.000183,"PASS","FAIL")</f>
        <v>FAIL</v>
      </c>
      <c r="H8" s="26">
        <f>+RSQ(C8:F8,$C$2:$F$2)</f>
        <v>0.11569539414408646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50.797181312726238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67" t="s">
        <v>69</v>
      </c>
      <c r="B9" s="103"/>
      <c r="C9" s="68">
        <f>'GC rawdata'!V8</f>
        <v>5.1724363225390778E-4</v>
      </c>
      <c r="D9" s="68">
        <f>'GC rawdata'!W8</f>
        <v>5.1703556697167946E-4</v>
      </c>
      <c r="E9" s="68">
        <f>'GC rawdata'!X8</f>
        <v>5.1998192842741945E-4</v>
      </c>
      <c r="F9" s="68">
        <f>'GC rawdata'!Y8</f>
        <v>5.0113583298371184E-4</v>
      </c>
      <c r="G9" s="84" t="str">
        <f t="shared" ref="G9:G19" si="0">+IF((ABS(F9-C9))&gt;0.000183,"PASS","FAIL")</f>
        <v>FAIL</v>
      </c>
      <c r="H9" s="26">
        <f t="shared" ref="H9:H19" si="1">+RSQ(C9:F9,$C$2:$F$2)</f>
        <v>0.46603306769363551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50.455434936833299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67" t="s">
        <v>70</v>
      </c>
      <c r="B10" s="103"/>
      <c r="C10" s="68">
        <f>'GC rawdata'!V9</f>
        <v>5.0792994014900667E-4</v>
      </c>
      <c r="D10" s="68">
        <f>'GC rawdata'!W9</f>
        <v>5.0708567530940594E-4</v>
      </c>
      <c r="E10" s="68">
        <f>'GC rawdata'!X9</f>
        <v>4.9695677201913645E-4</v>
      </c>
      <c r="F10" s="68">
        <f>'GC rawdata'!Y9</f>
        <v>4.9380138422901025E-4</v>
      </c>
      <c r="G10" s="84" t="str">
        <f t="shared" si="0"/>
        <v>FAIL</v>
      </c>
      <c r="H10" s="26">
        <f t="shared" si="1"/>
        <v>0.9045418978283446</v>
      </c>
      <c r="I10" s="84" t="str">
        <f t="shared" si="2"/>
        <v>LIN</v>
      </c>
      <c r="J10" s="84" t="str">
        <f t="shared" si="3"/>
        <v>0</v>
      </c>
      <c r="K10" s="27">
        <f>'Field data'!K12</f>
        <v>50.968054500672707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67" t="s">
        <v>71</v>
      </c>
      <c r="B11" s="103"/>
      <c r="C11" s="68">
        <f>'GC rawdata'!V10</f>
        <v>4.9999392209302336E-4</v>
      </c>
      <c r="D11" s="68">
        <f>'GC rawdata'!W10</f>
        <v>4.9963800241416322E-4</v>
      </c>
      <c r="E11" s="68">
        <f>'GC rawdata'!X10</f>
        <v>4.9950433346311477E-4</v>
      </c>
      <c r="F11" s="68">
        <f>'GC rawdata'!Y10</f>
        <v>5.031583224655513E-4</v>
      </c>
      <c r="G11" s="84" t="str">
        <f t="shared" si="0"/>
        <v>FAIL</v>
      </c>
      <c r="H11" s="26">
        <f t="shared" si="1"/>
        <v>0.48475975240677477</v>
      </c>
      <c r="I11" s="84" t="str">
        <f t="shared" si="2"/>
        <v>MISS</v>
      </c>
      <c r="J11" s="86" t="str">
        <f t="shared" si="3"/>
        <v>0</v>
      </c>
      <c r="K11" s="27">
        <f>'Field data'!K13</f>
        <v>50.455434936833299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67" t="s">
        <v>72</v>
      </c>
      <c r="B12" s="103"/>
      <c r="C12" s="68">
        <f>'GC rawdata'!V11</f>
        <v>5.6292926487104826E-4</v>
      </c>
      <c r="D12" s="68">
        <f>'GC rawdata'!W11</f>
        <v>5.448121555693071E-4</v>
      </c>
      <c r="E12" s="68">
        <f>'GC rawdata'!X11</f>
        <v>5.4926796936515768E-4</v>
      </c>
      <c r="F12" s="68">
        <f>'GC rawdata'!Y11</f>
        <v>5.5750364989010114E-4</v>
      </c>
      <c r="G12" s="84" t="str">
        <f t="shared" si="0"/>
        <v>FAIL</v>
      </c>
      <c r="H12" s="26">
        <f t="shared" si="1"/>
        <v>3.5240225721705556E-2</v>
      </c>
      <c r="I12" s="84" t="str">
        <f t="shared" si="2"/>
        <v>MISS</v>
      </c>
      <c r="J12" s="86" t="str">
        <f t="shared" si="3"/>
        <v>0</v>
      </c>
      <c r="K12" s="27">
        <f>'Field data'!K14</f>
        <v>50.797181312726238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67" t="s">
        <v>73</v>
      </c>
      <c r="B13" s="103"/>
      <c r="C13" s="68">
        <f>'GC rawdata'!V12</f>
        <v>5.631613804664118E-4</v>
      </c>
      <c r="D13" s="68">
        <f>'GC rawdata'!W12</f>
        <v>5.5830418830128215E-4</v>
      </c>
      <c r="E13" s="68">
        <f>'GC rawdata'!X12</f>
        <v>5.6388423428782423E-4</v>
      </c>
      <c r="F13" s="68">
        <f>'GC rawdata'!Y12</f>
        <v>5.6917953698646892E-4</v>
      </c>
      <c r="G13" s="84" t="str">
        <f t="shared" si="0"/>
        <v>FAIL</v>
      </c>
      <c r="H13" s="26">
        <f t="shared" si="1"/>
        <v>0.46983123194786552</v>
      </c>
      <c r="I13" s="84" t="str">
        <f t="shared" si="2"/>
        <v>MISS</v>
      </c>
      <c r="J13" s="86" t="str">
        <f t="shared" si="3"/>
        <v>0</v>
      </c>
      <c r="K13" s="27">
        <f>'Field data'!K15</f>
        <v>50.626308124779769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67" t="s">
        <v>74</v>
      </c>
      <c r="B14" s="164"/>
      <c r="C14" s="68">
        <f>'GC rawdata'!V13</f>
        <v>4.9933716998922428E-4</v>
      </c>
      <c r="D14" s="68">
        <f>'GC rawdata'!W13</f>
        <v>5.0222249281679776E-4</v>
      </c>
      <c r="E14" s="68">
        <f>'GC rawdata'!X13</f>
        <v>4.9606202652319512E-4</v>
      </c>
      <c r="F14" s="68">
        <f>'GC rawdata'!Y13</f>
        <v>5.4321737755847952E-4</v>
      </c>
      <c r="G14" s="84" t="str">
        <f t="shared" si="0"/>
        <v>FAIL</v>
      </c>
      <c r="H14" s="26">
        <f t="shared" si="1"/>
        <v>0.53494536049054531</v>
      </c>
      <c r="I14" s="84" t="str">
        <f t="shared" si="2"/>
        <v>MISS</v>
      </c>
      <c r="J14" s="86" t="str">
        <f t="shared" si="3"/>
        <v>0</v>
      </c>
      <c r="K14" s="26">
        <f>'Field data'!K16</f>
        <v>50.797181312726238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ht="13.5" thickBot="1" x14ac:dyDescent="0.25">
      <c r="A15" s="168" t="s">
        <v>75</v>
      </c>
      <c r="B15" s="164"/>
      <c r="C15" s="68">
        <f>'GC rawdata'!V14</f>
        <v>5.681044683460393E-4</v>
      </c>
      <c r="D15" s="68">
        <f>'GC rawdata'!W14</f>
        <v>5.1916661079266292E-4</v>
      </c>
      <c r="E15" s="68">
        <f>'GC rawdata'!X14</f>
        <v>4.9816739178769592E-4</v>
      </c>
      <c r="F15" s="68">
        <f>'GC rawdata'!Y14</f>
        <v>5.0750161629746851E-4</v>
      </c>
      <c r="G15" s="84" t="str">
        <f t="shared" si="0"/>
        <v>FAIL</v>
      </c>
      <c r="H15" s="26">
        <f t="shared" si="1"/>
        <v>0.70775290100555344</v>
      </c>
      <c r="I15" s="84" t="str">
        <f t="shared" si="2"/>
        <v>MISS</v>
      </c>
      <c r="J15" s="86" t="str">
        <f t="shared" si="3"/>
        <v>0</v>
      </c>
      <c r="K15" s="26">
        <f>'Field data'!K17</f>
        <v>50.455434936833299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02"/>
      <c r="B16" s="164"/>
      <c r="C16" s="68">
        <f>'GC rawdata'!V15</f>
        <v>0</v>
      </c>
      <c r="D16" s="68">
        <f>'GC rawdata'!W15</f>
        <v>0</v>
      </c>
      <c r="E16" s="68">
        <f>'GC rawdata'!X15</f>
        <v>0</v>
      </c>
      <c r="F16" s="68">
        <f>'GC rawdata'!Y15</f>
        <v>0</v>
      </c>
      <c r="G16" s="84" t="str">
        <f t="shared" si="0"/>
        <v>FAIL</v>
      </c>
      <c r="H16" s="26" t="e">
        <f t="shared" si="1"/>
        <v>#DIV/0!</v>
      </c>
      <c r="I16" s="84" t="e">
        <f t="shared" si="2"/>
        <v>#DIV/0!</v>
      </c>
      <c r="J16" s="86" t="str">
        <f t="shared" si="3"/>
        <v>0</v>
      </c>
      <c r="K16" s="26" t="e">
        <f>'Field data'!K18</f>
        <v>#DIV/0!</v>
      </c>
      <c r="L16" s="26">
        <f>'Field data'!L18*0.0001</f>
        <v>6.8349275178587507E-2</v>
      </c>
      <c r="M16" s="6" t="e">
        <f t="shared" si="4"/>
        <v>#DIV/0!</v>
      </c>
      <c r="N16" s="6" t="e">
        <f t="shared" si="5"/>
        <v>#DIV/0!</v>
      </c>
      <c r="O16" s="6" t="e">
        <f t="shared" si="6"/>
        <v>#DIV/0!</v>
      </c>
    </row>
    <row r="17" spans="1:15" s="141" customFormat="1" x14ac:dyDescent="0.2">
      <c r="A17" s="134" t="s">
        <v>66</v>
      </c>
      <c r="B17" s="135"/>
      <c r="C17" s="136">
        <f>'GC rawdata'!V16</f>
        <v>0</v>
      </c>
      <c r="D17" s="136">
        <f>'GC rawdata'!W16</f>
        <v>0</v>
      </c>
      <c r="E17" s="136">
        <f>'GC rawdata'!X16</f>
        <v>0</v>
      </c>
      <c r="F17" s="136">
        <f>'GC rawdata'!Y16</f>
        <v>0</v>
      </c>
      <c r="G17" s="137" t="str">
        <f t="shared" si="0"/>
        <v>FAIL</v>
      </c>
      <c r="H17" s="138" t="e">
        <f t="shared" si="1"/>
        <v>#DIV/0!</v>
      </c>
      <c r="I17" s="137" t="e">
        <f t="shared" si="2"/>
        <v>#DIV/0!</v>
      </c>
      <c r="J17" s="139" t="str">
        <f t="shared" si="3"/>
        <v>0</v>
      </c>
      <c r="K17" s="138" t="e">
        <f>'Field data'!K19</f>
        <v>#DIV/0!</v>
      </c>
      <c r="L17" s="138">
        <f>'Field data'!L19*0.0001</f>
        <v>6.8349275178587507E-2</v>
      </c>
      <c r="M17" s="140" t="e">
        <f t="shared" si="4"/>
        <v>#DIV/0!</v>
      </c>
      <c r="N17" s="140" t="e">
        <f t="shared" si="5"/>
        <v>#DIV/0!</v>
      </c>
      <c r="O17" s="140" t="e">
        <f t="shared" si="6"/>
        <v>#DIV/0!</v>
      </c>
    </row>
    <row r="18" spans="1:15" s="141" customFormat="1" x14ac:dyDescent="0.2">
      <c r="A18" s="134" t="s">
        <v>66</v>
      </c>
      <c r="B18" s="135"/>
      <c r="C18" s="136">
        <f>'GC rawdata'!V17</f>
        <v>0</v>
      </c>
      <c r="D18" s="136">
        <f>'GC rawdata'!W17</f>
        <v>0</v>
      </c>
      <c r="E18" s="136">
        <f>'GC rawdata'!X17</f>
        <v>0</v>
      </c>
      <c r="F18" s="136">
        <f>'GC rawdata'!Y17</f>
        <v>0</v>
      </c>
      <c r="G18" s="137" t="str">
        <f t="shared" si="0"/>
        <v>FAIL</v>
      </c>
      <c r="H18" s="138" t="e">
        <f t="shared" si="1"/>
        <v>#DIV/0!</v>
      </c>
      <c r="I18" s="137" t="e">
        <f t="shared" si="2"/>
        <v>#DIV/0!</v>
      </c>
      <c r="J18" s="139" t="str">
        <f t="shared" si="3"/>
        <v>0</v>
      </c>
      <c r="K18" s="138" t="e">
        <f>'Field data'!K20</f>
        <v>#DIV/0!</v>
      </c>
      <c r="L18" s="138">
        <f>'Field data'!L20*0.0001</f>
        <v>6.8349275178587507E-2</v>
      </c>
      <c r="M18" s="140" t="e">
        <f t="shared" si="4"/>
        <v>#DIV/0!</v>
      </c>
      <c r="N18" s="140" t="e">
        <f t="shared" si="5"/>
        <v>#DIV/0!</v>
      </c>
      <c r="O18" s="140" t="e">
        <f t="shared" si="6"/>
        <v>#DIV/0!</v>
      </c>
    </row>
    <row r="19" spans="1:15" s="141" customFormat="1" x14ac:dyDescent="0.2">
      <c r="A19" s="134" t="s">
        <v>66</v>
      </c>
      <c r="B19" s="135"/>
      <c r="C19" s="136">
        <f>'GC rawdata'!V18</f>
        <v>0</v>
      </c>
      <c r="D19" s="136">
        <f>'GC rawdata'!W18</f>
        <v>0</v>
      </c>
      <c r="E19" s="136">
        <f>'GC rawdata'!X18</f>
        <v>0</v>
      </c>
      <c r="F19" s="136">
        <f>'GC rawdata'!Y18</f>
        <v>0</v>
      </c>
      <c r="G19" s="137" t="str">
        <f t="shared" si="0"/>
        <v>FAIL</v>
      </c>
      <c r="H19" s="138" t="e">
        <f t="shared" si="1"/>
        <v>#DIV/0!</v>
      </c>
      <c r="I19" s="137" t="e">
        <f t="shared" si="2"/>
        <v>#DIV/0!</v>
      </c>
      <c r="J19" s="139" t="str">
        <f t="shared" si="3"/>
        <v>0</v>
      </c>
      <c r="K19" s="138" t="e">
        <f>'Field data'!K21</f>
        <v>#DIV/0!</v>
      </c>
      <c r="L19" s="138">
        <f>'Field data'!L21*0.0001</f>
        <v>6.8349275178587507E-2</v>
      </c>
      <c r="M19" s="140" t="e">
        <f t="shared" si="4"/>
        <v>#DIV/0!</v>
      </c>
      <c r="N19" s="140" t="e">
        <f t="shared" si="5"/>
        <v>#DIV/0!</v>
      </c>
      <c r="O19" s="140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204" t="s">
        <v>15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</row>
    <row r="24" spans="1:15" x14ac:dyDescent="0.2">
      <c r="A24" s="46"/>
      <c r="B24" s="46"/>
      <c r="C24" s="205" t="s">
        <v>45</v>
      </c>
      <c r="D24" s="205"/>
      <c r="E24" s="205"/>
      <c r="F24" s="205"/>
      <c r="G24" s="206" t="s">
        <v>36</v>
      </c>
      <c r="H24" s="48" t="s">
        <v>35</v>
      </c>
      <c r="I24" s="207" t="s">
        <v>44</v>
      </c>
      <c r="J24" s="207" t="s">
        <v>21</v>
      </c>
      <c r="K24" s="208" t="s">
        <v>23</v>
      </c>
      <c r="L24" s="209" t="s">
        <v>31</v>
      </c>
      <c r="M24" s="46"/>
      <c r="N24" s="47"/>
      <c r="O24" s="47"/>
    </row>
    <row r="25" spans="1:15" x14ac:dyDescent="0.2">
      <c r="A25" s="210" t="s">
        <v>39</v>
      </c>
      <c r="B25" s="112"/>
      <c r="C25" s="205"/>
      <c r="D25" s="205"/>
      <c r="E25" s="205"/>
      <c r="F25" s="205"/>
      <c r="G25" s="206"/>
      <c r="H25" s="48"/>
      <c r="I25" s="207"/>
      <c r="J25" s="207"/>
      <c r="K25" s="208"/>
      <c r="L25" s="209"/>
      <c r="M25" s="211" t="s">
        <v>46</v>
      </c>
      <c r="N25" s="211"/>
      <c r="O25" s="211"/>
    </row>
    <row r="26" spans="1:15" ht="22.5" x14ac:dyDescent="0.2">
      <c r="A26" s="210"/>
      <c r="B26" s="112" t="s">
        <v>61</v>
      </c>
      <c r="C26" s="117">
        <v>0</v>
      </c>
      <c r="D26" s="117">
        <v>21</v>
      </c>
      <c r="E26" s="117">
        <v>42</v>
      </c>
      <c r="F26" s="117">
        <v>63</v>
      </c>
      <c r="G26" s="73"/>
      <c r="H26" s="48"/>
      <c r="I26" s="73"/>
      <c r="J26" s="66"/>
      <c r="K26" s="208"/>
      <c r="L26" s="209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66" t="s">
        <v>68</v>
      </c>
      <c r="B28" s="103"/>
      <c r="C28" s="68">
        <f>'GC rawdata'!V26</f>
        <v>5.0933366534375007E-3</v>
      </c>
      <c r="D28" s="68">
        <f>'GC rawdata'!W26</f>
        <v>9.1063449573580701E-3</v>
      </c>
      <c r="E28" s="68">
        <f>'GC rawdata'!X26</f>
        <v>1.3461443244722683E-2</v>
      </c>
      <c r="F28" s="68">
        <f>'GC rawdata'!Y26</f>
        <v>1.7438749259369852E-2</v>
      </c>
      <c r="G28" s="84" t="str">
        <f>+IF((ABS(F28-C28))&gt;0.000183,"PASS","FAIL")</f>
        <v>PASS</v>
      </c>
      <c r="H28" s="26">
        <f>+RSQ(C28:F28,$C$2:$F$2)</f>
        <v>0.99969388858832098</v>
      </c>
      <c r="I28" s="84" t="str">
        <f>IF(H28&gt;0.845,"LIN","MISS")</f>
        <v>LIN</v>
      </c>
      <c r="J28" s="86">
        <f>IF(G28="FAIL","0",IF(I28="LIN",+SLOPE(C28:F28,$C$2:$F$2),"MISS"))</f>
        <v>1.9710160050076986E-4</v>
      </c>
      <c r="K28" s="27">
        <f>'Field data'!K10</f>
        <v>50.797181312726238</v>
      </c>
      <c r="L28" s="27">
        <f>'Field data'!L10*0.0001</f>
        <v>6.8349275178587507E-2</v>
      </c>
      <c r="M28" s="28">
        <f>IF(J28="MISS","MISS",((K28/L28)*J28))</f>
        <v>0.14648590949217216</v>
      </c>
      <c r="N28" s="28">
        <f>IF(M28="MISS","MISS",M28*60)</f>
        <v>8.7891545695303304</v>
      </c>
      <c r="O28" s="28">
        <f>IF(N28="MISS","MISS",N28*240)</f>
        <v>2109.3970966872794</v>
      </c>
    </row>
    <row r="29" spans="1:15" x14ac:dyDescent="0.2">
      <c r="A29" s="167" t="s">
        <v>69</v>
      </c>
      <c r="B29" s="103"/>
      <c r="C29" s="68">
        <f>'GC rawdata'!V27</f>
        <v>6.2505928181119065E-3</v>
      </c>
      <c r="D29" s="68">
        <f>'GC rawdata'!W27</f>
        <v>1.2149110089537101E-2</v>
      </c>
      <c r="E29" s="68">
        <f>'GC rawdata'!X27</f>
        <v>1.5860940268165737E-2</v>
      </c>
      <c r="F29" s="68">
        <f>'GC rawdata'!Y27</f>
        <v>2.0934457051764572E-2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0.99303799423611772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2.2744487085517447E-4</v>
      </c>
      <c r="K29" s="27">
        <f>'Field data'!K11</f>
        <v>50.455434936833299</v>
      </c>
      <c r="L29" s="27">
        <f>'Field data'!L11*0.0001</f>
        <v>6.8349275178587507E-2</v>
      </c>
      <c r="M29" s="28">
        <f t="shared" ref="M29:M39" si="11">IF(J29="MISS","MISS",((K29/L29)*J29))</f>
        <v>0.16789980366528981</v>
      </c>
      <c r="N29" s="28">
        <f t="shared" ref="N29:N39" si="12">IF(M29="MISS","MISS",M29*60)</f>
        <v>10.073988219917389</v>
      </c>
      <c r="O29" s="28">
        <f t="shared" ref="O29" si="13">IF(N29="MISS","MISS",N29*240)</f>
        <v>2417.7571727801733</v>
      </c>
    </row>
    <row r="30" spans="1:15" x14ac:dyDescent="0.2">
      <c r="A30" s="167" t="s">
        <v>70</v>
      </c>
      <c r="B30" s="103"/>
      <c r="C30" s="68">
        <f>'GC rawdata'!V28</f>
        <v>5.0151922031250011E-3</v>
      </c>
      <c r="D30" s="68">
        <f>'GC rawdata'!W28</f>
        <v>1.033728620204208E-2</v>
      </c>
      <c r="E30" s="68">
        <f>'GC rawdata'!X28</f>
        <v>1.9094008815934743E-2</v>
      </c>
      <c r="F30" s="68">
        <f>'GC rawdata'!Y28</f>
        <v>2.6937799138047214E-2</v>
      </c>
      <c r="G30" s="84" t="str">
        <f t="shared" si="7"/>
        <v>PASS</v>
      </c>
      <c r="H30" s="26">
        <f t="shared" si="8"/>
        <v>0.99095457038296331</v>
      </c>
      <c r="I30" s="84" t="str">
        <f t="shared" si="9"/>
        <v>LIN</v>
      </c>
      <c r="J30" s="86">
        <f t="shared" si="10"/>
        <v>3.5487877818409191E-4</v>
      </c>
      <c r="K30" s="27">
        <f>'Field data'!K12</f>
        <v>50.968054500672707</v>
      </c>
      <c r="L30" s="27">
        <f>'Field data'!L12*0.0001</f>
        <v>6.8349275178587507E-2</v>
      </c>
      <c r="M30" s="28">
        <f t="shared" si="11"/>
        <v>0.26463310489187736</v>
      </c>
      <c r="N30" s="28">
        <f t="shared" si="12"/>
        <v>15.877986293512642</v>
      </c>
      <c r="O30" s="28">
        <f t="shared" ref="O30" si="14">IF(N30="MISS","MISS",N30*240)</f>
        <v>3810.7167104430341</v>
      </c>
    </row>
    <row r="31" spans="1:15" x14ac:dyDescent="0.2">
      <c r="A31" s="167" t="s">
        <v>71</v>
      </c>
      <c r="B31" s="103"/>
      <c r="C31" s="68">
        <f>'GC rawdata'!V29</f>
        <v>1.2066303066341363E-2</v>
      </c>
      <c r="D31" s="68">
        <f>'GC rawdata'!W29</f>
        <v>2.4271514086641636E-2</v>
      </c>
      <c r="E31" s="68">
        <f>'GC rawdata'!X29</f>
        <v>3.6706405368750007E-2</v>
      </c>
      <c r="F31" s="68">
        <f>'GC rawdata'!Y29</f>
        <v>4.7342931488988695E-2</v>
      </c>
      <c r="G31" s="84" t="str">
        <f t="shared" si="7"/>
        <v>PASS</v>
      </c>
      <c r="H31" s="26">
        <f>+RSQ(C31:F31,$C$2:$F$2)</f>
        <v>0.99882761836294276</v>
      </c>
      <c r="I31" s="84" t="str">
        <f t="shared" si="9"/>
        <v>LIN</v>
      </c>
      <c r="J31" s="86">
        <f t="shared" si="10"/>
        <v>5.631656026192875E-4</v>
      </c>
      <c r="K31" s="27">
        <f>'Field data'!K13</f>
        <v>50.455434936833299</v>
      </c>
      <c r="L31" s="27">
        <f>'Field data'!L13*0.0001</f>
        <v>6.8349275178587507E-2</v>
      </c>
      <c r="M31" s="28">
        <f t="shared" si="11"/>
        <v>0.41572884785355807</v>
      </c>
      <c r="N31" s="28">
        <f t="shared" si="12"/>
        <v>24.943730871213486</v>
      </c>
      <c r="O31" s="28">
        <f t="shared" ref="O31:O39" si="15">IF(N31="MISS","MISS",N31*240)</f>
        <v>5986.495409091237</v>
      </c>
    </row>
    <row r="32" spans="1:15" x14ac:dyDescent="0.2">
      <c r="A32" s="167" t="s">
        <v>72</v>
      </c>
      <c r="B32" s="103"/>
      <c r="C32" s="68">
        <f>'GC rawdata'!V30</f>
        <v>6.3152645531405985E-3</v>
      </c>
      <c r="D32" s="68">
        <f>'GC rawdata'!W30</f>
        <v>1.3170642814665841E-2</v>
      </c>
      <c r="E32" s="68">
        <f>'GC rawdata'!X30</f>
        <v>1.9695649436208173E-2</v>
      </c>
      <c r="F32" s="68">
        <f>'GC rawdata'!Y30</f>
        <v>2.6249821654286066E-2</v>
      </c>
      <c r="G32" s="84" t="str">
        <f t="shared" si="7"/>
        <v>PASS</v>
      </c>
      <c r="H32" s="26">
        <f t="shared" ref="H32:H39" si="16">+RSQ(C32:F32,$C$2:$F$2)</f>
        <v>0.99986752674874757</v>
      </c>
      <c r="I32" s="84" t="str">
        <f t="shared" si="9"/>
        <v>LIN</v>
      </c>
      <c r="J32" s="86">
        <f t="shared" si="10"/>
        <v>3.1585084726180353E-4</v>
      </c>
      <c r="K32" s="27">
        <f>'Field data'!K14</f>
        <v>50.797181312726238</v>
      </c>
      <c r="L32" s="27">
        <f>'Field data'!L14*0.0001</f>
        <v>6.8349275178587507E-2</v>
      </c>
      <c r="M32" s="28">
        <f t="shared" si="11"/>
        <v>0.2347403496849724</v>
      </c>
      <c r="N32" s="28">
        <f t="shared" si="12"/>
        <v>14.084420981098344</v>
      </c>
      <c r="O32" s="28">
        <f t="shared" si="15"/>
        <v>3380.2610354636026</v>
      </c>
    </row>
    <row r="33" spans="1:15" x14ac:dyDescent="0.2">
      <c r="A33" s="167" t="s">
        <v>73</v>
      </c>
      <c r="B33" s="103"/>
      <c r="C33" s="68">
        <f>'GC rawdata'!V31</f>
        <v>7.0542766932366165E-3</v>
      </c>
      <c r="D33" s="68">
        <f>'GC rawdata'!W31</f>
        <v>1.3965058705929487E-2</v>
      </c>
      <c r="E33" s="68">
        <f>'GC rawdata'!X31</f>
        <v>2.0715989389255833E-2</v>
      </c>
      <c r="F33" s="68">
        <f>'GC rawdata'!Y31</f>
        <v>3.0972809275859967E-2</v>
      </c>
      <c r="G33" s="84" t="str">
        <f t="shared" si="7"/>
        <v>PASS</v>
      </c>
      <c r="H33" s="26">
        <f t="shared" si="16"/>
        <v>0.98886235750595974</v>
      </c>
      <c r="I33" s="84" t="str">
        <f t="shared" si="9"/>
        <v>LIN</v>
      </c>
      <c r="J33" s="86">
        <f t="shared" si="10"/>
        <v>3.7384061157712571E-4</v>
      </c>
      <c r="K33" s="27">
        <f>'Field data'!K15</f>
        <v>50.626308124779769</v>
      </c>
      <c r="L33" s="27">
        <f>'Field data'!L15*0.0001</f>
        <v>6.8349275178587507E-2</v>
      </c>
      <c r="M33" s="28">
        <f t="shared" si="11"/>
        <v>0.27690374099517701</v>
      </c>
      <c r="N33" s="28">
        <f t="shared" si="12"/>
        <v>16.61422445971062</v>
      </c>
      <c r="O33" s="28">
        <f t="shared" si="15"/>
        <v>3987.4138703305489</v>
      </c>
    </row>
    <row r="34" spans="1:15" s="1" customFormat="1" x14ac:dyDescent="0.2">
      <c r="A34" s="167" t="s">
        <v>74</v>
      </c>
      <c r="B34" s="164"/>
      <c r="C34" s="68">
        <f>'GC rawdata'!V32</f>
        <v>1.2499601779364227E-2</v>
      </c>
      <c r="D34" s="68">
        <f>'GC rawdata'!W32</f>
        <v>2.0543279175773584E-2</v>
      </c>
      <c r="E34" s="68">
        <f>'GC rawdata'!X32</f>
        <v>2.8636769740587233E-2</v>
      </c>
      <c r="F34" s="68">
        <f>'GC rawdata'!Y32</f>
        <v>3.6677531813779245E-2</v>
      </c>
      <c r="G34" s="84" t="str">
        <f t="shared" si="7"/>
        <v>PASS</v>
      </c>
      <c r="H34" s="26">
        <f t="shared" si="16"/>
        <v>0.99999837599402797</v>
      </c>
      <c r="I34" s="84" t="str">
        <f t="shared" si="9"/>
        <v>LIN</v>
      </c>
      <c r="J34" s="86">
        <f t="shared" si="10"/>
        <v>3.839394317526605E-4</v>
      </c>
      <c r="K34" s="26">
        <f>'Field data'!K16</f>
        <v>50.797181312726238</v>
      </c>
      <c r="L34" s="26">
        <f>'Field data'!L16*0.0001</f>
        <v>6.8349275178587507E-2</v>
      </c>
      <c r="M34" s="6">
        <f t="shared" si="11"/>
        <v>0.28534378567857732</v>
      </c>
      <c r="N34" s="6">
        <f t="shared" si="12"/>
        <v>17.120627140714639</v>
      </c>
      <c r="O34" s="6">
        <f t="shared" si="15"/>
        <v>4108.9505137715132</v>
      </c>
    </row>
    <row r="35" spans="1:15" s="1" customFormat="1" ht="13.5" thickBot="1" x14ac:dyDescent="0.25">
      <c r="A35" s="168" t="s">
        <v>75</v>
      </c>
      <c r="B35" s="164"/>
      <c r="C35" s="68">
        <f>'GC rawdata'!V33</f>
        <v>9.126378870877529E-3</v>
      </c>
      <c r="D35" s="68">
        <f>'GC rawdata'!W33</f>
        <v>1.5261956358397478E-2</v>
      </c>
      <c r="E35" s="68">
        <f>'GC rawdata'!X33</f>
        <v>2.1529407222686852E-2</v>
      </c>
      <c r="F35" s="68">
        <f>'GC rawdata'!Y33</f>
        <v>2.7340051602056967E-2</v>
      </c>
      <c r="G35" s="84" t="str">
        <f t="shared" si="7"/>
        <v>PASS</v>
      </c>
      <c r="H35" s="26">
        <f t="shared" si="16"/>
        <v>0.99976434424230876</v>
      </c>
      <c r="I35" s="84" t="str">
        <f t="shared" si="9"/>
        <v>LIN</v>
      </c>
      <c r="J35" s="86">
        <f t="shared" si="10"/>
        <v>2.9004032884679851E-4</v>
      </c>
      <c r="K35" s="26">
        <f>'Field data'!K17</f>
        <v>50.455434936833299</v>
      </c>
      <c r="L35" s="26">
        <f>'Field data'!L17*0.0001</f>
        <v>6.8349275178587507E-2</v>
      </c>
      <c r="M35" s="6">
        <f t="shared" si="11"/>
        <v>0.21410777075470669</v>
      </c>
      <c r="N35" s="6">
        <f t="shared" si="12"/>
        <v>12.846466245282402</v>
      </c>
      <c r="O35" s="6">
        <f t="shared" si="15"/>
        <v>3083.1518988677763</v>
      </c>
    </row>
    <row r="36" spans="1:15" s="1" customFormat="1" x14ac:dyDescent="0.2">
      <c r="A36" s="102"/>
      <c r="B36" s="164"/>
      <c r="C36" s="68">
        <f>'GC rawdata'!V34</f>
        <v>0</v>
      </c>
      <c r="D36" s="68">
        <f>'GC rawdata'!W34</f>
        <v>0</v>
      </c>
      <c r="E36" s="68">
        <f>'GC rawdata'!X34</f>
        <v>0</v>
      </c>
      <c r="F36" s="68">
        <f>'GC rawdata'!Y34</f>
        <v>0</v>
      </c>
      <c r="G36" s="84" t="str">
        <f t="shared" si="7"/>
        <v>FAIL</v>
      </c>
      <c r="H36" s="26" t="e">
        <f t="shared" si="16"/>
        <v>#DIV/0!</v>
      </c>
      <c r="I36" s="84" t="e">
        <f t="shared" si="9"/>
        <v>#DIV/0!</v>
      </c>
      <c r="J36" s="86" t="str">
        <f t="shared" si="10"/>
        <v>0</v>
      </c>
      <c r="K36" s="26" t="e">
        <f>'Field data'!K18</f>
        <v>#DIV/0!</v>
      </c>
      <c r="L36" s="26">
        <f>'Field data'!L18*0.0001</f>
        <v>6.8349275178587507E-2</v>
      </c>
      <c r="M36" s="6" t="e">
        <f t="shared" si="11"/>
        <v>#DIV/0!</v>
      </c>
      <c r="N36" s="6" t="e">
        <f t="shared" si="12"/>
        <v>#DIV/0!</v>
      </c>
      <c r="O36" s="6" t="e">
        <f t="shared" si="15"/>
        <v>#DIV/0!</v>
      </c>
    </row>
    <row r="37" spans="1:15" s="141" customFormat="1" x14ac:dyDescent="0.2">
      <c r="A37" s="134" t="s">
        <v>66</v>
      </c>
      <c r="B37" s="135"/>
      <c r="C37" s="136">
        <f>'GC rawdata'!V35</f>
        <v>0</v>
      </c>
      <c r="D37" s="136">
        <f>'GC rawdata'!W35</f>
        <v>0</v>
      </c>
      <c r="E37" s="136">
        <f>'GC rawdata'!X35</f>
        <v>0</v>
      </c>
      <c r="F37" s="136">
        <f>'GC rawdata'!Y35</f>
        <v>0</v>
      </c>
      <c r="G37" s="137" t="str">
        <f t="shared" si="7"/>
        <v>FAIL</v>
      </c>
      <c r="H37" s="138" t="e">
        <f t="shared" si="16"/>
        <v>#DIV/0!</v>
      </c>
      <c r="I37" s="137" t="e">
        <f t="shared" si="9"/>
        <v>#DIV/0!</v>
      </c>
      <c r="J37" s="139" t="str">
        <f t="shared" si="10"/>
        <v>0</v>
      </c>
      <c r="K37" s="138" t="e">
        <f>'Field data'!K19</f>
        <v>#DIV/0!</v>
      </c>
      <c r="L37" s="138">
        <f>'Field data'!L19*0.0001</f>
        <v>6.8349275178587507E-2</v>
      </c>
      <c r="M37" s="140" t="e">
        <f t="shared" si="11"/>
        <v>#DIV/0!</v>
      </c>
      <c r="N37" s="140" t="e">
        <f t="shared" si="12"/>
        <v>#DIV/0!</v>
      </c>
      <c r="O37" s="140" t="e">
        <f t="shared" si="15"/>
        <v>#DIV/0!</v>
      </c>
    </row>
    <row r="38" spans="1:15" s="141" customFormat="1" x14ac:dyDescent="0.2">
      <c r="A38" s="134" t="s">
        <v>66</v>
      </c>
      <c r="B38" s="135"/>
      <c r="C38" s="136">
        <f>'GC rawdata'!V36</f>
        <v>0</v>
      </c>
      <c r="D38" s="136">
        <f>'GC rawdata'!W36</f>
        <v>0</v>
      </c>
      <c r="E38" s="136">
        <f>'GC rawdata'!X36</f>
        <v>0</v>
      </c>
      <c r="F38" s="136">
        <f>'GC rawdata'!Y36</f>
        <v>0</v>
      </c>
      <c r="G38" s="137" t="str">
        <f t="shared" si="7"/>
        <v>FAIL</v>
      </c>
      <c r="H38" s="138" t="e">
        <f t="shared" si="16"/>
        <v>#DIV/0!</v>
      </c>
      <c r="I38" s="137" t="e">
        <f t="shared" si="9"/>
        <v>#DIV/0!</v>
      </c>
      <c r="J38" s="139" t="str">
        <f t="shared" si="10"/>
        <v>0</v>
      </c>
      <c r="K38" s="138" t="e">
        <f>'Field data'!K20</f>
        <v>#DIV/0!</v>
      </c>
      <c r="L38" s="138">
        <f>'Field data'!L20*0.0001</f>
        <v>6.8349275178587507E-2</v>
      </c>
      <c r="M38" s="140" t="e">
        <f t="shared" si="11"/>
        <v>#DIV/0!</v>
      </c>
      <c r="N38" s="140" t="e">
        <f t="shared" si="12"/>
        <v>#DIV/0!</v>
      </c>
      <c r="O38" s="140" t="e">
        <f t="shared" si="15"/>
        <v>#DIV/0!</v>
      </c>
    </row>
    <row r="39" spans="1:15" s="141" customFormat="1" x14ac:dyDescent="0.2">
      <c r="A39" s="134" t="s">
        <v>66</v>
      </c>
      <c r="B39" s="135"/>
      <c r="C39" s="136">
        <f>'GC rawdata'!V37</f>
        <v>0</v>
      </c>
      <c r="D39" s="136">
        <f>'GC rawdata'!W37</f>
        <v>0</v>
      </c>
      <c r="E39" s="136">
        <f>'GC rawdata'!X37</f>
        <v>0</v>
      </c>
      <c r="F39" s="136">
        <f>'GC rawdata'!Y37</f>
        <v>0</v>
      </c>
      <c r="G39" s="137" t="str">
        <f t="shared" si="7"/>
        <v>FAIL</v>
      </c>
      <c r="H39" s="138" t="e">
        <f t="shared" si="16"/>
        <v>#DIV/0!</v>
      </c>
      <c r="I39" s="137" t="e">
        <f t="shared" si="9"/>
        <v>#DIV/0!</v>
      </c>
      <c r="J39" s="139" t="str">
        <f t="shared" si="10"/>
        <v>0</v>
      </c>
      <c r="K39" s="138" t="e">
        <f>'Field data'!K21</f>
        <v>#DIV/0!</v>
      </c>
      <c r="L39" s="138">
        <f>'Field data'!L21*0.0001</f>
        <v>6.8349275178587507E-2</v>
      </c>
      <c r="M39" s="140" t="e">
        <f t="shared" si="11"/>
        <v>#DIV/0!</v>
      </c>
      <c r="N39" s="140" t="e">
        <f t="shared" si="12"/>
        <v>#DIV/0!</v>
      </c>
      <c r="O39" s="140" t="e">
        <f t="shared" si="15"/>
        <v>#DIV/0!</v>
      </c>
    </row>
  </sheetData>
  <sheetProtection selectLockedCells="1" selectUnlockedCells="1"/>
  <mergeCells count="19"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2024-01-20T20:07:36Z</dcterms:modified>
  <cp:category/>
</cp:coreProperties>
</file>