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3\GC gas data 2023\Calculations\Jul\"/>
    </mc:Choice>
  </mc:AlternateContent>
  <bookViews>
    <workbookView xWindow="0" yWindow="0" windowWidth="23040" windowHeight="8595" tabRatio="805" activeTab="2"/>
  </bookViews>
  <sheets>
    <sheet name="Field data" sheetId="43" r:id="rId1"/>
    <sheet name="GC rawdata" sheetId="51" r:id="rId2"/>
    <sheet name="Flux data" sheetId="45" r:id="rId3"/>
  </sheets>
  <definedNames>
    <definedName name="mgPERg">#REF!</definedName>
    <definedName name="minPERday">#REF!</definedName>
    <definedName name="_xlnm.Print_Area" localSheetId="1">'GC rawdata'!$H$2:$AB$12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51" l="1"/>
  <c r="N7" i="51" l="1"/>
  <c r="M10" i="43"/>
  <c r="C17" i="45" l="1"/>
  <c r="D17" i="45"/>
  <c r="E17" i="45"/>
  <c r="F17" i="45"/>
  <c r="G17" i="45" s="1"/>
  <c r="J17" i="45" s="1"/>
  <c r="H17" i="45"/>
  <c r="I17" i="45" s="1"/>
  <c r="C18" i="45"/>
  <c r="D18" i="45"/>
  <c r="E18" i="45"/>
  <c r="H18" i="45" s="1"/>
  <c r="I18" i="45" s="1"/>
  <c r="F18" i="45"/>
  <c r="G18" i="45"/>
  <c r="J18" i="45" s="1"/>
  <c r="C19" i="45"/>
  <c r="D19" i="45"/>
  <c r="E19" i="45"/>
  <c r="F19" i="45"/>
  <c r="H19" i="45" s="1"/>
  <c r="I19" i="45" s="1"/>
  <c r="G19" i="45"/>
  <c r="J19" i="45"/>
  <c r="L19" i="45"/>
  <c r="C37" i="45"/>
  <c r="D37" i="45"/>
  <c r="E37" i="45"/>
  <c r="F37" i="45"/>
  <c r="G37" i="45"/>
  <c r="J37" i="45" s="1"/>
  <c r="H37" i="45"/>
  <c r="I37" i="45" s="1"/>
  <c r="C38" i="45"/>
  <c r="D38" i="45"/>
  <c r="E38" i="45"/>
  <c r="F38" i="45"/>
  <c r="G38" i="45" s="1"/>
  <c r="J38" i="45" s="1"/>
  <c r="H38" i="45"/>
  <c r="I38" i="45" s="1"/>
  <c r="C39" i="45"/>
  <c r="H39" i="45" s="1"/>
  <c r="I39" i="45" s="1"/>
  <c r="D39" i="45"/>
  <c r="E39" i="45"/>
  <c r="F39" i="45"/>
  <c r="G39" i="45" s="1"/>
  <c r="J39" i="45" s="1"/>
  <c r="D19" i="43"/>
  <c r="H19" i="43" s="1"/>
  <c r="J19" i="43" s="1"/>
  <c r="K19" i="43" s="1"/>
  <c r="K37" i="45" s="1"/>
  <c r="L19" i="43"/>
  <c r="L37" i="45" s="1"/>
  <c r="M19" i="43"/>
  <c r="D20" i="43"/>
  <c r="H20" i="43" s="1"/>
  <c r="J20" i="43" s="1"/>
  <c r="K20" i="43" s="1"/>
  <c r="L20" i="43"/>
  <c r="L38" i="45" s="1"/>
  <c r="M20" i="43"/>
  <c r="D21" i="43"/>
  <c r="H21" i="43" s="1"/>
  <c r="J21" i="43" s="1"/>
  <c r="K21" i="43" s="1"/>
  <c r="K39" i="45" s="1"/>
  <c r="L21" i="43"/>
  <c r="L39" i="45" s="1"/>
  <c r="M21" i="43"/>
  <c r="K18" i="45" l="1"/>
  <c r="K38" i="45"/>
  <c r="M38" i="45"/>
  <c r="N38" i="45" s="1"/>
  <c r="O38" i="45" s="1"/>
  <c r="K19" i="45"/>
  <c r="M19" i="45" s="1"/>
  <c r="N19" i="45" s="1"/>
  <c r="O19" i="45" s="1"/>
  <c r="L17" i="45"/>
  <c r="K17" i="45"/>
  <c r="M39" i="45"/>
  <c r="N39" i="45" s="1"/>
  <c r="O39" i="45" s="1"/>
  <c r="M17" i="45"/>
  <c r="N17" i="45" s="1"/>
  <c r="O17" i="45" s="1"/>
  <c r="L18" i="45"/>
  <c r="M18" i="45" s="1"/>
  <c r="N18" i="45" s="1"/>
  <c r="O18" i="45" s="1"/>
  <c r="M37" i="45"/>
  <c r="N37" i="45" s="1"/>
  <c r="O37" i="45" s="1"/>
  <c r="Q37" i="51"/>
  <c r="P37" i="51"/>
  <c r="O37" i="51"/>
  <c r="N37" i="51"/>
  <c r="Q36" i="51"/>
  <c r="P36" i="51"/>
  <c r="O36" i="51"/>
  <c r="N36" i="51"/>
  <c r="Q35" i="51"/>
  <c r="P35" i="51"/>
  <c r="O35" i="51"/>
  <c r="N35" i="51"/>
  <c r="Q34" i="51"/>
  <c r="P34" i="51"/>
  <c r="O34" i="51"/>
  <c r="Q33" i="51"/>
  <c r="N34" i="51"/>
  <c r="P33" i="51"/>
  <c r="O33" i="51"/>
  <c r="N33" i="51"/>
  <c r="Q32" i="51"/>
  <c r="P32" i="51"/>
  <c r="O32" i="51"/>
  <c r="N32" i="51"/>
  <c r="Q31" i="51"/>
  <c r="P31" i="51"/>
  <c r="O31" i="51"/>
  <c r="N31" i="51"/>
  <c r="Q30" i="51"/>
  <c r="P30" i="51"/>
  <c r="O30" i="51"/>
  <c r="N30" i="51"/>
  <c r="Q29" i="51"/>
  <c r="P29" i="51"/>
  <c r="O29" i="51"/>
  <c r="N29" i="51"/>
  <c r="Q28" i="51"/>
  <c r="P28" i="51"/>
  <c r="O28" i="51"/>
  <c r="N28" i="51"/>
  <c r="Q27" i="51"/>
  <c r="P27" i="51"/>
  <c r="O27" i="51"/>
  <c r="N27" i="51"/>
  <c r="Q26" i="51"/>
  <c r="P26" i="51"/>
  <c r="O26" i="51"/>
  <c r="N26" i="51"/>
  <c r="Q18" i="51"/>
  <c r="P18" i="51"/>
  <c r="O18" i="51"/>
  <c r="N18" i="51"/>
  <c r="Q17" i="51"/>
  <c r="P17" i="51"/>
  <c r="O17" i="51"/>
  <c r="N17" i="51"/>
  <c r="Q16" i="51"/>
  <c r="P16" i="51"/>
  <c r="O16" i="51"/>
  <c r="N16" i="51"/>
  <c r="Q15" i="51"/>
  <c r="P15" i="51"/>
  <c r="O15" i="51"/>
  <c r="N15" i="51"/>
  <c r="Q14" i="51"/>
  <c r="P14" i="51"/>
  <c r="O14" i="51"/>
  <c r="N14" i="51"/>
  <c r="Q13" i="51"/>
  <c r="P13" i="51"/>
  <c r="O13" i="51"/>
  <c r="N13" i="51"/>
  <c r="Q12" i="51"/>
  <c r="P12" i="51"/>
  <c r="O12" i="51"/>
  <c r="N12" i="51"/>
  <c r="Q11" i="51"/>
  <c r="P11" i="51"/>
  <c r="O11" i="51"/>
  <c r="N11" i="51"/>
  <c r="Q10" i="51"/>
  <c r="P10" i="51"/>
  <c r="O10" i="51"/>
  <c r="Q9" i="51"/>
  <c r="N10" i="51"/>
  <c r="P9" i="51"/>
  <c r="O9" i="51"/>
  <c r="N9" i="51"/>
  <c r="Q8" i="51"/>
  <c r="P8" i="51"/>
  <c r="O8" i="51"/>
  <c r="N8" i="51"/>
  <c r="Q7" i="51"/>
  <c r="P7" i="51"/>
  <c r="O7" i="51"/>
  <c r="M32" i="51"/>
  <c r="D10" i="43" l="1"/>
  <c r="D42" i="43" l="1"/>
  <c r="B42" i="43"/>
  <c r="M30" i="51" l="1"/>
  <c r="M31" i="51"/>
  <c r="M33" i="51"/>
  <c r="M34" i="51"/>
  <c r="M35" i="51"/>
  <c r="M36" i="51"/>
  <c r="M37" i="51"/>
  <c r="L30" i="51"/>
  <c r="L31" i="51"/>
  <c r="L32" i="51"/>
  <c r="L33" i="51"/>
  <c r="L34" i="51"/>
  <c r="L35" i="51"/>
  <c r="L36" i="51"/>
  <c r="L37" i="51"/>
  <c r="K30" i="51"/>
  <c r="K31" i="51"/>
  <c r="K32" i="51"/>
  <c r="K33" i="51"/>
  <c r="K34" i="51"/>
  <c r="K35" i="51"/>
  <c r="K36" i="51"/>
  <c r="K37" i="51"/>
  <c r="J30" i="51"/>
  <c r="J31" i="51"/>
  <c r="J32" i="51"/>
  <c r="J33" i="51"/>
  <c r="J34" i="51"/>
  <c r="J35" i="51"/>
  <c r="J36" i="51"/>
  <c r="J37" i="51"/>
  <c r="U30" i="51" l="1"/>
  <c r="U31" i="51"/>
  <c r="U32" i="51"/>
  <c r="U33" i="51"/>
  <c r="Y33" i="51" s="1"/>
  <c r="F35" i="45" s="1"/>
  <c r="U34" i="51"/>
  <c r="Y34" i="51" s="1"/>
  <c r="F36" i="45" s="1"/>
  <c r="U35" i="51"/>
  <c r="U36" i="51"/>
  <c r="U37" i="51"/>
  <c r="Y37" i="51" s="1"/>
  <c r="T30" i="51"/>
  <c r="T31" i="51"/>
  <c r="T32" i="51"/>
  <c r="T33" i="51"/>
  <c r="T34" i="51"/>
  <c r="T35" i="51"/>
  <c r="T36" i="51"/>
  <c r="X36" i="51" s="1"/>
  <c r="T37" i="51"/>
  <c r="X37" i="51" s="1"/>
  <c r="S30" i="51"/>
  <c r="S31" i="51"/>
  <c r="S32" i="51"/>
  <c r="W32" i="51" s="1"/>
  <c r="D34" i="45" s="1"/>
  <c r="S33" i="51"/>
  <c r="S34" i="51"/>
  <c r="S35" i="51"/>
  <c r="W35" i="51" s="1"/>
  <c r="S36" i="51"/>
  <c r="W36" i="51" s="1"/>
  <c r="S37" i="51"/>
  <c r="W37" i="51" s="1"/>
  <c r="R33" i="51"/>
  <c r="V33" i="51" s="1"/>
  <c r="C35" i="45" s="1"/>
  <c r="R34" i="51"/>
  <c r="V34" i="51" s="1"/>
  <c r="C36" i="45" s="1"/>
  <c r="R35" i="51"/>
  <c r="R36" i="51"/>
  <c r="V36" i="51" s="1"/>
  <c r="R37" i="51"/>
  <c r="V37" i="51" s="1"/>
  <c r="R30" i="51"/>
  <c r="V30" i="51" s="1"/>
  <c r="C32" i="45" s="1"/>
  <c r="R31" i="51"/>
  <c r="V31" i="51" s="1"/>
  <c r="C33" i="45" s="1"/>
  <c r="R32" i="51"/>
  <c r="V32" i="51" s="1"/>
  <c r="C34" i="45" s="1"/>
  <c r="U11" i="51"/>
  <c r="Y11" i="51" s="1"/>
  <c r="U12" i="51"/>
  <c r="U13" i="51"/>
  <c r="U14" i="51"/>
  <c r="Y14" i="51" s="1"/>
  <c r="F15" i="45" s="1"/>
  <c r="U15" i="51"/>
  <c r="U16" i="51"/>
  <c r="Y16" i="51" s="1"/>
  <c r="U17" i="51"/>
  <c r="U18" i="51"/>
  <c r="Y18" i="51" s="1"/>
  <c r="T11" i="51"/>
  <c r="X11" i="51" s="1"/>
  <c r="E12" i="45" s="1"/>
  <c r="T12" i="51"/>
  <c r="T13" i="51"/>
  <c r="T14" i="51"/>
  <c r="T15" i="51"/>
  <c r="T16" i="51"/>
  <c r="T17" i="51"/>
  <c r="T18" i="51"/>
  <c r="S11" i="51"/>
  <c r="S12" i="51"/>
  <c r="S13" i="51"/>
  <c r="S14" i="51"/>
  <c r="S15" i="51"/>
  <c r="S16" i="51"/>
  <c r="S17" i="51"/>
  <c r="S18" i="51"/>
  <c r="R11" i="51"/>
  <c r="V11" i="51" s="1"/>
  <c r="C12" i="45" s="1"/>
  <c r="R12" i="51"/>
  <c r="V12" i="51" s="1"/>
  <c r="C13" i="45" s="1"/>
  <c r="R13" i="51"/>
  <c r="V13" i="51" s="1"/>
  <c r="C14" i="45" s="1"/>
  <c r="R14" i="51"/>
  <c r="V14" i="51" s="1"/>
  <c r="C15" i="45" s="1"/>
  <c r="R15" i="51"/>
  <c r="V15" i="51" s="1"/>
  <c r="C16" i="45" s="1"/>
  <c r="R16" i="51"/>
  <c r="V16" i="51" s="1"/>
  <c r="R17" i="51"/>
  <c r="V17" i="51" s="1"/>
  <c r="R18" i="51"/>
  <c r="V18" i="51" s="1"/>
  <c r="R7" i="51"/>
  <c r="V7" i="51" s="1"/>
  <c r="M29" i="51"/>
  <c r="M28" i="51"/>
  <c r="M27" i="51"/>
  <c r="M26" i="51"/>
  <c r="L29" i="51"/>
  <c r="L28" i="51"/>
  <c r="L27" i="51"/>
  <c r="L26" i="51"/>
  <c r="K29" i="51"/>
  <c r="K28" i="51"/>
  <c r="K27" i="51"/>
  <c r="K26" i="51"/>
  <c r="J29" i="51"/>
  <c r="J28" i="51"/>
  <c r="J27" i="51"/>
  <c r="J26" i="51"/>
  <c r="M42" i="43"/>
  <c r="L42" i="43"/>
  <c r="K42" i="43"/>
  <c r="J42" i="43"/>
  <c r="I42" i="43"/>
  <c r="H42" i="43"/>
  <c r="G42" i="43"/>
  <c r="F42" i="43"/>
  <c r="E42" i="43"/>
  <c r="C42" i="43"/>
  <c r="M52" i="43"/>
  <c r="L52" i="43"/>
  <c r="K52" i="43"/>
  <c r="J52" i="43"/>
  <c r="I52" i="43"/>
  <c r="H52" i="43"/>
  <c r="G52" i="43"/>
  <c r="F52" i="43"/>
  <c r="E52" i="43"/>
  <c r="D52" i="43"/>
  <c r="C52" i="43"/>
  <c r="B52" i="43"/>
  <c r="M71" i="43"/>
  <c r="M70" i="43"/>
  <c r="M69" i="43"/>
  <c r="M68" i="43"/>
  <c r="M67" i="43"/>
  <c r="M66" i="43"/>
  <c r="M65" i="43"/>
  <c r="M64" i="43"/>
  <c r="M63" i="43"/>
  <c r="M62" i="43"/>
  <c r="M61" i="43"/>
  <c r="M60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M18" i="43"/>
  <c r="M17" i="43"/>
  <c r="M16" i="43"/>
  <c r="M15" i="43"/>
  <c r="M14" i="43"/>
  <c r="M13" i="43"/>
  <c r="D18" i="43"/>
  <c r="H18" i="43" s="1"/>
  <c r="J18" i="43" s="1"/>
  <c r="K18" i="43" s="1"/>
  <c r="D17" i="43"/>
  <c r="H17" i="43" s="1"/>
  <c r="J17" i="43" s="1"/>
  <c r="K17" i="43" s="1"/>
  <c r="D16" i="43"/>
  <c r="H16" i="43" s="1"/>
  <c r="J16" i="43" s="1"/>
  <c r="K16" i="43" s="1"/>
  <c r="D15" i="43"/>
  <c r="H15" i="43" s="1"/>
  <c r="J15" i="43" s="1"/>
  <c r="K15" i="43" s="1"/>
  <c r="D14" i="43"/>
  <c r="H14" i="43" s="1"/>
  <c r="J14" i="43" s="1"/>
  <c r="K14" i="43" s="1"/>
  <c r="G15" i="45" l="1"/>
  <c r="G35" i="45"/>
  <c r="G36" i="45"/>
  <c r="F12" i="45"/>
  <c r="G12" i="45" s="1"/>
  <c r="Y31" i="51"/>
  <c r="F33" i="45" s="1"/>
  <c r="G33" i="45" s="1"/>
  <c r="Y35" i="51"/>
  <c r="X17" i="51"/>
  <c r="X13" i="51"/>
  <c r="E14" i="45" s="1"/>
  <c r="Y32" i="51"/>
  <c r="F34" i="45" s="1"/>
  <c r="G34" i="45" s="1"/>
  <c r="W16" i="51"/>
  <c r="W12" i="51"/>
  <c r="D13" i="45" s="1"/>
  <c r="X31" i="51"/>
  <c r="W17" i="51"/>
  <c r="W11" i="51"/>
  <c r="D12" i="45" s="1"/>
  <c r="W34" i="51"/>
  <c r="D36" i="45" s="1"/>
  <c r="W30" i="51"/>
  <c r="D32" i="45" s="1"/>
  <c r="X30" i="51"/>
  <c r="E32" i="45" s="1"/>
  <c r="W13" i="51"/>
  <c r="D14" i="45" s="1"/>
  <c r="X14" i="51"/>
  <c r="E15" i="45" s="1"/>
  <c r="Y15" i="51"/>
  <c r="F16" i="45" s="1"/>
  <c r="G16" i="45" s="1"/>
  <c r="X12" i="51"/>
  <c r="E13" i="45" s="1"/>
  <c r="Y13" i="51"/>
  <c r="F14" i="45" s="1"/>
  <c r="G14" i="45" s="1"/>
  <c r="X16" i="51"/>
  <c r="W15" i="51"/>
  <c r="D16" i="45" s="1"/>
  <c r="X18" i="51"/>
  <c r="W18" i="51"/>
  <c r="Y17" i="51"/>
  <c r="X15" i="51"/>
  <c r="E16" i="45" s="1"/>
  <c r="X33" i="51"/>
  <c r="E35" i="45" s="1"/>
  <c r="W14" i="51"/>
  <c r="D15" i="45" s="1"/>
  <c r="X32" i="51"/>
  <c r="E34" i="45" s="1"/>
  <c r="Y12" i="51"/>
  <c r="F13" i="45" s="1"/>
  <c r="G13" i="45" s="1"/>
  <c r="Y30" i="51"/>
  <c r="F32" i="45" s="1"/>
  <c r="G32" i="45" s="1"/>
  <c r="X34" i="51"/>
  <c r="E36" i="45" s="1"/>
  <c r="Y36" i="51"/>
  <c r="X35" i="51"/>
  <c r="W33" i="51"/>
  <c r="D35" i="45" s="1"/>
  <c r="K13" i="45"/>
  <c r="K33" i="45"/>
  <c r="K36" i="45"/>
  <c r="K16" i="45"/>
  <c r="K32" i="45"/>
  <c r="K12" i="45"/>
  <c r="K34" i="45"/>
  <c r="K14" i="45"/>
  <c r="K15" i="45"/>
  <c r="K35" i="45"/>
  <c r="W31" i="51"/>
  <c r="D33" i="45" s="1"/>
  <c r="V35" i="51"/>
  <c r="L14" i="43"/>
  <c r="L15" i="43"/>
  <c r="L16" i="43"/>
  <c r="L17" i="43"/>
  <c r="L18" i="43"/>
  <c r="D11" i="43"/>
  <c r="D12" i="43"/>
  <c r="D13" i="43"/>
  <c r="H12" i="45" l="1"/>
  <c r="I12" i="45" s="1"/>
  <c r="H15" i="45"/>
  <c r="I15" i="45" s="1"/>
  <c r="J15" i="45" s="1"/>
  <c r="H34" i="45"/>
  <c r="I34" i="45" s="1"/>
  <c r="J34" i="45" s="1"/>
  <c r="M34" i="45" s="1"/>
  <c r="N34" i="45" s="1"/>
  <c r="O34" i="45" s="1"/>
  <c r="L14" i="45"/>
  <c r="L34" i="45"/>
  <c r="L33" i="45"/>
  <c r="L13" i="45"/>
  <c r="L16" i="45"/>
  <c r="L36" i="45"/>
  <c r="L32" i="45"/>
  <c r="L12" i="45"/>
  <c r="L15" i="45"/>
  <c r="L35" i="45"/>
  <c r="H33" i="45"/>
  <c r="H13" i="45"/>
  <c r="I13" i="45" s="1"/>
  <c r="H35" i="45"/>
  <c r="H32" i="45"/>
  <c r="H36" i="45"/>
  <c r="H14" i="45"/>
  <c r="J12" i="45"/>
  <c r="H16" i="45"/>
  <c r="C8" i="45"/>
  <c r="R26" i="51"/>
  <c r="V26" i="51" s="1"/>
  <c r="C28" i="45" s="1"/>
  <c r="U29" i="51"/>
  <c r="Y29" i="51" s="1"/>
  <c r="F31" i="45" s="1"/>
  <c r="R29" i="51"/>
  <c r="V29" i="51" s="1"/>
  <c r="C31" i="45" s="1"/>
  <c r="S29" i="51"/>
  <c r="T29" i="51"/>
  <c r="H13" i="43"/>
  <c r="J13" i="43" s="1"/>
  <c r="K13" i="43" s="1"/>
  <c r="S26" i="51"/>
  <c r="W26" i="51" s="1"/>
  <c r="D28" i="45" s="1"/>
  <c r="T26" i="51"/>
  <c r="X26" i="51" s="1"/>
  <c r="E28" i="45" s="1"/>
  <c r="U26" i="51"/>
  <c r="Y26" i="51" s="1"/>
  <c r="F28" i="45" s="1"/>
  <c r="S27" i="51"/>
  <c r="W27" i="51" s="1"/>
  <c r="D29" i="45" s="1"/>
  <c r="T27" i="51"/>
  <c r="U27" i="51"/>
  <c r="Y27" i="51" s="1"/>
  <c r="F29" i="45" s="1"/>
  <c r="S28" i="51"/>
  <c r="W28" i="51" s="1"/>
  <c r="D30" i="45" s="1"/>
  <c r="T28" i="51"/>
  <c r="U28" i="51"/>
  <c r="Y28" i="51" s="1"/>
  <c r="F30" i="45" s="1"/>
  <c r="R27" i="51"/>
  <c r="V27" i="51" s="1"/>
  <c r="C29" i="45" s="1"/>
  <c r="R28" i="51"/>
  <c r="V28" i="51" s="1"/>
  <c r="C30" i="45" s="1"/>
  <c r="H11" i="43"/>
  <c r="J11" i="43" s="1"/>
  <c r="K11" i="43" s="1"/>
  <c r="H12" i="43"/>
  <c r="J12" i="43" s="1"/>
  <c r="K12" i="43" s="1"/>
  <c r="K30" i="45" s="1"/>
  <c r="H10" i="43"/>
  <c r="J10" i="43" s="1"/>
  <c r="U8" i="51"/>
  <c r="Y8" i="51" s="1"/>
  <c r="F9" i="45" s="1"/>
  <c r="S8" i="51"/>
  <c r="T8" i="51"/>
  <c r="U9" i="51"/>
  <c r="R9" i="51"/>
  <c r="V9" i="51" s="1"/>
  <c r="C10" i="45" s="1"/>
  <c r="S9" i="51"/>
  <c r="W9" i="51" s="1"/>
  <c r="D10" i="45" s="1"/>
  <c r="T9" i="51"/>
  <c r="X9" i="51" s="1"/>
  <c r="E10" i="45" s="1"/>
  <c r="U10" i="51"/>
  <c r="Y10" i="51" s="1"/>
  <c r="F11" i="45" s="1"/>
  <c r="R10" i="51"/>
  <c r="S10" i="51"/>
  <c r="W10" i="51" s="1"/>
  <c r="D11" i="45" s="1"/>
  <c r="T10" i="51"/>
  <c r="X10" i="51" s="1"/>
  <c r="E11" i="45" s="1"/>
  <c r="U7" i="51"/>
  <c r="Y7" i="51" s="1"/>
  <c r="F8" i="45" s="1"/>
  <c r="S7" i="51"/>
  <c r="W7" i="51" s="1"/>
  <c r="D8" i="45" s="1"/>
  <c r="T7" i="51"/>
  <c r="X7" i="51" s="1"/>
  <c r="E8" i="45" s="1"/>
  <c r="M12" i="43"/>
  <c r="M11" i="43"/>
  <c r="L10" i="43"/>
  <c r="L11" i="43"/>
  <c r="L9" i="45" s="1"/>
  <c r="L12" i="43"/>
  <c r="L10" i="45" s="1"/>
  <c r="L13" i="43"/>
  <c r="L11" i="45" s="1"/>
  <c r="G8" i="45" l="1"/>
  <c r="G31" i="45"/>
  <c r="J16" i="45"/>
  <c r="M16" i="45" s="1"/>
  <c r="N16" i="45" s="1"/>
  <c r="O16" i="45" s="1"/>
  <c r="I16" i="45"/>
  <c r="I32" i="45"/>
  <c r="J32" i="45" s="1"/>
  <c r="M32" i="45" s="1"/>
  <c r="N32" i="45" s="1"/>
  <c r="O32" i="45" s="1"/>
  <c r="G29" i="45"/>
  <c r="J14" i="45"/>
  <c r="M14" i="45" s="1"/>
  <c r="N14" i="45" s="1"/>
  <c r="O14" i="45" s="1"/>
  <c r="I14" i="45"/>
  <c r="J13" i="45"/>
  <c r="M13" i="45" s="1"/>
  <c r="N13" i="45" s="1"/>
  <c r="O13" i="45" s="1"/>
  <c r="G30" i="45"/>
  <c r="J36" i="45"/>
  <c r="M36" i="45" s="1"/>
  <c r="N36" i="45" s="1"/>
  <c r="O36" i="45" s="1"/>
  <c r="I36" i="45"/>
  <c r="I33" i="45"/>
  <c r="J33" i="45" s="1"/>
  <c r="M33" i="45" s="1"/>
  <c r="N33" i="45" s="1"/>
  <c r="O33" i="45" s="1"/>
  <c r="I35" i="45"/>
  <c r="J35" i="45" s="1"/>
  <c r="M35" i="45" s="1"/>
  <c r="N35" i="45" s="1"/>
  <c r="O35" i="45" s="1"/>
  <c r="G28" i="45"/>
  <c r="M12" i="45"/>
  <c r="N12" i="45" s="1"/>
  <c r="O12" i="45" s="1"/>
  <c r="L28" i="45"/>
  <c r="L8" i="45"/>
  <c r="M15" i="45"/>
  <c r="N15" i="45" s="1"/>
  <c r="O15" i="45" s="1"/>
  <c r="V10" i="51"/>
  <c r="C11" i="45" s="1"/>
  <c r="G11" i="45" s="1"/>
  <c r="K10" i="43"/>
  <c r="H28" i="45"/>
  <c r="I28" i="45" s="1"/>
  <c r="W8" i="51"/>
  <c r="D9" i="45" s="1"/>
  <c r="X8" i="51"/>
  <c r="E9" i="45" s="1"/>
  <c r="W29" i="51"/>
  <c r="D31" i="45" s="1"/>
  <c r="X28" i="51"/>
  <c r="E30" i="45" s="1"/>
  <c r="H30" i="45" s="1"/>
  <c r="I30" i="45" s="1"/>
  <c r="H8" i="45"/>
  <c r="I8" i="45" s="1"/>
  <c r="X27" i="51"/>
  <c r="E29" i="45" s="1"/>
  <c r="H29" i="45" s="1"/>
  <c r="I29" i="45" s="1"/>
  <c r="X29" i="51"/>
  <c r="E31" i="45" s="1"/>
  <c r="Y9" i="51"/>
  <c r="F10" i="45" s="1"/>
  <c r="G10" i="45" s="1"/>
  <c r="V8" i="51"/>
  <c r="C9" i="45" s="1"/>
  <c r="G9" i="45" s="1"/>
  <c r="K9" i="45"/>
  <c r="K29" i="45"/>
  <c r="K31" i="45"/>
  <c r="K11" i="45"/>
  <c r="L31" i="45"/>
  <c r="L30" i="45"/>
  <c r="K10" i="45"/>
  <c r="L29" i="45"/>
  <c r="J28" i="45" l="1"/>
  <c r="H11" i="45"/>
  <c r="I11" i="45" s="1"/>
  <c r="J30" i="45"/>
  <c r="M30" i="45" s="1"/>
  <c r="N30" i="45" s="1"/>
  <c r="O30" i="45" s="1"/>
  <c r="J8" i="45"/>
  <c r="J29" i="45"/>
  <c r="M29" i="45" s="1"/>
  <c r="H31" i="45"/>
  <c r="K8" i="45"/>
  <c r="K28" i="45"/>
  <c r="H10" i="45"/>
  <c r="H9" i="45"/>
  <c r="M28" i="45" l="1"/>
  <c r="N28" i="45" s="1"/>
  <c r="O28" i="45" s="1"/>
  <c r="J10" i="45"/>
  <c r="M10" i="45" s="1"/>
  <c r="N10" i="45" s="1"/>
  <c r="O10" i="45" s="1"/>
  <c r="I10" i="45"/>
  <c r="I9" i="45"/>
  <c r="J9" i="45" s="1"/>
  <c r="M9" i="45" s="1"/>
  <c r="N9" i="45" s="1"/>
  <c r="O9" i="45" s="1"/>
  <c r="I31" i="45"/>
  <c r="J31" i="45" s="1"/>
  <c r="M31" i="45" s="1"/>
  <c r="N31" i="45" s="1"/>
  <c r="O31" i="45" s="1"/>
  <c r="J11" i="45"/>
  <c r="M11" i="45" s="1"/>
  <c r="N11" i="45" s="1"/>
  <c r="O11" i="45" s="1"/>
  <c r="M8" i="45"/>
  <c r="N8" i="45" s="1"/>
  <c r="O8" i="45" s="1"/>
  <c r="N29" i="45"/>
  <c r="O29" i="45" s="1"/>
</calcChain>
</file>

<file path=xl/comments1.xml><?xml version="1.0" encoding="utf-8"?>
<comments xmlns="http://schemas.openxmlformats.org/spreadsheetml/2006/main">
  <authors>
    <author>Dr. Arlene</author>
  </authors>
  <commentList>
    <comment ref="J6" authorId="0" shapeId="0">
      <text>
        <r>
          <rPr>
            <b/>
            <sz val="9"/>
            <color rgb="FF000000"/>
            <rFont val="Tahoma"/>
            <family val="2"/>
          </rPr>
          <t>Volume = 3.1416*r2*h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Arlene Adviento-Borbe</author>
  </authors>
  <commentList>
    <comment ref="G4" authorId="0" shapeId="0">
      <text>
        <r>
          <rPr>
            <sz val="9"/>
            <color rgb="FF000000"/>
            <rFont val="Tahoma"/>
            <family val="2"/>
          </rPr>
          <t xml:space="preserve">Test statement if gas N2O concs are above GC detection limit;
</t>
        </r>
        <r>
          <rPr>
            <sz val="9"/>
            <color rgb="FF000000"/>
            <rFont val="Tahoma"/>
            <family val="2"/>
          </rPr>
          <t xml:space="preserve">PASS = &gt;0.0000183 mg/L
</t>
        </r>
        <r>
          <rPr>
            <sz val="9"/>
            <color rgb="FF000000"/>
            <rFont val="Tahoma"/>
            <family val="2"/>
          </rPr>
          <t>FAIL = &lt;0.0000183 mg/L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  <comment ref="G24" authorId="0" shapeId="0">
      <text>
        <r>
          <rPr>
            <sz val="9"/>
            <color indexed="81"/>
            <rFont val="Tahoma"/>
            <family val="2"/>
          </rPr>
          <t>Test statement if gas N2O concs are above GC detection limit;
PASS = &gt;0.0000183 mg/L
FAIL = &lt;0.0000183 mg/L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2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</commentList>
</comments>
</file>

<file path=xl/sharedStrings.xml><?xml version="1.0" encoding="utf-8"?>
<sst xmlns="http://schemas.openxmlformats.org/spreadsheetml/2006/main" count="288" uniqueCount="76">
  <si>
    <t xml:space="preserve"> </t>
  </si>
  <si>
    <t>Chamber dimensions and parameter variables</t>
  </si>
  <si>
    <t>cm</t>
  </si>
  <si>
    <t>Calculation of chamber volume used in  field gas sampling</t>
  </si>
  <si>
    <t>Date of gas sampling:</t>
  </si>
  <si>
    <t>Lid</t>
  </si>
  <si>
    <t>Collar</t>
  </si>
  <si>
    <t>Collar Extension</t>
  </si>
  <si>
    <t>CHAMBER HEIGHT</t>
  </si>
  <si>
    <t>Chamber Radius</t>
  </si>
  <si>
    <t>Total chamber volume</t>
  </si>
  <si>
    <t>L</t>
  </si>
  <si>
    <t>TOTAL</t>
  </si>
  <si>
    <t>Replicate</t>
  </si>
  <si>
    <t>MEAN</t>
  </si>
  <si>
    <t>CH4</t>
  </si>
  <si>
    <t>N2O</t>
  </si>
  <si>
    <r>
      <t>cm</t>
    </r>
    <r>
      <rPr>
        <i/>
        <vertAlign val="superscript"/>
        <sz val="8"/>
        <rFont val="Arial"/>
        <family val="2"/>
      </rPr>
      <t>3</t>
    </r>
  </si>
  <si>
    <t>F   I   E   L   D           I   D</t>
  </si>
  <si>
    <r>
      <t>cm</t>
    </r>
    <r>
      <rPr>
        <vertAlign val="superscript"/>
        <sz val="8"/>
        <rFont val="Arial"/>
        <family val="2"/>
      </rPr>
      <t>2</t>
    </r>
  </si>
  <si>
    <t>Time interval, min</t>
  </si>
  <si>
    <t>Slope</t>
  </si>
  <si>
    <r>
      <t>N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 xml:space="preserve">O efflux </t>
    </r>
  </si>
  <si>
    <t>Headspace  volume, L</t>
  </si>
  <si>
    <t>0-5 cm soil depth</t>
  </si>
  <si>
    <t>T E M P E R A T U R E</t>
  </si>
  <si>
    <r>
      <t xml:space="preserve">Mean Soil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</si>
  <si>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5-15 cm soil depth</t>
  </si>
  <si>
    <r>
      <t xml:space="preserve">Air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</si>
  <si>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min</t>
    </r>
    <r>
      <rPr>
        <i/>
        <vertAlign val="superscript"/>
        <sz val="8"/>
        <rFont val="Arial"/>
        <family val="2"/>
      </rPr>
      <t>-1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</si>
  <si>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hr</t>
    </r>
    <r>
      <rPr>
        <i/>
        <vertAlign val="superscript"/>
        <sz val="8"/>
        <rFont val="Arial"/>
        <family val="2"/>
      </rPr>
      <t>-1</t>
    </r>
  </si>
  <si>
    <r>
      <t>Area covered, m</t>
    </r>
    <r>
      <rPr>
        <b/>
        <i/>
        <vertAlign val="superscript"/>
        <sz val="8"/>
        <rFont val="Arial"/>
        <family val="2"/>
      </rPr>
      <t>2</t>
    </r>
  </si>
  <si>
    <t>15.24 cm = 6"</t>
  </si>
  <si>
    <t>91.44 cm = 3'</t>
  </si>
  <si>
    <r>
      <t>N</t>
    </r>
    <r>
      <rPr>
        <b/>
        <i/>
        <vertAlign val="subscript"/>
        <sz val="8"/>
        <rFont val="Arial"/>
        <family val="2"/>
      </rPr>
      <t>2</t>
    </r>
    <r>
      <rPr>
        <b/>
        <i/>
        <sz val="8"/>
        <rFont val="Arial"/>
        <family val="2"/>
      </rPr>
      <t>O concentration, mg L</t>
    </r>
    <r>
      <rPr>
        <b/>
        <i/>
        <vertAlign val="superscript"/>
        <sz val="8"/>
        <rFont val="Arial"/>
        <family val="2"/>
      </rPr>
      <t>-1</t>
    </r>
  </si>
  <si>
    <t>RSQ_lin</t>
  </si>
  <si>
    <t>Detection test</t>
  </si>
  <si>
    <t>Floodwater height</t>
  </si>
  <si>
    <r>
      <t xml:space="preserve">
</t>
    </r>
    <r>
      <rPr>
        <i/>
        <sz val="8"/>
        <rFont val="Arial"/>
        <family val="2"/>
      </rPr>
      <t>g ha</t>
    </r>
    <r>
      <rPr>
        <i/>
        <vertAlign val="superscript"/>
        <sz val="8"/>
        <rFont val="Arial"/>
        <family val="2"/>
      </rPr>
      <t>-1</t>
    </r>
    <r>
      <rPr>
        <i/>
        <sz val="8"/>
        <rFont val="Arial"/>
        <family val="2"/>
      </rPr>
      <t xml:space="preserve"> d</t>
    </r>
    <r>
      <rPr>
        <i/>
        <vertAlign val="superscript"/>
        <sz val="8"/>
        <rFont val="Arial"/>
        <family val="2"/>
      </rPr>
      <t>-1</t>
    </r>
  </si>
  <si>
    <t>Plot</t>
  </si>
  <si>
    <t>Area covered</t>
  </si>
  <si>
    <t>Soil Temperature</t>
  </si>
  <si>
    <r>
      <t>N2O CONCENTRATION, mg L</t>
    </r>
    <r>
      <rPr>
        <vertAlign val="superscript"/>
        <sz val="8"/>
        <rFont val="Arial"/>
        <family val="2"/>
      </rPr>
      <t>-1</t>
    </r>
  </si>
  <si>
    <r>
      <t>CH4 CONCENTRATION, mg L</t>
    </r>
    <r>
      <rPr>
        <vertAlign val="superscript"/>
        <sz val="8"/>
        <rFont val="Arial"/>
        <family val="2"/>
      </rPr>
      <t>-1</t>
    </r>
  </si>
  <si>
    <t>Linearity test</t>
  </si>
  <si>
    <r>
      <t>CH4 concentration, mg L</t>
    </r>
    <r>
      <rPr>
        <b/>
        <i/>
        <vertAlign val="superscript"/>
        <sz val="8"/>
        <rFont val="Arial"/>
        <family val="2"/>
      </rPr>
      <t>-1</t>
    </r>
  </si>
  <si>
    <t xml:space="preserve">CH4 efflux </t>
  </si>
  <si>
    <t>Volume of 1 mol of air inside chamber at sampling, L</t>
  </si>
  <si>
    <t>CONCENTRATION, ppm (mol/mol)</t>
  </si>
  <si>
    <t>Floodwater height, cm</t>
  </si>
  <si>
    <t xml:space="preserve">Obs: </t>
  </si>
  <si>
    <t>30.48 cm = 1'</t>
  </si>
  <si>
    <t>60.96 cm = 2'</t>
  </si>
  <si>
    <t>Site</t>
  </si>
  <si>
    <t>Date</t>
  </si>
  <si>
    <t>Time</t>
  </si>
  <si>
    <t>Copy data here</t>
  </si>
  <si>
    <t>CH4 (ppm)</t>
  </si>
  <si>
    <t>N2O (ppm)</t>
  </si>
  <si>
    <t>Collar to water, cm (headspace height)</t>
  </si>
  <si>
    <t>FIELD ID</t>
  </si>
  <si>
    <t>Trt</t>
  </si>
  <si>
    <t>RES</t>
  </si>
  <si>
    <t>F1</t>
  </si>
  <si>
    <t>F2</t>
  </si>
  <si>
    <t>F3</t>
  </si>
  <si>
    <t>Extra</t>
  </si>
  <si>
    <t>K1</t>
  </si>
  <si>
    <t>SH1</t>
  </si>
  <si>
    <t>CB-SL1</t>
  </si>
  <si>
    <t>CB-SH1</t>
  </si>
  <si>
    <t>C1</t>
  </si>
  <si>
    <t>CB-SH2</t>
  </si>
  <si>
    <t>C2</t>
  </si>
  <si>
    <t>CB-SL2</t>
  </si>
  <si>
    <t>SH2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</si>
</sst>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0.000E+00"/>
    <numFmt numFmtId="168" formatCode="0.00000"/>
    <numFmt numFmtId="169" formatCode="[$-409]d\-mmm;@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vertAlign val="superscript"/>
      <sz val="8"/>
      <name val="Arial"/>
      <family val="2"/>
    </font>
    <font>
      <b/>
      <i/>
      <sz val="8"/>
      <name val="Arial"/>
      <family val="2"/>
    </font>
    <font>
      <b/>
      <i/>
      <vertAlign val="superscript"/>
      <sz val="8"/>
      <name val="Arial"/>
      <family val="2"/>
    </font>
    <font>
      <b/>
      <sz val="8"/>
      <color indexed="12"/>
      <name val="Arial"/>
      <family val="2"/>
    </font>
    <font>
      <sz val="9"/>
      <color indexed="81"/>
      <name val="Tahoma"/>
      <family val="2"/>
    </font>
    <font>
      <b/>
      <i/>
      <vertAlign val="subscript"/>
      <sz val="8"/>
      <name val="Arial"/>
      <family val="2"/>
    </font>
    <font>
      <b/>
      <vertAlign val="subscript"/>
      <sz val="8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8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1">
    <xf numFmtId="0" fontId="0" fillId="0" borderId="0" xfId="0"/>
    <xf numFmtId="0" fontId="0" fillId="0" borderId="0" xfId="0" applyFill="1"/>
    <xf numFmtId="0" fontId="2" fillId="0" borderId="0" xfId="4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/>
    <xf numFmtId="0" fontId="11" fillId="0" borderId="0" xfId="4" applyFont="1"/>
    <xf numFmtId="0" fontId="15" fillId="0" borderId="0" xfId="1" applyFont="1"/>
    <xf numFmtId="0" fontId="7" fillId="0" borderId="0" xfId="1" applyFont="1"/>
    <xf numFmtId="0" fontId="7" fillId="0" borderId="0" xfId="5" applyFont="1"/>
    <xf numFmtId="0" fontId="6" fillId="0" borderId="0" xfId="1" applyFont="1" applyAlignment="1">
      <alignment horizontal="center"/>
    </xf>
    <xf numFmtId="0" fontId="7" fillId="4" borderId="0" xfId="1" applyFont="1" applyFill="1" applyAlignment="1">
      <alignment wrapText="1"/>
    </xf>
    <xf numFmtId="0" fontId="7" fillId="5" borderId="0" xfId="1" applyFont="1" applyFill="1"/>
    <xf numFmtId="0" fontId="7" fillId="0" borderId="0" xfId="1" applyFont="1" applyAlignment="1">
      <alignment horizontal="center"/>
    </xf>
    <xf numFmtId="0" fontId="7" fillId="3" borderId="0" xfId="1" applyFont="1" applyFill="1"/>
    <xf numFmtId="0" fontId="7" fillId="4" borderId="0" xfId="1" applyFont="1" applyFill="1"/>
    <xf numFmtId="0" fontId="4" fillId="3" borderId="0" xfId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7" fillId="3" borderId="0" xfId="1" applyFont="1" applyFill="1" applyAlignment="1">
      <alignment horizontal="center"/>
    </xf>
    <xf numFmtId="1" fontId="7" fillId="0" borderId="0" xfId="1" applyNumberFormat="1" applyFont="1" applyAlignment="1">
      <alignment horizontal="center"/>
    </xf>
    <xf numFmtId="0" fontId="16" fillId="0" borderId="0" xfId="0" applyFont="1" applyAlignment="1">
      <alignment horizontal="right"/>
    </xf>
    <xf numFmtId="165" fontId="7" fillId="0" borderId="0" xfId="0" applyNumberFormat="1" applyFont="1"/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1" fillId="0" borderId="0" xfId="0" applyFont="1"/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wrapText="1"/>
    </xf>
    <xf numFmtId="0" fontId="1" fillId="0" borderId="0" xfId="3"/>
    <xf numFmtId="0" fontId="2" fillId="0" borderId="0" xfId="2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0" fontId="2" fillId="7" borderId="0" xfId="3" applyFont="1" applyFill="1" applyAlignment="1">
      <alignment horizontal="center"/>
    </xf>
    <xf numFmtId="165" fontId="7" fillId="0" borderId="0" xfId="1" applyNumberFormat="1" applyFont="1" applyAlignment="1">
      <alignment horizontal="center"/>
    </xf>
    <xf numFmtId="2" fontId="7" fillId="0" borderId="0" xfId="1" applyNumberFormat="1" applyFont="1" applyFill="1" applyAlignment="1">
      <alignment horizontal="center"/>
    </xf>
    <xf numFmtId="2" fontId="7" fillId="0" borderId="0" xfId="1" applyNumberFormat="1" applyFont="1" applyAlignment="1">
      <alignment horizontal="center"/>
    </xf>
    <xf numFmtId="0" fontId="2" fillId="0" borderId="0" xfId="1" applyFont="1"/>
    <xf numFmtId="0" fontId="2" fillId="0" borderId="0" xfId="5" applyFont="1"/>
    <xf numFmtId="165" fontId="2" fillId="0" borderId="0" xfId="2" applyNumberFormat="1" applyFont="1" applyAlignment="1">
      <alignment horizontal="center"/>
    </xf>
    <xf numFmtId="0" fontId="2" fillId="0" borderId="0" xfId="2" applyFont="1"/>
    <xf numFmtId="0" fontId="2" fillId="7" borderId="0" xfId="3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0" fontId="0" fillId="8" borderId="0" xfId="0" applyFill="1"/>
    <xf numFmtId="0" fontId="6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2" fillId="0" borderId="0" xfId="2" applyFont="1" applyFill="1" applyAlignment="1">
      <alignment horizontal="left"/>
    </xf>
    <xf numFmtId="0" fontId="1" fillId="0" borderId="0" xfId="3" applyFill="1"/>
    <xf numFmtId="1" fontId="7" fillId="0" borderId="0" xfId="1" applyNumberFormat="1" applyFont="1" applyFill="1" applyAlignment="1">
      <alignment horizontal="center"/>
    </xf>
    <xf numFmtId="165" fontId="7" fillId="0" borderId="0" xfId="1" applyNumberFormat="1" applyFont="1" applyFill="1" applyAlignment="1">
      <alignment horizontal="center"/>
    </xf>
    <xf numFmtId="0" fontId="7" fillId="0" borderId="0" xfId="1" applyFont="1" applyFill="1"/>
    <xf numFmtId="0" fontId="9" fillId="0" borderId="0" xfId="1" applyFont="1"/>
    <xf numFmtId="0" fontId="7" fillId="2" borderId="0" xfId="1" applyFont="1" applyFill="1" applyAlignment="1">
      <alignment horizontal="center"/>
    </xf>
    <xf numFmtId="0" fontId="7" fillId="10" borderId="0" xfId="1" applyFont="1" applyFill="1"/>
    <xf numFmtId="0" fontId="2" fillId="10" borderId="0" xfId="1" applyFont="1" applyFill="1" applyAlignment="1">
      <alignment horizontal="center"/>
    </xf>
    <xf numFmtId="166" fontId="0" fillId="0" borderId="0" xfId="0" applyNumberFormat="1" applyFill="1"/>
    <xf numFmtId="0" fontId="2" fillId="0" borderId="0" xfId="1" applyFont="1" applyFill="1" applyAlignment="1">
      <alignment horizontal="center"/>
    </xf>
    <xf numFmtId="0" fontId="9" fillId="7" borderId="0" xfId="0" applyFont="1" applyFill="1" applyAlignment="1">
      <alignment horizontal="center" vertical="center" wrapText="1"/>
    </xf>
    <xf numFmtId="0" fontId="0" fillId="12" borderId="0" xfId="0" applyFill="1"/>
    <xf numFmtId="167" fontId="7" fillId="0" borderId="0" xfId="0" applyNumberFormat="1" applyFont="1"/>
    <xf numFmtId="0" fontId="9" fillId="8" borderId="2" xfId="0" applyFont="1" applyFill="1" applyBorder="1" applyAlignment="1">
      <alignment horizontal="center" vertical="center" wrapText="1"/>
    </xf>
    <xf numFmtId="0" fontId="1" fillId="0" borderId="0" xfId="3" applyAlignment="1"/>
    <xf numFmtId="166" fontId="0" fillId="0" borderId="0" xfId="0" applyNumberForma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top" wrapText="1"/>
    </xf>
    <xf numFmtId="0" fontId="9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165" fontId="7" fillId="0" borderId="0" xfId="1" applyNumberFormat="1" applyFont="1" applyFill="1"/>
    <xf numFmtId="0" fontId="2" fillId="2" borderId="0" xfId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0" fontId="2" fillId="10" borderId="0" xfId="1" applyFont="1" applyFill="1" applyAlignment="1">
      <alignment horizontal="center" vertical="center" wrapText="1"/>
    </xf>
    <xf numFmtId="0" fontId="6" fillId="0" borderId="0" xfId="2" applyFont="1" applyFill="1" applyAlignment="1">
      <alignment horizontal="center"/>
    </xf>
    <xf numFmtId="0" fontId="2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" fillId="0" borderId="0" xfId="3" applyFill="1" applyAlignment="1"/>
    <xf numFmtId="165" fontId="21" fillId="0" borderId="0" xfId="0" applyNumberFormat="1" applyFont="1" applyFill="1" applyAlignment="1">
      <alignment horizontal="center"/>
    </xf>
    <xf numFmtId="165" fontId="0" fillId="0" borderId="0" xfId="0" applyNumberFormat="1"/>
    <xf numFmtId="168" fontId="21" fillId="0" borderId="0" xfId="0" applyNumberFormat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15" borderId="0" xfId="3" applyFont="1" applyFill="1" applyAlignment="1">
      <alignment horizontal="center"/>
    </xf>
    <xf numFmtId="0" fontId="0" fillId="15" borderId="0" xfId="0" applyFill="1"/>
    <xf numFmtId="164" fontId="2" fillId="0" borderId="1" xfId="2" applyNumberFormat="1" applyFont="1" applyFill="1" applyBorder="1" applyAlignment="1">
      <alignment horizontal="center"/>
    </xf>
    <xf numFmtId="16" fontId="7" fillId="6" borderId="1" xfId="1" applyNumberFormat="1" applyFont="1" applyFill="1" applyBorder="1"/>
    <xf numFmtId="2" fontId="2" fillId="6" borderId="1" xfId="2" applyNumberFormat="1" applyFont="1" applyFill="1" applyBorder="1" applyAlignment="1">
      <alignment horizontal="center"/>
    </xf>
    <xf numFmtId="0" fontId="2" fillId="6" borderId="1" xfId="2" applyFont="1" applyFill="1" applyBorder="1"/>
    <xf numFmtId="0" fontId="2" fillId="17" borderId="0" xfId="3" applyFont="1" applyFill="1" applyAlignment="1">
      <alignment horizontal="center"/>
    </xf>
    <xf numFmtId="0" fontId="2" fillId="0" borderId="1" xfId="1" applyFont="1" applyFill="1" applyBorder="1"/>
    <xf numFmtId="0" fontId="9" fillId="10" borderId="0" xfId="1" applyFont="1" applyFill="1" applyAlignment="1">
      <alignment horizontal="center"/>
    </xf>
    <xf numFmtId="0" fontId="7" fillId="6" borderId="1" xfId="1" applyFont="1" applyFill="1" applyBorder="1"/>
    <xf numFmtId="2" fontId="7" fillId="6" borderId="1" xfId="1" applyNumberFormat="1" applyFont="1" applyFill="1" applyBorder="1" applyAlignment="1">
      <alignment horizontal="center"/>
    </xf>
    <xf numFmtId="0" fontId="7" fillId="0" borderId="0" xfId="1" applyFont="1" applyFill="1" applyBorder="1"/>
    <xf numFmtId="0" fontId="2" fillId="6" borderId="3" xfId="2" applyFont="1" applyFill="1" applyBorder="1"/>
    <xf numFmtId="0" fontId="2" fillId="0" borderId="0" xfId="2" applyFont="1" applyFill="1"/>
    <xf numFmtId="0" fontId="6" fillId="0" borderId="0" xfId="1" applyFont="1" applyFill="1" applyAlignment="1">
      <alignment horizontal="center"/>
    </xf>
    <xf numFmtId="0" fontId="22" fillId="0" borderId="0" xfId="1" applyFont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3" applyNumberFormat="1"/>
    <xf numFmtId="169" fontId="0" fillId="0" borderId="0" xfId="0" applyNumberFormat="1" applyAlignment="1">
      <alignment horizontal="center"/>
    </xf>
    <xf numFmtId="169" fontId="0" fillId="0" borderId="1" xfId="0" applyNumberFormat="1" applyBorder="1" applyAlignment="1">
      <alignment horizontal="center"/>
    </xf>
    <xf numFmtId="169" fontId="1" fillId="0" borderId="0" xfId="3" applyNumberFormat="1" applyAlignment="1">
      <alignment horizontal="center"/>
    </xf>
    <xf numFmtId="0" fontId="6" fillId="7" borderId="0" xfId="1" applyFont="1" applyFill="1" applyAlignment="1">
      <alignment horizontal="center"/>
    </xf>
    <xf numFmtId="0" fontId="6" fillId="8" borderId="0" xfId="1" applyFont="1" applyFill="1" applyAlignment="1">
      <alignment horizontal="center"/>
    </xf>
    <xf numFmtId="0" fontId="2" fillId="6" borderId="1" xfId="2" applyFont="1" applyFill="1" applyBorder="1" applyAlignment="1">
      <alignment horizontal="right"/>
    </xf>
    <xf numFmtId="0" fontId="2" fillId="6" borderId="1" xfId="3" applyFont="1" applyFill="1" applyBorder="1"/>
    <xf numFmtId="0" fontId="2" fillId="6" borderId="1" xfId="3" applyFont="1" applyFill="1" applyBorder="1" applyAlignment="1">
      <alignment horizontal="right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10" borderId="0" xfId="1" applyFont="1" applyFill="1" applyAlignment="1">
      <alignment horizontal="center" vertical="center"/>
    </xf>
    <xf numFmtId="0" fontId="9" fillId="10" borderId="0" xfId="3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9" fontId="1" fillId="0" borderId="1" xfId="3" applyNumberFormat="1" applyBorder="1" applyAlignment="1">
      <alignment horizontal="center"/>
    </xf>
    <xf numFmtId="0" fontId="1" fillId="0" borderId="1" xfId="3" applyBorder="1"/>
    <xf numFmtId="0" fontId="6" fillId="0" borderId="1" xfId="2" applyFont="1" applyBorder="1" applyAlignment="1">
      <alignment horizontal="center"/>
    </xf>
    <xf numFmtId="0" fontId="2" fillId="6" borderId="1" xfId="2" applyFont="1" applyFill="1" applyBorder="1" applyAlignment="1">
      <alignment horizontal="center" vertical="center"/>
    </xf>
    <xf numFmtId="2" fontId="2" fillId="0" borderId="0" xfId="2" applyNumberFormat="1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2" fillId="6" borderId="1" xfId="1" applyFont="1" applyFill="1" applyBorder="1"/>
    <xf numFmtId="0" fontId="2" fillId="0" borderId="0" xfId="3" applyFont="1"/>
    <xf numFmtId="0" fontId="6" fillId="3" borderId="1" xfId="1" applyFont="1" applyFill="1" applyBorder="1" applyAlignment="1">
      <alignment horizontal="center"/>
    </xf>
    <xf numFmtId="0" fontId="22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21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8" fontId="2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6" fillId="18" borderId="0" xfId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2" fillId="18" borderId="0" xfId="2" applyFont="1" applyFill="1" applyAlignment="1">
      <alignment horizontal="center"/>
    </xf>
    <xf numFmtId="0" fontId="2" fillId="18" borderId="0" xfId="1" applyFont="1" applyFill="1" applyAlignment="1">
      <alignment horizontal="center"/>
    </xf>
    <xf numFmtId="2" fontId="2" fillId="18" borderId="1" xfId="2" applyNumberFormat="1" applyFont="1" applyFill="1" applyBorder="1" applyAlignment="1">
      <alignment horizontal="center"/>
    </xf>
    <xf numFmtId="0" fontId="7" fillId="18" borderId="1" xfId="1" applyFont="1" applyFill="1" applyBorder="1"/>
    <xf numFmtId="2" fontId="7" fillId="18" borderId="0" xfId="1" applyNumberFormat="1" applyFont="1" applyFill="1" applyAlignment="1">
      <alignment horizontal="center"/>
    </xf>
    <xf numFmtId="1" fontId="7" fillId="18" borderId="0" xfId="1" applyNumberFormat="1" applyFont="1" applyFill="1" applyAlignment="1">
      <alignment horizontal="center"/>
    </xf>
    <xf numFmtId="165" fontId="7" fillId="18" borderId="0" xfId="1" applyNumberFormat="1" applyFont="1" applyFill="1" applyAlignment="1">
      <alignment horizontal="center"/>
    </xf>
    <xf numFmtId="164" fontId="2" fillId="18" borderId="0" xfId="2" applyNumberFormat="1" applyFont="1" applyFill="1" applyAlignment="1">
      <alignment horizontal="center"/>
    </xf>
    <xf numFmtId="0" fontId="7" fillId="18" borderId="0" xfId="1" applyFont="1" applyFill="1" applyAlignment="1">
      <alignment horizontal="center"/>
    </xf>
    <xf numFmtId="0" fontId="7" fillId="18" borderId="0" xfId="1" applyFont="1" applyFill="1"/>
    <xf numFmtId="0" fontId="2" fillId="6" borderId="4" xfId="1" applyFont="1" applyFill="1" applyBorder="1"/>
    <xf numFmtId="0" fontId="2" fillId="6" borderId="5" xfId="2" applyFont="1" applyFill="1" applyBorder="1"/>
    <xf numFmtId="0" fontId="2" fillId="6" borderId="5" xfId="1" applyFont="1" applyFill="1" applyBorder="1"/>
    <xf numFmtId="0" fontId="2" fillId="6" borderId="6" xfId="1" applyFont="1" applyFill="1" applyBorder="1"/>
    <xf numFmtId="2" fontId="2" fillId="6" borderId="4" xfId="2" applyNumberFormat="1" applyFont="1" applyFill="1" applyBorder="1" applyAlignment="1">
      <alignment horizontal="center"/>
    </xf>
    <xf numFmtId="0" fontId="2" fillId="6" borderId="4" xfId="2" applyFont="1" applyFill="1" applyBorder="1" applyAlignment="1">
      <alignment horizontal="center"/>
    </xf>
    <xf numFmtId="0" fontId="7" fillId="6" borderId="4" xfId="1" applyFont="1" applyFill="1" applyBorder="1"/>
    <xf numFmtId="2" fontId="2" fillId="18" borderId="5" xfId="2" applyNumberFormat="1" applyFont="1" applyFill="1" applyBorder="1" applyAlignment="1">
      <alignment horizontal="center"/>
    </xf>
    <xf numFmtId="2" fontId="2" fillId="6" borderId="8" xfId="2" applyNumberFormat="1" applyFont="1" applyFill="1" applyBorder="1" applyAlignment="1">
      <alignment horizontal="center"/>
    </xf>
    <xf numFmtId="0" fontId="22" fillId="0" borderId="0" xfId="1" applyFont="1" applyFill="1" applyAlignment="1">
      <alignment horizontal="center"/>
    </xf>
    <xf numFmtId="0" fontId="0" fillId="19" borderId="0" xfId="0" applyFill="1"/>
    <xf numFmtId="0" fontId="7" fillId="20" borderId="9" xfId="1" applyFont="1" applyFill="1" applyBorder="1" applyAlignment="1">
      <alignment horizontal="center" vertical="center"/>
    </xf>
    <xf numFmtId="0" fontId="7" fillId="20" borderId="10" xfId="1" applyFont="1" applyFill="1" applyBorder="1" applyAlignment="1">
      <alignment horizontal="center" vertical="center"/>
    </xf>
    <xf numFmtId="0" fontId="7" fillId="20" borderId="11" xfId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0" fontId="2" fillId="0" borderId="0" xfId="1" applyFont="1" applyFill="1" applyAlignment="1">
      <alignment horizontal="center" wrapText="1"/>
    </xf>
    <xf numFmtId="0" fontId="9" fillId="11" borderId="0" xfId="1" applyFont="1" applyFill="1" applyAlignment="1">
      <alignment horizontal="center"/>
    </xf>
    <xf numFmtId="0" fontId="6" fillId="3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 wrapText="1"/>
    </xf>
    <xf numFmtId="0" fontId="9" fillId="10" borderId="0" xfId="1" applyFont="1" applyFill="1" applyAlignment="1">
      <alignment horizontal="center"/>
    </xf>
    <xf numFmtId="0" fontId="6" fillId="17" borderId="0" xfId="2" applyFont="1" applyFill="1" applyAlignment="1">
      <alignment horizontal="center"/>
    </xf>
    <xf numFmtId="0" fontId="2" fillId="17" borderId="0" xfId="3" applyFont="1" applyFill="1" applyAlignment="1">
      <alignment horizontal="center" wrapText="1"/>
    </xf>
    <xf numFmtId="0" fontId="1" fillId="0" borderId="0" xfId="3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/>
    </xf>
    <xf numFmtId="0" fontId="22" fillId="14" borderId="0" xfId="1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7" borderId="0" xfId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7" borderId="0" xfId="3" applyFont="1" applyFill="1" applyAlignment="1">
      <alignment horizontal="center" wrapText="1"/>
    </xf>
    <xf numFmtId="0" fontId="6" fillId="15" borderId="0" xfId="1" applyFont="1" applyFill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18" fillId="9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horizontal="center" wrapText="1"/>
    </xf>
    <xf numFmtId="0" fontId="17" fillId="1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center" wrapText="1"/>
    </xf>
    <xf numFmtId="0" fontId="6" fillId="8" borderId="0" xfId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</cellXfs>
  <cellStyles count="8">
    <cellStyle name="Followed Hyperlink" xfId="7" builtinId="9" hidden="1"/>
    <cellStyle name="Hyperlink" xfId="6" builtinId="8" hidden="1"/>
    <cellStyle name="Normal" xfId="0" builtinId="0"/>
    <cellStyle name="Normal 2" xfId="1"/>
    <cellStyle name="Normal 2 2" xfId="2"/>
    <cellStyle name="Normal 3" xfId="3"/>
    <cellStyle name="Normal_Hunter fluxes template" xfId="4"/>
    <cellStyle name="Normal_Hunter fluxes template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FF00"/>
  </sheetPr>
  <dimension ref="A1:V73"/>
  <sheetViews>
    <sheetView zoomScale="150" zoomScaleNormal="150" zoomScalePageLayoutView="150" workbookViewId="0">
      <selection activeCell="Q24" sqref="Q24"/>
    </sheetView>
  </sheetViews>
  <sheetFormatPr defaultColWidth="8.7109375" defaultRowHeight="11.25" x14ac:dyDescent="0.2"/>
  <cols>
    <col min="1" max="1" width="13.42578125" style="10" customWidth="1"/>
    <col min="2" max="2" width="10" style="10" customWidth="1"/>
    <col min="3" max="3" width="9.7109375" style="10" customWidth="1"/>
    <col min="4" max="5" width="8.7109375" style="10" customWidth="1"/>
    <col min="6" max="10" width="8.7109375" style="10"/>
    <col min="11" max="11" width="7" style="10" bestFit="1" customWidth="1"/>
    <col min="12" max="12" width="8.28515625" style="10" bestFit="1" customWidth="1"/>
    <col min="13" max="13" width="10.7109375" style="10" bestFit="1" customWidth="1"/>
    <col min="14" max="14" width="11" style="10" customWidth="1"/>
    <col min="15" max="16384" width="8.7109375" style="10"/>
  </cols>
  <sheetData>
    <row r="1" spans="1:17" x14ac:dyDescent="0.2">
      <c r="A1" s="9" t="s">
        <v>3</v>
      </c>
    </row>
    <row r="2" spans="1:17" ht="10.9" customHeight="1" x14ac:dyDescent="0.2">
      <c r="A2" s="8" t="s">
        <v>1</v>
      </c>
    </row>
    <row r="3" spans="1:17" x14ac:dyDescent="0.2">
      <c r="A3" s="10" t="s">
        <v>4</v>
      </c>
      <c r="B3" s="91"/>
    </row>
    <row r="4" spans="1:17" x14ac:dyDescent="0.2">
      <c r="A4" s="40" t="s">
        <v>32</v>
      </c>
      <c r="B4" s="2" t="s">
        <v>51</v>
      </c>
      <c r="C4" s="40" t="s">
        <v>52</v>
      </c>
      <c r="D4" s="40" t="s">
        <v>33</v>
      </c>
    </row>
    <row r="5" spans="1:17" x14ac:dyDescent="0.2">
      <c r="A5" s="41"/>
      <c r="C5" s="11"/>
    </row>
    <row r="6" spans="1:17" ht="37.15" customHeight="1" x14ac:dyDescent="0.2">
      <c r="C6" s="176" t="s">
        <v>8</v>
      </c>
      <c r="D6" s="176"/>
      <c r="E6" s="176"/>
      <c r="F6" s="176"/>
      <c r="G6" s="176"/>
      <c r="H6" s="176"/>
      <c r="I6" s="76" t="s">
        <v>9</v>
      </c>
      <c r="J6" s="177" t="s">
        <v>10</v>
      </c>
      <c r="K6" s="177"/>
      <c r="L6" s="75" t="s">
        <v>40</v>
      </c>
      <c r="M6" s="77" t="s">
        <v>37</v>
      </c>
      <c r="Q6" s="174"/>
    </row>
    <row r="7" spans="1:17" x14ac:dyDescent="0.2">
      <c r="A7" s="12" t="s">
        <v>39</v>
      </c>
      <c r="B7" s="12" t="s">
        <v>61</v>
      </c>
      <c r="C7" s="69" t="s">
        <v>5</v>
      </c>
      <c r="D7" s="69" t="s">
        <v>6</v>
      </c>
      <c r="E7" s="69" t="s">
        <v>7</v>
      </c>
      <c r="F7" s="69"/>
      <c r="G7" s="69"/>
      <c r="H7" s="69" t="s">
        <v>12</v>
      </c>
      <c r="I7" s="13"/>
      <c r="J7" s="14"/>
      <c r="K7" s="14"/>
      <c r="L7" s="70"/>
      <c r="M7" s="59"/>
      <c r="Q7" s="174"/>
    </row>
    <row r="8" spans="1:17" x14ac:dyDescent="0.2">
      <c r="A8" s="15"/>
      <c r="B8" s="15"/>
      <c r="C8" s="16"/>
      <c r="D8" s="16"/>
      <c r="E8" s="22">
        <v>1</v>
      </c>
      <c r="F8" s="22">
        <v>2</v>
      </c>
      <c r="G8" s="22">
        <v>3</v>
      </c>
      <c r="H8" s="16"/>
      <c r="I8" s="17"/>
      <c r="J8" s="14"/>
      <c r="K8" s="14"/>
      <c r="L8" s="70"/>
      <c r="M8" s="59"/>
      <c r="Q8" s="56"/>
    </row>
    <row r="9" spans="1:17" ht="12" thickBot="1" x14ac:dyDescent="0.25">
      <c r="A9" s="15"/>
      <c r="B9" s="15"/>
      <c r="C9" s="18" t="s">
        <v>2</v>
      </c>
      <c r="D9" s="18" t="s">
        <v>2</v>
      </c>
      <c r="E9" s="18" t="s">
        <v>2</v>
      </c>
      <c r="F9" s="18" t="s">
        <v>2</v>
      </c>
      <c r="G9" s="18" t="s">
        <v>2</v>
      </c>
      <c r="H9" s="18" t="s">
        <v>2</v>
      </c>
      <c r="I9" s="19" t="s">
        <v>2</v>
      </c>
      <c r="J9" s="20" t="s">
        <v>17</v>
      </c>
      <c r="K9" s="20" t="s">
        <v>11</v>
      </c>
      <c r="L9" s="58" t="s">
        <v>19</v>
      </c>
      <c r="M9" s="60" t="s">
        <v>2</v>
      </c>
      <c r="Q9" s="62"/>
    </row>
    <row r="10" spans="1:17" ht="12.75" x14ac:dyDescent="0.2">
      <c r="A10" s="165" t="s">
        <v>68</v>
      </c>
      <c r="B10" s="4"/>
      <c r="C10" s="34">
        <v>7.62</v>
      </c>
      <c r="D10" s="38">
        <f>AVERAGE(B38:B41)</f>
        <v>-8.3000000000000007</v>
      </c>
      <c r="E10" s="164">
        <v>60.96</v>
      </c>
      <c r="F10" s="158"/>
      <c r="G10" s="92"/>
      <c r="H10" s="39">
        <f>SUM(C10:G10)</f>
        <v>60.28</v>
      </c>
      <c r="I10" s="34">
        <v>14.75</v>
      </c>
      <c r="J10" s="23">
        <f>3.141592654*(I10*I10)*H10</f>
        <v>41200.943077652548</v>
      </c>
      <c r="K10" s="37">
        <f t="shared" ref="K10:K11" si="0">J10/1000</f>
        <v>41.200943077652546</v>
      </c>
      <c r="L10" s="35">
        <f>3.141592654*(I10*I10)</f>
        <v>683.49275178587504</v>
      </c>
      <c r="M10" s="39">
        <f>AVERAGE(B48:B51)</f>
        <v>0</v>
      </c>
      <c r="O10" s="10" t="s">
        <v>68</v>
      </c>
      <c r="P10" s="10">
        <v>-8.3000000000000007</v>
      </c>
      <c r="Q10" s="74"/>
    </row>
    <row r="11" spans="1:17" ht="12.75" x14ac:dyDescent="0.2">
      <c r="A11" s="166" t="s">
        <v>69</v>
      </c>
      <c r="B11" s="4"/>
      <c r="C11" s="34">
        <v>7.62</v>
      </c>
      <c r="D11" s="39">
        <f>AVERAGE(C38:C41)</f>
        <v>-8</v>
      </c>
      <c r="E11" s="164">
        <v>60.96</v>
      </c>
      <c r="F11" s="158"/>
      <c r="G11" s="92"/>
      <c r="H11" s="39">
        <f t="shared" ref="H11" si="1">SUM(C11:G11)</f>
        <v>60.58</v>
      </c>
      <c r="I11" s="34">
        <v>14.75</v>
      </c>
      <c r="J11" s="23">
        <f t="shared" ref="J11" si="2">3.141592654*(I11*I11)*H11</f>
        <v>41405.990903188307</v>
      </c>
      <c r="K11" s="37">
        <f t="shared" si="0"/>
        <v>41.405990903188304</v>
      </c>
      <c r="L11" s="35">
        <f t="shared" ref="L11:L21" si="3">3.141592654*(I11*I11)</f>
        <v>683.49275178587504</v>
      </c>
      <c r="M11" s="39">
        <f>AVERAGE(C48:C51)</f>
        <v>0</v>
      </c>
      <c r="O11" s="10" t="s">
        <v>69</v>
      </c>
      <c r="P11" s="10">
        <v>-8</v>
      </c>
      <c r="Q11" s="74"/>
    </row>
    <row r="12" spans="1:17" ht="12.75" x14ac:dyDescent="0.2">
      <c r="A12" s="166" t="s">
        <v>70</v>
      </c>
      <c r="B12" s="4"/>
      <c r="C12" s="34">
        <v>7.62</v>
      </c>
      <c r="D12" s="38">
        <f>AVERAGE(D38:D41)</f>
        <v>-8.5</v>
      </c>
      <c r="E12" s="164">
        <v>60.96</v>
      </c>
      <c r="F12" s="158"/>
      <c r="G12" s="92"/>
      <c r="H12" s="39">
        <f t="shared" ref="H12:H21" si="4">SUM(C12:G12)</f>
        <v>60.08</v>
      </c>
      <c r="I12" s="34">
        <v>14.75</v>
      </c>
      <c r="J12" s="23">
        <f t="shared" ref="J12:J21" si="5">3.141592654*(I12*I12)*H12</f>
        <v>41064.24452729537</v>
      </c>
      <c r="K12" s="37">
        <f t="shared" ref="K12:K21" si="6">J12/1000</f>
        <v>41.064244527295372</v>
      </c>
      <c r="L12" s="35">
        <f t="shared" si="3"/>
        <v>683.49275178587504</v>
      </c>
      <c r="M12" s="39">
        <f>AVERAGE(D48:D51)</f>
        <v>0</v>
      </c>
      <c r="O12" s="10" t="s">
        <v>70</v>
      </c>
      <c r="P12" s="10">
        <v>-8.5</v>
      </c>
      <c r="Q12" s="74"/>
    </row>
    <row r="13" spans="1:17" ht="10.9" customHeight="1" x14ac:dyDescent="0.2">
      <c r="A13" s="166" t="s">
        <v>71</v>
      </c>
      <c r="B13" s="4"/>
      <c r="C13" s="34">
        <v>7.62</v>
      </c>
      <c r="D13" s="38">
        <f>AVERAGE(E38:E41)</f>
        <v>-7.8</v>
      </c>
      <c r="E13" s="164">
        <v>60.96</v>
      </c>
      <c r="F13" s="158"/>
      <c r="G13" s="92"/>
      <c r="H13" s="39">
        <f t="shared" si="4"/>
        <v>60.78</v>
      </c>
      <c r="I13" s="34">
        <v>14.75</v>
      </c>
      <c r="J13" s="23">
        <f t="shared" si="5"/>
        <v>41542.689453545485</v>
      </c>
      <c r="K13" s="37">
        <f t="shared" si="6"/>
        <v>41.542689453545485</v>
      </c>
      <c r="L13" s="35">
        <f t="shared" si="3"/>
        <v>683.49275178587504</v>
      </c>
      <c r="M13" s="39">
        <f>AVERAGE(E48:E51)</f>
        <v>0</v>
      </c>
      <c r="O13" s="10" t="s">
        <v>71</v>
      </c>
      <c r="P13" s="10">
        <v>-7.8</v>
      </c>
      <c r="Q13" s="74"/>
    </row>
    <row r="14" spans="1:17" s="56" customFormat="1" ht="12.75" x14ac:dyDescent="0.2">
      <c r="A14" s="166" t="s">
        <v>72</v>
      </c>
      <c r="B14" s="4"/>
      <c r="C14" s="34">
        <v>7.62</v>
      </c>
      <c r="D14" s="62">
        <f>AVERAGE(F38:F41)</f>
        <v>-7.8</v>
      </c>
      <c r="E14" s="164">
        <v>60.96</v>
      </c>
      <c r="F14" s="159"/>
      <c r="G14" s="98"/>
      <c r="H14" s="39">
        <f t="shared" si="4"/>
        <v>60.78</v>
      </c>
      <c r="I14" s="34">
        <v>14.75</v>
      </c>
      <c r="J14" s="23">
        <f t="shared" si="5"/>
        <v>41542.689453545485</v>
      </c>
      <c r="K14" s="37">
        <f t="shared" si="6"/>
        <v>41.542689453545485</v>
      </c>
      <c r="L14" s="35">
        <f t="shared" si="3"/>
        <v>683.49275178587504</v>
      </c>
      <c r="M14" s="54">
        <f>AVERAGE(F48:F51)</f>
        <v>0</v>
      </c>
      <c r="N14" s="55"/>
      <c r="O14" s="35" t="s">
        <v>72</v>
      </c>
      <c r="P14" s="38">
        <v>-7.8</v>
      </c>
    </row>
    <row r="15" spans="1:17" ht="12.75" x14ac:dyDescent="0.2">
      <c r="A15" s="166" t="s">
        <v>73</v>
      </c>
      <c r="B15" s="4"/>
      <c r="C15" s="34">
        <v>7.62</v>
      </c>
      <c r="D15" s="62">
        <f>AVERAGE(G38:G41)</f>
        <v>-7.4</v>
      </c>
      <c r="E15" s="164">
        <v>60.96</v>
      </c>
      <c r="F15" s="159"/>
      <c r="G15" s="98"/>
      <c r="H15" s="39">
        <f t="shared" si="4"/>
        <v>61.18</v>
      </c>
      <c r="I15" s="34">
        <v>14.75</v>
      </c>
      <c r="J15" s="23">
        <f t="shared" si="5"/>
        <v>41816.086554259833</v>
      </c>
      <c r="K15" s="37">
        <f t="shared" si="6"/>
        <v>41.816086554259833</v>
      </c>
      <c r="L15" s="35">
        <f t="shared" si="3"/>
        <v>683.49275178587504</v>
      </c>
      <c r="M15" s="23">
        <f>AVERAGE(G48:G51)</f>
        <v>0</v>
      </c>
      <c r="N15" s="37"/>
      <c r="O15" s="35" t="s">
        <v>73</v>
      </c>
      <c r="P15" s="10">
        <v>-7.4</v>
      </c>
    </row>
    <row r="16" spans="1:17" ht="12.75" x14ac:dyDescent="0.2">
      <c r="A16" s="166" t="s">
        <v>74</v>
      </c>
      <c r="B16" s="4"/>
      <c r="C16" s="34">
        <v>7.62</v>
      </c>
      <c r="D16" s="62">
        <f>AVERAGE(H38:H41)</f>
        <v>-7.3</v>
      </c>
      <c r="E16" s="164">
        <v>60.96</v>
      </c>
      <c r="F16" s="160"/>
      <c r="G16" s="97"/>
      <c r="H16" s="39">
        <f t="shared" si="4"/>
        <v>61.28</v>
      </c>
      <c r="I16" s="34">
        <v>14.75</v>
      </c>
      <c r="J16" s="23">
        <f t="shared" si="5"/>
        <v>41884.435829438422</v>
      </c>
      <c r="K16" s="37">
        <f t="shared" si="6"/>
        <v>41.884435829438424</v>
      </c>
      <c r="L16" s="35">
        <f t="shared" si="3"/>
        <v>683.49275178587504</v>
      </c>
      <c r="M16" s="15" t="e">
        <f>AVERAGE(H48:H51)</f>
        <v>#DIV/0!</v>
      </c>
      <c r="O16" s="10" t="s">
        <v>74</v>
      </c>
      <c r="P16" s="10">
        <v>-7.3</v>
      </c>
    </row>
    <row r="17" spans="1:16" ht="13.5" thickBot="1" x14ac:dyDescent="0.25">
      <c r="A17" s="167" t="s">
        <v>75</v>
      </c>
      <c r="B17" s="4"/>
      <c r="C17" s="34">
        <v>7.62</v>
      </c>
      <c r="D17" s="62">
        <f>AVERAGE(I38:I41)</f>
        <v>-7.9</v>
      </c>
      <c r="E17" s="164">
        <v>60.96</v>
      </c>
      <c r="F17" s="160"/>
      <c r="G17" s="97"/>
      <c r="H17" s="39">
        <f t="shared" si="4"/>
        <v>60.68</v>
      </c>
      <c r="I17" s="34">
        <v>14.75</v>
      </c>
      <c r="J17" s="23">
        <f t="shared" si="5"/>
        <v>41474.340178366896</v>
      </c>
      <c r="K17" s="37">
        <f t="shared" si="6"/>
        <v>41.474340178366894</v>
      </c>
      <c r="L17" s="35">
        <f t="shared" si="3"/>
        <v>683.49275178587504</v>
      </c>
      <c r="M17" s="15" t="e">
        <f>AVERAGE(I48:I51)</f>
        <v>#DIV/0!</v>
      </c>
      <c r="O17" s="10" t="s">
        <v>75</v>
      </c>
      <c r="P17" s="10">
        <v>-7.9</v>
      </c>
    </row>
    <row r="18" spans="1:16" ht="13.5" thickBot="1" x14ac:dyDescent="0.25">
      <c r="A18" s="121"/>
      <c r="B18" s="4"/>
      <c r="C18" s="34">
        <v>7.62</v>
      </c>
      <c r="D18" s="62" t="e">
        <f>AVERAGE(J38:J41)</f>
        <v>#DIV/0!</v>
      </c>
      <c r="E18" s="162"/>
      <c r="F18" s="160"/>
      <c r="G18" s="97"/>
      <c r="H18" s="39" t="e">
        <f t="shared" si="4"/>
        <v>#DIV/0!</v>
      </c>
      <c r="I18" s="34">
        <v>14.75</v>
      </c>
      <c r="J18" s="23" t="e">
        <f t="shared" si="5"/>
        <v>#DIV/0!</v>
      </c>
      <c r="K18" s="37" t="e">
        <f t="shared" si="6"/>
        <v>#DIV/0!</v>
      </c>
      <c r="L18" s="35">
        <f t="shared" si="3"/>
        <v>683.49275178587504</v>
      </c>
      <c r="M18" s="15" t="e">
        <f>AVERAGE(J48:J51)</f>
        <v>#DIV/0!</v>
      </c>
    </row>
    <row r="19" spans="1:16" s="153" customFormat="1" ht="12.75" x14ac:dyDescent="0.2">
      <c r="A19" s="142" t="s">
        <v>66</v>
      </c>
      <c r="B19" s="143"/>
      <c r="C19" s="144">
        <v>7.62</v>
      </c>
      <c r="D19" s="145" t="e">
        <f>AVERAGE(K38:K41)</f>
        <v>#DIV/0!</v>
      </c>
      <c r="E19" s="161"/>
      <c r="F19" s="147"/>
      <c r="G19" s="147"/>
      <c r="H19" s="148" t="e">
        <f t="shared" si="4"/>
        <v>#DIV/0!</v>
      </c>
      <c r="I19" s="144">
        <v>14.75</v>
      </c>
      <c r="J19" s="149" t="e">
        <f t="shared" si="5"/>
        <v>#DIV/0!</v>
      </c>
      <c r="K19" s="150" t="e">
        <f t="shared" si="6"/>
        <v>#DIV/0!</v>
      </c>
      <c r="L19" s="151">
        <f t="shared" si="3"/>
        <v>683.49275178587504</v>
      </c>
      <c r="M19" s="152" t="e">
        <f>AVERAGE(K48:K51)</f>
        <v>#DIV/0!</v>
      </c>
    </row>
    <row r="20" spans="1:16" s="153" customFormat="1" ht="12.75" x14ac:dyDescent="0.2">
      <c r="A20" s="142" t="s">
        <v>66</v>
      </c>
      <c r="B20" s="143"/>
      <c r="C20" s="144">
        <v>7.62</v>
      </c>
      <c r="D20" s="145" t="e">
        <f>AVERAGE(L38:L41)</f>
        <v>#DIV/0!</v>
      </c>
      <c r="E20" s="146"/>
      <c r="F20" s="147"/>
      <c r="G20" s="147"/>
      <c r="H20" s="148" t="e">
        <f t="shared" si="4"/>
        <v>#DIV/0!</v>
      </c>
      <c r="I20" s="144">
        <v>14.75</v>
      </c>
      <c r="J20" s="149" t="e">
        <f t="shared" si="5"/>
        <v>#DIV/0!</v>
      </c>
      <c r="K20" s="150" t="e">
        <f t="shared" si="6"/>
        <v>#DIV/0!</v>
      </c>
      <c r="L20" s="151">
        <f t="shared" si="3"/>
        <v>683.49275178587504</v>
      </c>
      <c r="M20" s="152" t="e">
        <f>AVERAGE(L48:L51)</f>
        <v>#DIV/0!</v>
      </c>
    </row>
    <row r="21" spans="1:16" s="153" customFormat="1" ht="12.75" x14ac:dyDescent="0.2">
      <c r="A21" s="142" t="s">
        <v>66</v>
      </c>
      <c r="B21" s="143"/>
      <c r="C21" s="144">
        <v>7.62</v>
      </c>
      <c r="D21" s="145" t="e">
        <f>AVERAGE(M38:M41)</f>
        <v>#DIV/0!</v>
      </c>
      <c r="E21" s="146"/>
      <c r="F21" s="147"/>
      <c r="G21" s="147"/>
      <c r="H21" s="148" t="e">
        <f t="shared" si="4"/>
        <v>#DIV/0!</v>
      </c>
      <c r="I21" s="144">
        <v>14.75</v>
      </c>
      <c r="J21" s="149" t="e">
        <f t="shared" si="5"/>
        <v>#DIV/0!</v>
      </c>
      <c r="K21" s="150" t="e">
        <f t="shared" si="6"/>
        <v>#DIV/0!</v>
      </c>
      <c r="L21" s="151">
        <f t="shared" si="3"/>
        <v>683.49275178587504</v>
      </c>
      <c r="M21" s="152" t="e">
        <f>AVERAGE(M48:M51)</f>
        <v>#DIV/0!</v>
      </c>
    </row>
    <row r="24" spans="1:16" x14ac:dyDescent="0.2">
      <c r="E24" s="40"/>
    </row>
    <row r="25" spans="1:16" ht="12.75" x14ac:dyDescent="0.2">
      <c r="C25" s="10">
        <v>402</v>
      </c>
      <c r="D25" s="10">
        <v>409</v>
      </c>
      <c r="E25" s="10">
        <v>505</v>
      </c>
      <c r="F25" s="10">
        <v>512</v>
      </c>
      <c r="G25" s="10">
        <v>601</v>
      </c>
      <c r="H25" s="10">
        <v>608</v>
      </c>
      <c r="I25" s="10">
        <v>209</v>
      </c>
      <c r="J25" s="10">
        <v>307</v>
      </c>
      <c r="K25" s="10" t="s">
        <v>67</v>
      </c>
      <c r="O25" s="53"/>
    </row>
    <row r="26" spans="1:16" s="33" customFormat="1" ht="12.75" x14ac:dyDescent="0.2">
      <c r="N26" s="67"/>
      <c r="P26" s="83"/>
    </row>
    <row r="27" spans="1:16" s="33" customFormat="1" ht="12.75" customHeight="1" x14ac:dyDescent="0.2">
      <c r="P27" s="53"/>
    </row>
    <row r="28" spans="1:16" s="33" customFormat="1" ht="12.75" x14ac:dyDescent="0.2">
      <c r="O28" s="53"/>
      <c r="P28" s="53"/>
    </row>
    <row r="29" spans="1:16" s="53" customFormat="1" ht="12.75" x14ac:dyDescent="0.2">
      <c r="O29" s="101"/>
    </row>
    <row r="30" spans="1:16" s="33" customFormat="1" ht="12.75" x14ac:dyDescent="0.2">
      <c r="O30" s="56"/>
      <c r="P30" s="53"/>
    </row>
    <row r="31" spans="1:16" s="33" customFormat="1" ht="12.75" x14ac:dyDescent="0.2">
      <c r="O31" s="10"/>
    </row>
    <row r="32" spans="1:16" s="33" customFormat="1" ht="12.75" x14ac:dyDescent="0.2">
      <c r="O32" s="121"/>
    </row>
    <row r="33" spans="1:22" s="33" customFormat="1" ht="12.75" x14ac:dyDescent="0.2">
      <c r="O33" s="10"/>
    </row>
    <row r="34" spans="1:22" s="53" customFormat="1" ht="12.75" x14ac:dyDescent="0.2">
      <c r="A34" s="52"/>
      <c r="B34" s="34"/>
      <c r="C34" s="34"/>
      <c r="D34" s="34"/>
      <c r="E34" s="34"/>
      <c r="F34" s="34"/>
      <c r="G34" s="34"/>
      <c r="H34" s="34"/>
      <c r="I34" s="34"/>
      <c r="J34" s="34"/>
      <c r="K34" s="34"/>
      <c r="O34" s="10"/>
    </row>
    <row r="35" spans="1:22" s="33" customFormat="1" ht="12.75" x14ac:dyDescent="0.2">
      <c r="A35" s="10"/>
      <c r="B35" s="57" t="s">
        <v>59</v>
      </c>
      <c r="C35" s="10"/>
      <c r="D35" s="10"/>
      <c r="E35" s="10"/>
      <c r="F35" s="99"/>
      <c r="G35" s="99"/>
      <c r="H35" s="10"/>
      <c r="I35" s="10"/>
      <c r="J35" s="10"/>
      <c r="K35" s="10"/>
      <c r="L35" s="10"/>
      <c r="M35" s="10"/>
      <c r="O35" s="10"/>
    </row>
    <row r="36" spans="1:22" s="33" customFormat="1" ht="13.5" thickBot="1" x14ac:dyDescent="0.25">
      <c r="A36" s="21"/>
      <c r="B36" s="175" t="s">
        <v>18</v>
      </c>
      <c r="C36" s="175"/>
      <c r="D36" s="175"/>
      <c r="E36" s="175"/>
      <c r="F36" s="175" t="s">
        <v>18</v>
      </c>
      <c r="G36" s="175"/>
      <c r="H36" s="175"/>
      <c r="I36" s="175"/>
      <c r="J36" s="175" t="s">
        <v>18</v>
      </c>
      <c r="K36" s="175"/>
      <c r="L36" s="175"/>
      <c r="M36" s="175"/>
      <c r="O36" s="10"/>
    </row>
    <row r="37" spans="1:22" s="33" customFormat="1" ht="12.75" customHeight="1" thickBot="1" x14ac:dyDescent="0.25">
      <c r="A37" s="21" t="s">
        <v>13</v>
      </c>
      <c r="B37" s="165" t="s">
        <v>68</v>
      </c>
      <c r="C37" s="166" t="s">
        <v>69</v>
      </c>
      <c r="D37" s="166" t="s">
        <v>70</v>
      </c>
      <c r="E37" s="166" t="s">
        <v>71</v>
      </c>
      <c r="F37" s="166" t="s">
        <v>72</v>
      </c>
      <c r="G37" s="166" t="s">
        <v>73</v>
      </c>
      <c r="H37" s="166" t="s">
        <v>74</v>
      </c>
      <c r="I37" s="167" t="s">
        <v>75</v>
      </c>
      <c r="J37" s="120"/>
      <c r="K37" s="120" t="s">
        <v>66</v>
      </c>
      <c r="L37" s="120" t="s">
        <v>66</v>
      </c>
      <c r="M37" s="120" t="s">
        <v>66</v>
      </c>
      <c r="O37" s="10"/>
    </row>
    <row r="38" spans="1:22" s="33" customFormat="1" ht="13.5" thickBot="1" x14ac:dyDescent="0.25">
      <c r="A38" s="12">
        <v>1</v>
      </c>
      <c r="B38" s="10">
        <v>-8.3000000000000007</v>
      </c>
      <c r="C38" s="10">
        <v>-8</v>
      </c>
      <c r="D38" s="10">
        <v>-8.5</v>
      </c>
      <c r="E38" s="10">
        <v>-7.8</v>
      </c>
      <c r="F38" s="38">
        <v>-7.8</v>
      </c>
      <c r="G38" s="10">
        <v>-7.4</v>
      </c>
      <c r="H38" s="10">
        <v>-7.3</v>
      </c>
      <c r="I38" s="10">
        <v>-7.9</v>
      </c>
      <c r="J38" s="157"/>
      <c r="K38" s="154"/>
      <c r="L38" s="132"/>
      <c r="M38" s="132"/>
      <c r="O38" s="10"/>
    </row>
    <row r="39" spans="1:22" s="53" customFormat="1" ht="12.75" x14ac:dyDescent="0.2">
      <c r="A39" s="12">
        <v>2</v>
      </c>
      <c r="B39" s="155"/>
      <c r="C39" s="155"/>
      <c r="D39" s="155"/>
      <c r="E39" s="155"/>
      <c r="F39" s="155"/>
      <c r="G39" s="156"/>
      <c r="H39" s="156"/>
      <c r="I39" s="156"/>
      <c r="J39" s="156"/>
      <c r="K39" s="132"/>
      <c r="L39" s="132"/>
      <c r="M39" s="132"/>
      <c r="O39" s="10"/>
    </row>
    <row r="40" spans="1:22" s="33" customFormat="1" ht="12.75" x14ac:dyDescent="0.2">
      <c r="A40" s="12">
        <v>3</v>
      </c>
      <c r="B40" s="93"/>
      <c r="C40" s="93"/>
      <c r="D40" s="93"/>
      <c r="E40" s="93"/>
      <c r="F40" s="93"/>
      <c r="G40" s="132"/>
      <c r="H40" s="132"/>
      <c r="I40" s="132"/>
      <c r="J40" s="132"/>
      <c r="K40" s="132"/>
      <c r="L40" s="132"/>
      <c r="M40" s="132"/>
      <c r="N40" s="53"/>
      <c r="O40" s="10"/>
      <c r="P40" s="53"/>
    </row>
    <row r="41" spans="1:22" s="33" customFormat="1" ht="12.75" x14ac:dyDescent="0.2">
      <c r="A41" s="12">
        <v>4</v>
      </c>
      <c r="B41" s="93"/>
      <c r="C41" s="93"/>
      <c r="D41" s="93"/>
      <c r="E41" s="93"/>
      <c r="F41" s="93"/>
      <c r="G41" s="132"/>
      <c r="H41" s="132"/>
      <c r="I41" s="132"/>
      <c r="J41" s="132"/>
      <c r="K41" s="132"/>
      <c r="L41" s="132"/>
      <c r="M41" s="132"/>
      <c r="N41" s="53"/>
      <c r="O41" s="10"/>
      <c r="P41" s="53"/>
    </row>
    <row r="42" spans="1:22" s="33" customFormat="1" ht="12.75" x14ac:dyDescent="0.2">
      <c r="A42" s="43" t="s">
        <v>14</v>
      </c>
      <c r="B42" s="42">
        <f>AVERAGE(B38:B41)</f>
        <v>-8.3000000000000007</v>
      </c>
      <c r="C42" s="42">
        <f t="shared" ref="C42:M42" si="7">AVERAGE(C38:C41)</f>
        <v>-8</v>
      </c>
      <c r="D42" s="42">
        <f>AVERAGE(D38:D41)</f>
        <v>-8.5</v>
      </c>
      <c r="E42" s="42">
        <f t="shared" si="7"/>
        <v>-7.8</v>
      </c>
      <c r="F42" s="43">
        <f t="shared" si="7"/>
        <v>-7.8</v>
      </c>
      <c r="G42" s="40">
        <f t="shared" si="7"/>
        <v>-7.4</v>
      </c>
      <c r="H42" s="40">
        <f t="shared" si="7"/>
        <v>-7.3</v>
      </c>
      <c r="I42" s="40">
        <f t="shared" si="7"/>
        <v>-7.9</v>
      </c>
      <c r="J42" s="40" t="e">
        <f t="shared" si="7"/>
        <v>#DIV/0!</v>
      </c>
      <c r="K42" s="40" t="e">
        <f t="shared" si="7"/>
        <v>#DIV/0!</v>
      </c>
      <c r="L42" s="40" t="e">
        <f t="shared" si="7"/>
        <v>#DIV/0!</v>
      </c>
      <c r="M42" s="40" t="e">
        <f t="shared" si="7"/>
        <v>#DIV/0!</v>
      </c>
      <c r="N42" s="53"/>
      <c r="O42" s="10"/>
      <c r="P42" s="53"/>
    </row>
    <row r="43" spans="1:22" s="33" customFormat="1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53"/>
      <c r="O43" s="10"/>
      <c r="P43" s="53"/>
    </row>
    <row r="44" spans="1:22" x14ac:dyDescent="0.2">
      <c r="G44" s="43"/>
      <c r="H44" s="42"/>
      <c r="I44" s="42"/>
      <c r="J44" s="42"/>
      <c r="K44" s="42"/>
      <c r="N44" s="101"/>
      <c r="P44" s="101"/>
      <c r="Q44" s="43"/>
      <c r="R44" s="43"/>
      <c r="S44" s="43"/>
      <c r="T44" s="43"/>
      <c r="U44" s="43"/>
      <c r="V44" s="43"/>
    </row>
    <row r="45" spans="1:22" s="56" customFormat="1" ht="12.75" x14ac:dyDescent="0.2">
      <c r="A45" s="10"/>
      <c r="B45" s="57" t="s">
        <v>49</v>
      </c>
      <c r="C45" s="10"/>
      <c r="D45" s="10"/>
      <c r="E45" s="10"/>
      <c r="F45" s="33"/>
      <c r="G45" s="33"/>
      <c r="H45" s="33"/>
      <c r="I45" s="33"/>
      <c r="J45" s="33"/>
      <c r="K45" s="33"/>
      <c r="L45" s="33"/>
      <c r="M45" s="33"/>
      <c r="O45" s="10"/>
    </row>
    <row r="46" spans="1:22" x14ac:dyDescent="0.2">
      <c r="A46" s="21"/>
      <c r="B46" s="96" t="s">
        <v>60</v>
      </c>
      <c r="C46" s="96"/>
      <c r="D46" s="96"/>
      <c r="E46" s="96"/>
      <c r="F46" s="178" t="s">
        <v>18</v>
      </c>
      <c r="G46" s="178"/>
      <c r="H46" s="178"/>
      <c r="I46" s="178"/>
      <c r="J46" s="178" t="s">
        <v>18</v>
      </c>
      <c r="K46" s="178"/>
      <c r="L46" s="178"/>
      <c r="M46" s="178"/>
    </row>
    <row r="47" spans="1:22" s="121" customFormat="1" x14ac:dyDescent="0.2">
      <c r="A47" s="118" t="s">
        <v>13</v>
      </c>
      <c r="B47" s="119">
        <v>402</v>
      </c>
      <c r="C47" s="119">
        <v>409</v>
      </c>
      <c r="D47" s="119">
        <v>505</v>
      </c>
      <c r="E47" s="119">
        <v>512</v>
      </c>
      <c r="F47" s="120">
        <v>601</v>
      </c>
      <c r="G47" s="120">
        <v>608</v>
      </c>
      <c r="H47" s="120">
        <v>209</v>
      </c>
      <c r="I47" s="120">
        <v>307</v>
      </c>
      <c r="J47" s="120" t="s">
        <v>67</v>
      </c>
      <c r="K47" s="120" t="s">
        <v>66</v>
      </c>
      <c r="L47" s="120" t="s">
        <v>66</v>
      </c>
      <c r="M47" s="120" t="s">
        <v>66</v>
      </c>
      <c r="O47" s="10"/>
    </row>
    <row r="48" spans="1:22" x14ac:dyDescent="0.2">
      <c r="A48" s="12">
        <v>1</v>
      </c>
      <c r="B48" s="93">
        <v>0</v>
      </c>
      <c r="C48" s="93">
        <v>0</v>
      </c>
      <c r="D48" s="93">
        <v>0</v>
      </c>
      <c r="E48" s="93">
        <v>0</v>
      </c>
      <c r="F48" s="113">
        <v>0</v>
      </c>
      <c r="G48" s="113">
        <v>0</v>
      </c>
      <c r="H48" s="113"/>
      <c r="I48" s="114"/>
      <c r="J48" s="114"/>
      <c r="K48" s="114"/>
      <c r="L48" s="114"/>
      <c r="M48" s="114"/>
    </row>
    <row r="49" spans="1:13" x14ac:dyDescent="0.2">
      <c r="A49" s="12">
        <v>2</v>
      </c>
      <c r="B49" s="93"/>
      <c r="C49" s="93"/>
      <c r="D49" s="93"/>
      <c r="E49" s="93"/>
      <c r="F49" s="114"/>
      <c r="G49" s="115"/>
      <c r="H49" s="115"/>
      <c r="I49" s="114"/>
      <c r="J49" s="114"/>
      <c r="K49" s="114"/>
      <c r="L49" s="114"/>
      <c r="M49" s="114"/>
    </row>
    <row r="50" spans="1:13" x14ac:dyDescent="0.2">
      <c r="A50" s="12">
        <v>3</v>
      </c>
      <c r="B50" s="93"/>
      <c r="C50" s="93"/>
      <c r="D50" s="93"/>
      <c r="E50" s="93"/>
      <c r="F50" s="114"/>
      <c r="G50" s="114"/>
      <c r="H50" s="114"/>
      <c r="I50" s="114"/>
      <c r="J50" s="114"/>
      <c r="K50" s="114"/>
      <c r="L50" s="114"/>
      <c r="M50" s="114"/>
    </row>
    <row r="51" spans="1:13" x14ac:dyDescent="0.2">
      <c r="A51" s="12">
        <v>4</v>
      </c>
      <c r="B51" s="100"/>
      <c r="C51" s="93"/>
      <c r="D51" s="93"/>
      <c r="E51" s="93"/>
      <c r="F51" s="114"/>
      <c r="G51" s="114"/>
      <c r="H51" s="114"/>
      <c r="I51" s="114"/>
      <c r="J51" s="114"/>
      <c r="K51" s="114"/>
      <c r="L51" s="114"/>
      <c r="M51" s="114"/>
    </row>
    <row r="52" spans="1:13" x14ac:dyDescent="0.2">
      <c r="A52" s="43" t="s">
        <v>14</v>
      </c>
      <c r="B52" s="42">
        <f t="shared" ref="B52:M52" si="8">AVERAGE(B48:B51)</f>
        <v>0</v>
      </c>
      <c r="C52" s="42">
        <f t="shared" si="8"/>
        <v>0</v>
      </c>
      <c r="D52" s="42">
        <f t="shared" si="8"/>
        <v>0</v>
      </c>
      <c r="E52" s="42">
        <f t="shared" si="8"/>
        <v>0</v>
      </c>
      <c r="F52" s="133">
        <f t="shared" si="8"/>
        <v>0</v>
      </c>
      <c r="G52" s="133">
        <f t="shared" si="8"/>
        <v>0</v>
      </c>
      <c r="H52" s="133" t="e">
        <f t="shared" si="8"/>
        <v>#DIV/0!</v>
      </c>
      <c r="I52" s="133" t="e">
        <f t="shared" si="8"/>
        <v>#DIV/0!</v>
      </c>
      <c r="J52" s="133" t="e">
        <f t="shared" si="8"/>
        <v>#DIV/0!</v>
      </c>
      <c r="K52" s="133" t="e">
        <f t="shared" si="8"/>
        <v>#DIV/0!</v>
      </c>
      <c r="L52" s="133" t="e">
        <f t="shared" si="8"/>
        <v>#DIV/0!</v>
      </c>
      <c r="M52" s="133" t="e">
        <f t="shared" si="8"/>
        <v>#DIV/0!</v>
      </c>
    </row>
    <row r="55" spans="1:13" x14ac:dyDescent="0.2">
      <c r="I55" s="43"/>
      <c r="J55" s="42"/>
      <c r="K55" s="42"/>
      <c r="L55" s="42"/>
      <c r="M55" s="42"/>
    </row>
    <row r="56" spans="1:13" ht="12.75" x14ac:dyDescent="0.2">
      <c r="I56" s="33" t="s">
        <v>24</v>
      </c>
      <c r="J56" s="33"/>
      <c r="K56" s="181" t="s">
        <v>25</v>
      </c>
      <c r="L56" s="181"/>
      <c r="M56" s="181"/>
    </row>
    <row r="57" spans="1:13" ht="12.75" x14ac:dyDescent="0.2">
      <c r="A57" s="33" t="s">
        <v>27</v>
      </c>
      <c r="B57" s="33"/>
      <c r="C57" s="33"/>
      <c r="D57" s="33"/>
      <c r="E57" s="33"/>
      <c r="I57" s="179" t="s">
        <v>39</v>
      </c>
      <c r="J57" s="179" t="s">
        <v>61</v>
      </c>
      <c r="K57" s="180" t="s">
        <v>41</v>
      </c>
      <c r="L57" s="180"/>
      <c r="M57" s="180" t="s">
        <v>26</v>
      </c>
    </row>
    <row r="58" spans="1:13" x14ac:dyDescent="0.2">
      <c r="A58" s="179" t="s">
        <v>39</v>
      </c>
      <c r="B58" s="179" t="s">
        <v>61</v>
      </c>
      <c r="C58" s="180" t="s">
        <v>41</v>
      </c>
      <c r="D58" s="180"/>
      <c r="E58" s="180" t="s">
        <v>26</v>
      </c>
      <c r="I58" s="179"/>
      <c r="J58" s="179"/>
      <c r="K58" s="94">
        <v>1</v>
      </c>
      <c r="L58" s="94">
        <v>2</v>
      </c>
      <c r="M58" s="180"/>
    </row>
    <row r="59" spans="1:13" x14ac:dyDescent="0.2">
      <c r="A59" s="179"/>
      <c r="B59" s="179"/>
      <c r="C59" s="94">
        <v>1</v>
      </c>
      <c r="D59" s="94">
        <v>2</v>
      </c>
      <c r="E59" s="180"/>
      <c r="I59" s="78"/>
      <c r="J59" s="78"/>
      <c r="K59" s="79"/>
      <c r="L59" s="79"/>
      <c r="M59" s="80"/>
    </row>
    <row r="60" spans="1:13" ht="12.75" x14ac:dyDescent="0.2">
      <c r="A60" s="78"/>
      <c r="B60" s="78"/>
      <c r="C60" s="79"/>
      <c r="D60" s="79"/>
      <c r="E60" s="80"/>
      <c r="I60" s="12">
        <v>106</v>
      </c>
      <c r="J60" s="4"/>
      <c r="K60" s="127"/>
      <c r="L60" s="127"/>
      <c r="M60" s="128" t="e">
        <f t="shared" ref="M60:M71" si="9">AVERAGE(K60:L60)</f>
        <v>#DIV/0!</v>
      </c>
    </row>
    <row r="61" spans="1:13" ht="12.75" x14ac:dyDescent="0.2">
      <c r="A61" s="12">
        <v>106</v>
      </c>
      <c r="B61" s="4"/>
      <c r="C61" s="127"/>
      <c r="D61" s="127"/>
      <c r="E61" s="128" t="e">
        <f t="shared" ref="E61:E72" si="10">AVERAGE(C61:D61)</f>
        <v>#DIV/0!</v>
      </c>
      <c r="I61" s="12">
        <v>107</v>
      </c>
      <c r="J61" s="4"/>
      <c r="K61" s="127"/>
      <c r="L61" s="127"/>
      <c r="M61" s="128" t="e">
        <f t="shared" si="9"/>
        <v>#DIV/0!</v>
      </c>
    </row>
    <row r="62" spans="1:13" ht="12.75" x14ac:dyDescent="0.2">
      <c r="A62" s="12">
        <v>107</v>
      </c>
      <c r="B62" s="4"/>
      <c r="C62" s="127"/>
      <c r="D62" s="127"/>
      <c r="E62" s="128" t="e">
        <f t="shared" si="10"/>
        <v>#DIV/0!</v>
      </c>
      <c r="I62" s="12">
        <v>204</v>
      </c>
      <c r="J62" s="4"/>
      <c r="K62" s="127"/>
      <c r="L62" s="127"/>
      <c r="M62" s="128" t="e">
        <f t="shared" si="9"/>
        <v>#DIV/0!</v>
      </c>
    </row>
    <row r="63" spans="1:13" ht="12.75" x14ac:dyDescent="0.2">
      <c r="A63" s="12">
        <v>204</v>
      </c>
      <c r="B63" s="4"/>
      <c r="C63" s="127"/>
      <c r="D63" s="127"/>
      <c r="E63" s="128" t="e">
        <f t="shared" si="10"/>
        <v>#DIV/0!</v>
      </c>
      <c r="I63" s="12">
        <v>209</v>
      </c>
      <c r="J63" s="4"/>
      <c r="K63" s="127"/>
      <c r="L63" s="127"/>
      <c r="M63" s="128" t="e">
        <f t="shared" si="9"/>
        <v>#DIV/0!</v>
      </c>
    </row>
    <row r="64" spans="1:13" ht="12.75" x14ac:dyDescent="0.2">
      <c r="A64" s="12">
        <v>209</v>
      </c>
      <c r="B64" s="4"/>
      <c r="C64" s="127"/>
      <c r="D64" s="127"/>
      <c r="E64" s="128" t="e">
        <f t="shared" si="10"/>
        <v>#DIV/0!</v>
      </c>
      <c r="I64" s="102">
        <v>302</v>
      </c>
      <c r="J64" s="4"/>
      <c r="K64" s="130"/>
      <c r="L64" s="130"/>
      <c r="M64" s="121" t="e">
        <f t="shared" si="9"/>
        <v>#DIV/0!</v>
      </c>
    </row>
    <row r="65" spans="1:13" ht="12.75" x14ac:dyDescent="0.2">
      <c r="A65" s="102">
        <v>302</v>
      </c>
      <c r="B65" s="4"/>
      <c r="C65" s="127"/>
      <c r="D65" s="127"/>
      <c r="E65" s="129" t="e">
        <f t="shared" si="10"/>
        <v>#DIV/0!</v>
      </c>
      <c r="I65" s="102">
        <v>307</v>
      </c>
      <c r="J65" s="4"/>
      <c r="K65" s="130"/>
      <c r="L65" s="130"/>
      <c r="M65" s="121" t="e">
        <f t="shared" si="9"/>
        <v>#DIV/0!</v>
      </c>
    </row>
    <row r="66" spans="1:13" ht="12.75" x14ac:dyDescent="0.2">
      <c r="A66" s="102">
        <v>307</v>
      </c>
      <c r="B66" s="4"/>
      <c r="C66" s="130"/>
      <c r="D66" s="130"/>
      <c r="E66" s="131" t="e">
        <f t="shared" si="10"/>
        <v>#DIV/0!</v>
      </c>
      <c r="I66" s="102" t="s">
        <v>63</v>
      </c>
      <c r="J66" s="4"/>
      <c r="K66" s="130"/>
      <c r="L66" s="130"/>
      <c r="M66" s="121" t="e">
        <f t="shared" si="9"/>
        <v>#DIV/0!</v>
      </c>
    </row>
    <row r="67" spans="1:13" ht="12.75" x14ac:dyDescent="0.2">
      <c r="A67" s="102" t="s">
        <v>63</v>
      </c>
      <c r="B67" s="4"/>
      <c r="C67" s="130"/>
      <c r="D67" s="130"/>
      <c r="E67" s="121" t="e">
        <f t="shared" si="10"/>
        <v>#DIV/0!</v>
      </c>
      <c r="I67" s="102" t="s">
        <v>64</v>
      </c>
      <c r="J67" s="4"/>
      <c r="K67" s="130"/>
      <c r="L67" s="130"/>
      <c r="M67" s="121" t="e">
        <f t="shared" si="9"/>
        <v>#DIV/0!</v>
      </c>
    </row>
    <row r="68" spans="1:13" ht="12.75" x14ac:dyDescent="0.2">
      <c r="A68" s="102" t="s">
        <v>64</v>
      </c>
      <c r="B68" s="4"/>
      <c r="C68" s="130"/>
      <c r="D68" s="130"/>
      <c r="E68" s="121" t="e">
        <f t="shared" si="10"/>
        <v>#DIV/0!</v>
      </c>
      <c r="I68" s="12" t="s">
        <v>65</v>
      </c>
      <c r="J68" s="4"/>
      <c r="K68" s="130"/>
      <c r="L68" s="130"/>
      <c r="M68" s="121" t="e">
        <f t="shared" si="9"/>
        <v>#DIV/0!</v>
      </c>
    </row>
    <row r="69" spans="1:13" ht="12.75" x14ac:dyDescent="0.2">
      <c r="A69" s="12" t="s">
        <v>65</v>
      </c>
      <c r="B69" s="4"/>
      <c r="C69" s="130"/>
      <c r="D69" s="130"/>
      <c r="E69" s="121" t="e">
        <f t="shared" si="10"/>
        <v>#DIV/0!</v>
      </c>
      <c r="I69" s="142" t="s">
        <v>66</v>
      </c>
      <c r="J69" s="4"/>
      <c r="K69" s="130"/>
      <c r="L69" s="130"/>
      <c r="M69" s="121" t="e">
        <f t="shared" si="9"/>
        <v>#DIV/0!</v>
      </c>
    </row>
    <row r="70" spans="1:13" ht="12.75" x14ac:dyDescent="0.2">
      <c r="A70" s="142" t="s">
        <v>66</v>
      </c>
      <c r="B70" s="4"/>
      <c r="C70" s="130"/>
      <c r="D70" s="130"/>
      <c r="E70" s="121" t="e">
        <f t="shared" si="10"/>
        <v>#DIV/0!</v>
      </c>
      <c r="I70" s="142" t="s">
        <v>66</v>
      </c>
      <c r="J70" s="4"/>
      <c r="K70" s="130"/>
      <c r="L70" s="130"/>
      <c r="M70" s="121" t="e">
        <f t="shared" si="9"/>
        <v>#DIV/0!</v>
      </c>
    </row>
    <row r="71" spans="1:13" ht="12.75" x14ac:dyDescent="0.2">
      <c r="A71" s="142" t="s">
        <v>66</v>
      </c>
      <c r="B71" s="4"/>
      <c r="C71" s="130"/>
      <c r="D71" s="130"/>
      <c r="E71" s="121" t="e">
        <f t="shared" si="10"/>
        <v>#DIV/0!</v>
      </c>
      <c r="I71" s="142" t="s">
        <v>66</v>
      </c>
      <c r="J71" s="4"/>
      <c r="K71" s="130"/>
      <c r="L71" s="130"/>
      <c r="M71" s="121" t="e">
        <f t="shared" si="9"/>
        <v>#DIV/0!</v>
      </c>
    </row>
    <row r="72" spans="1:13" ht="12.75" x14ac:dyDescent="0.2">
      <c r="A72" s="142" t="s">
        <v>66</v>
      </c>
      <c r="B72" s="4"/>
      <c r="C72" s="130"/>
      <c r="D72" s="130"/>
      <c r="E72" s="121" t="e">
        <f t="shared" si="10"/>
        <v>#DIV/0!</v>
      </c>
    </row>
    <row r="73" spans="1:13" x14ac:dyDescent="0.2">
      <c r="A73" s="95" t="s">
        <v>50</v>
      </c>
    </row>
  </sheetData>
  <mergeCells count="17">
    <mergeCell ref="A58:A59"/>
    <mergeCell ref="B58:B59"/>
    <mergeCell ref="C58:D58"/>
    <mergeCell ref="E58:E59"/>
    <mergeCell ref="I57:I58"/>
    <mergeCell ref="J57:J58"/>
    <mergeCell ref="K57:L57"/>
    <mergeCell ref="J46:M46"/>
    <mergeCell ref="F36:I36"/>
    <mergeCell ref="J36:M36"/>
    <mergeCell ref="K56:M56"/>
    <mergeCell ref="M57:M58"/>
    <mergeCell ref="Q6:Q7"/>
    <mergeCell ref="B36:E36"/>
    <mergeCell ref="C6:H6"/>
    <mergeCell ref="J6:K6"/>
    <mergeCell ref="F46:I4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85"/>
  <sheetViews>
    <sheetView zoomScaleNormal="100" zoomScalePageLayoutView="150" workbookViewId="0">
      <selection activeCell="Q14" sqref="Q14"/>
    </sheetView>
  </sheetViews>
  <sheetFormatPr defaultColWidth="8.7109375" defaultRowHeight="12.75" outlineLevelCol="3" x14ac:dyDescent="0.2"/>
  <cols>
    <col min="2" max="2" width="8.7109375" style="108"/>
    <col min="7" max="8" width="8.7109375" customWidth="1" outlineLevel="1"/>
    <col min="9" max="9" width="8.7109375" customWidth="1" outlineLevel="3"/>
    <col min="10" max="13" width="10" customWidth="1" outlineLevel="3"/>
    <col min="14" max="14" width="11.140625" customWidth="1"/>
    <col min="15" max="15" width="11.42578125" customWidth="1"/>
    <col min="16" max="16" width="12.7109375" customWidth="1"/>
    <col min="26" max="27" width="8.7109375" style="1"/>
    <col min="28" max="28" width="8.7109375" customWidth="1"/>
  </cols>
  <sheetData>
    <row r="1" spans="1:28" x14ac:dyDescent="0.2">
      <c r="A1" s="182" t="s">
        <v>56</v>
      </c>
      <c r="B1" s="182"/>
      <c r="C1" s="182"/>
      <c r="D1" s="182"/>
      <c r="E1" s="182"/>
      <c r="F1" s="182"/>
    </row>
    <row r="2" spans="1:28" ht="13.5" thickBot="1" x14ac:dyDescent="0.25">
      <c r="A2" s="4" t="s">
        <v>53</v>
      </c>
      <c r="B2" s="108" t="s">
        <v>54</v>
      </c>
      <c r="C2" s="4" t="s">
        <v>39</v>
      </c>
      <c r="D2" s="4" t="s">
        <v>55</v>
      </c>
      <c r="E2" s="4" t="s">
        <v>57</v>
      </c>
      <c r="F2" s="4" t="s">
        <v>58</v>
      </c>
      <c r="H2" s="188" t="s">
        <v>16</v>
      </c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81"/>
      <c r="AA2" s="81"/>
      <c r="AB2" s="30" t="s">
        <v>0</v>
      </c>
    </row>
    <row r="3" spans="1:28" ht="22.5" customHeight="1" x14ac:dyDescent="0.2">
      <c r="A3" s="168" t="s">
        <v>62</v>
      </c>
      <c r="B3" s="171"/>
      <c r="C3" s="169" t="s">
        <v>68</v>
      </c>
      <c r="D3" s="106">
        <v>0</v>
      </c>
      <c r="E3" s="123">
        <v>3.6749000000000001</v>
      </c>
      <c r="F3" s="123">
        <v>0.39643000000000012</v>
      </c>
      <c r="H3" s="191" t="s">
        <v>39</v>
      </c>
      <c r="I3" s="191" t="s">
        <v>61</v>
      </c>
      <c r="J3" s="193" t="s">
        <v>28</v>
      </c>
      <c r="K3" s="193"/>
      <c r="L3" s="193"/>
      <c r="M3" s="44"/>
      <c r="N3" s="186" t="s">
        <v>48</v>
      </c>
      <c r="O3" s="190"/>
      <c r="P3" s="190"/>
      <c r="Q3" s="190"/>
      <c r="R3" s="187" t="s">
        <v>47</v>
      </c>
      <c r="S3" s="187"/>
      <c r="T3" s="187"/>
      <c r="U3" s="187"/>
      <c r="V3" s="186" t="s">
        <v>42</v>
      </c>
      <c r="W3" s="186"/>
      <c r="X3" s="186"/>
      <c r="Y3" s="186"/>
      <c r="Z3" s="82"/>
      <c r="AA3" s="82"/>
    </row>
    <row r="4" spans="1:28" x14ac:dyDescent="0.2">
      <c r="A4" s="168" t="s">
        <v>62</v>
      </c>
      <c r="B4" s="172"/>
      <c r="C4" s="169" t="s">
        <v>68</v>
      </c>
      <c r="D4" s="106">
        <v>21</v>
      </c>
      <c r="E4" s="123">
        <v>8.3097000000000012</v>
      </c>
      <c r="F4" s="123">
        <v>0.30811000000000005</v>
      </c>
      <c r="H4" s="191"/>
      <c r="I4" s="191"/>
      <c r="J4" s="36"/>
      <c r="K4" s="36"/>
      <c r="L4" s="36"/>
      <c r="M4" s="36"/>
      <c r="N4" s="190"/>
      <c r="O4" s="190"/>
      <c r="P4" s="190"/>
      <c r="Q4" s="190"/>
      <c r="R4" s="187"/>
      <c r="S4" s="187"/>
      <c r="T4" s="187"/>
      <c r="U4" s="187"/>
      <c r="V4" s="186"/>
      <c r="W4" s="186"/>
      <c r="X4" s="186"/>
      <c r="Y4" s="186"/>
      <c r="Z4" s="24"/>
      <c r="AA4" s="65"/>
      <c r="AB4" s="25"/>
    </row>
    <row r="5" spans="1:28" x14ac:dyDescent="0.2">
      <c r="A5" s="168" t="s">
        <v>62</v>
      </c>
      <c r="B5" s="172"/>
      <c r="C5" s="169" t="s">
        <v>68</v>
      </c>
      <c r="D5" s="106">
        <v>42</v>
      </c>
      <c r="E5" s="123">
        <v>14.168900000000001</v>
      </c>
      <c r="F5" s="123">
        <v>0.30376000000000009</v>
      </c>
      <c r="H5" s="29"/>
      <c r="I5" s="29"/>
      <c r="J5" s="36">
        <v>0</v>
      </c>
      <c r="K5" s="36">
        <v>21</v>
      </c>
      <c r="L5" s="36">
        <v>42</v>
      </c>
      <c r="M5" s="36">
        <v>63</v>
      </c>
      <c r="N5" s="36">
        <v>0</v>
      </c>
      <c r="O5" s="36">
        <v>21</v>
      </c>
      <c r="P5" s="36">
        <v>42</v>
      </c>
      <c r="Q5" s="36">
        <v>63</v>
      </c>
      <c r="R5" s="36">
        <v>0</v>
      </c>
      <c r="S5" s="36">
        <v>21</v>
      </c>
      <c r="T5" s="36">
        <v>42</v>
      </c>
      <c r="U5" s="36">
        <v>63</v>
      </c>
      <c r="V5" s="36">
        <v>0</v>
      </c>
      <c r="W5" s="36">
        <v>21</v>
      </c>
      <c r="X5" s="36">
        <v>42</v>
      </c>
      <c r="Y5" s="36">
        <v>63</v>
      </c>
      <c r="Z5" s="24"/>
      <c r="AA5" s="65"/>
      <c r="AB5" s="25"/>
    </row>
    <row r="6" spans="1:28" ht="13.5" thickBot="1" x14ac:dyDescent="0.25">
      <c r="A6" s="168" t="s">
        <v>62</v>
      </c>
      <c r="B6" s="172"/>
      <c r="C6" s="169" t="s">
        <v>68</v>
      </c>
      <c r="D6" s="106">
        <v>63</v>
      </c>
      <c r="E6" s="123">
        <v>18.622900000000001</v>
      </c>
      <c r="F6" s="123">
        <v>0.31097000000000002</v>
      </c>
      <c r="J6" s="183" t="s">
        <v>56</v>
      </c>
      <c r="K6" s="183"/>
      <c r="L6" s="183"/>
      <c r="M6" s="18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51"/>
      <c r="AA6" s="65"/>
    </row>
    <row r="7" spans="1:28" x14ac:dyDescent="0.2">
      <c r="A7" s="168" t="s">
        <v>62</v>
      </c>
      <c r="B7" s="172"/>
      <c r="C7" s="169" t="s">
        <v>69</v>
      </c>
      <c r="D7" s="106">
        <v>0</v>
      </c>
      <c r="E7" s="123">
        <v>4.1177000000000001</v>
      </c>
      <c r="F7" s="123">
        <v>0.29563000000000011</v>
      </c>
      <c r="H7" s="165" t="s">
        <v>68</v>
      </c>
      <c r="I7" s="4"/>
      <c r="J7" s="85">
        <v>29.6</v>
      </c>
      <c r="K7" s="85">
        <v>30.4</v>
      </c>
      <c r="L7" s="85">
        <v>31.9</v>
      </c>
      <c r="M7" s="85">
        <v>32.1</v>
      </c>
      <c r="N7" s="85">
        <f>F3</f>
        <v>0.39643000000000012</v>
      </c>
      <c r="O7" s="85">
        <f>F4</f>
        <v>0.30811000000000005</v>
      </c>
      <c r="P7" s="85">
        <f>F5</f>
        <v>0.30376000000000009</v>
      </c>
      <c r="Q7" s="85">
        <f>F6</f>
        <v>0.31097000000000002</v>
      </c>
      <c r="R7" s="6">
        <f>(((760*22.4)*(273+J7))/(760*273))</f>
        <v>24.828717948717951</v>
      </c>
      <c r="S7" s="6">
        <f t="shared" ref="R7:U18" si="0">(((760*22.4)*(273+K7))/(760*273))</f>
        <v>24.894358974358973</v>
      </c>
      <c r="T7" s="6">
        <f t="shared" si="0"/>
        <v>25.017435897435895</v>
      </c>
      <c r="U7" s="6">
        <f t="shared" si="0"/>
        <v>25.033846153846156</v>
      </c>
      <c r="V7" s="61">
        <f>((N7/(R7))*(0.044014))</f>
        <v>7.0275356367729698E-4</v>
      </c>
      <c r="W7" s="61">
        <f t="shared" ref="W7:Y7" si="1">((O7/(S7))*(0.044014))</f>
        <v>5.4474805131427169E-4</v>
      </c>
      <c r="X7" s="61">
        <f t="shared" si="1"/>
        <v>5.3441498540505105E-4</v>
      </c>
      <c r="Y7" s="61">
        <f t="shared" si="1"/>
        <v>5.467411398107178E-4</v>
      </c>
      <c r="AA7" s="85">
        <v>29.6</v>
      </c>
    </row>
    <row r="8" spans="1:28" x14ac:dyDescent="0.2">
      <c r="A8" s="168" t="s">
        <v>62</v>
      </c>
      <c r="B8" s="172"/>
      <c r="C8" s="169" t="s">
        <v>69</v>
      </c>
      <c r="D8" s="106">
        <v>21</v>
      </c>
      <c r="E8" s="123">
        <v>9.3909000000000002</v>
      </c>
      <c r="F8" s="123">
        <v>0.30806000000000006</v>
      </c>
      <c r="H8" s="166" t="s">
        <v>69</v>
      </c>
      <c r="I8" s="4"/>
      <c r="J8" s="85">
        <v>30.4</v>
      </c>
      <c r="K8" s="85">
        <v>32</v>
      </c>
      <c r="L8" s="85">
        <v>30.6</v>
      </c>
      <c r="M8" s="85">
        <v>29.6</v>
      </c>
      <c r="N8" s="85">
        <f>F7</f>
        <v>0.29563000000000011</v>
      </c>
      <c r="O8" s="85">
        <f>F8</f>
        <v>0.30806000000000006</v>
      </c>
      <c r="P8" s="85">
        <f>F9</f>
        <v>0.29431000000000002</v>
      </c>
      <c r="Q8" s="85">
        <f>F10</f>
        <v>0.29245000000000004</v>
      </c>
      <c r="R8" s="6">
        <f>(((760*22.4)*(273+J8))/(760*273))</f>
        <v>24.894358974358973</v>
      </c>
      <c r="S8" s="6">
        <f t="shared" si="0"/>
        <v>25.025641025641026</v>
      </c>
      <c r="T8" s="6">
        <f t="shared" si="0"/>
        <v>24.910769230769233</v>
      </c>
      <c r="U8" s="6">
        <f t="shared" si="0"/>
        <v>24.828717948717951</v>
      </c>
      <c r="V8" s="61">
        <f t="shared" ref="V8:V9" si="2">((N8/(R8))*(0.044014))</f>
        <v>5.2268302362804898E-4</v>
      </c>
      <c r="W8" s="61">
        <f t="shared" ref="W8:W18" si="3">((O8/(S8))*(0.044014))</f>
        <v>5.4180241881147549E-4</v>
      </c>
      <c r="X8" s="61">
        <f t="shared" ref="X8:X18" si="4">((P8/(T8))*(0.044014))</f>
        <v>5.200064365736165E-4</v>
      </c>
      <c r="Y8" s="61">
        <f t="shared" ref="Y8:Y18" si="5">((Q8/(U8))*(0.044014))</f>
        <v>5.1842766616407802E-4</v>
      </c>
      <c r="AA8" s="85">
        <v>30.4</v>
      </c>
    </row>
    <row r="9" spans="1:28" x14ac:dyDescent="0.2">
      <c r="A9" s="168" t="s">
        <v>62</v>
      </c>
      <c r="B9" s="172"/>
      <c r="C9" s="169" t="s">
        <v>69</v>
      </c>
      <c r="D9" s="106">
        <v>42</v>
      </c>
      <c r="E9" s="123">
        <v>14.3001</v>
      </c>
      <c r="F9" s="123">
        <v>0.29431000000000002</v>
      </c>
      <c r="H9" s="166" t="s">
        <v>70</v>
      </c>
      <c r="I9" s="4"/>
      <c r="J9" s="85">
        <v>29.4</v>
      </c>
      <c r="K9" s="85">
        <v>31.2</v>
      </c>
      <c r="L9" s="85">
        <v>31.6</v>
      </c>
      <c r="M9" s="85">
        <v>31.8</v>
      </c>
      <c r="N9" s="85">
        <f>F11</f>
        <v>0.28861000000000009</v>
      </c>
      <c r="O9" s="85">
        <f>F12</f>
        <v>0.30302000000000001</v>
      </c>
      <c r="P9" s="85">
        <f>F13</f>
        <v>0.30352000000000007</v>
      </c>
      <c r="Q9" s="85">
        <f>F14</f>
        <v>0.30211000000000005</v>
      </c>
      <c r="R9" s="6">
        <f t="shared" si="0"/>
        <v>24.812307692307691</v>
      </c>
      <c r="S9" s="6">
        <f t="shared" si="0"/>
        <v>24.96</v>
      </c>
      <c r="T9" s="6">
        <f t="shared" si="0"/>
        <v>24.992820512820515</v>
      </c>
      <c r="U9" s="6">
        <f t="shared" si="0"/>
        <v>25.009230769230768</v>
      </c>
      <c r="V9" s="61">
        <f t="shared" si="2"/>
        <v>5.1195885112847235E-4</v>
      </c>
      <c r="W9" s="61">
        <f t="shared" si="3"/>
        <v>5.3433983493589743E-4</v>
      </c>
      <c r="X9" s="61">
        <f t="shared" si="4"/>
        <v>5.3451867399868683E-4</v>
      </c>
      <c r="Y9" s="61">
        <f t="shared" si="5"/>
        <v>5.3168646659694887E-4</v>
      </c>
      <c r="AA9" s="85">
        <v>31.9</v>
      </c>
    </row>
    <row r="10" spans="1:28" x14ac:dyDescent="0.2">
      <c r="A10" s="168" t="s">
        <v>62</v>
      </c>
      <c r="B10" s="172"/>
      <c r="C10" s="169" t="s">
        <v>69</v>
      </c>
      <c r="D10" s="106">
        <v>63</v>
      </c>
      <c r="E10" s="123">
        <v>18.402900000000002</v>
      </c>
      <c r="F10" s="123">
        <v>0.29245000000000004</v>
      </c>
      <c r="H10" s="166" t="s">
        <v>71</v>
      </c>
      <c r="I10" s="4"/>
      <c r="J10" s="85">
        <v>29.5</v>
      </c>
      <c r="K10" s="85">
        <v>31.6</v>
      </c>
      <c r="L10" s="85">
        <v>32.200000000000003</v>
      </c>
      <c r="M10" s="85">
        <v>32.9</v>
      </c>
      <c r="N10" s="85">
        <f>F15</f>
        <v>0.29091000000000006</v>
      </c>
      <c r="O10" s="85">
        <f>F16</f>
        <v>0.30480000000000002</v>
      </c>
      <c r="P10" s="85">
        <f>F17</f>
        <v>0.29777000000000003</v>
      </c>
      <c r="Q10" s="85">
        <f>F18</f>
        <v>0.28858000000000011</v>
      </c>
      <c r="R10" s="6">
        <f t="shared" si="0"/>
        <v>24.820512820512821</v>
      </c>
      <c r="S10" s="6">
        <f t="shared" si="0"/>
        <v>24.992820512820515</v>
      </c>
      <c r="T10" s="6">
        <f t="shared" si="0"/>
        <v>25.042051282051283</v>
      </c>
      <c r="U10" s="6">
        <f t="shared" si="0"/>
        <v>25.099487179487177</v>
      </c>
      <c r="V10" s="61">
        <f>((N10/(R10))*(0.044014))</f>
        <v>5.1586817857438027E-4</v>
      </c>
      <c r="W10" s="61">
        <f t="shared" si="3"/>
        <v>5.3677283814839122E-4</v>
      </c>
      <c r="X10" s="61">
        <f t="shared" si="4"/>
        <v>5.2336163009911543E-4</v>
      </c>
      <c r="Y10" s="61">
        <f t="shared" si="5"/>
        <v>5.0604859092023553E-4</v>
      </c>
      <c r="AA10" s="85">
        <v>32.1</v>
      </c>
    </row>
    <row r="11" spans="1:28" s="1" customFormat="1" x14ac:dyDescent="0.2">
      <c r="A11" s="168" t="s">
        <v>62</v>
      </c>
      <c r="B11" s="172"/>
      <c r="C11" s="169" t="s">
        <v>70</v>
      </c>
      <c r="D11" s="106">
        <v>0</v>
      </c>
      <c r="E11" s="123">
        <v>6.2315000000000005</v>
      </c>
      <c r="F11" s="123">
        <v>0.28861000000000009</v>
      </c>
      <c r="H11" s="166" t="s">
        <v>72</v>
      </c>
      <c r="I11" s="4"/>
      <c r="J11" s="85">
        <v>29.4</v>
      </c>
      <c r="K11" s="85">
        <v>32.799999999999997</v>
      </c>
      <c r="L11" s="85">
        <v>33.1</v>
      </c>
      <c r="M11" s="85">
        <v>33.299999999999997</v>
      </c>
      <c r="N11" s="85">
        <f>F19</f>
        <v>0.29455000000000003</v>
      </c>
      <c r="O11" s="85">
        <f>F20</f>
        <v>0.30308000000000007</v>
      </c>
      <c r="P11" s="85">
        <f>F21</f>
        <v>0.30243000000000003</v>
      </c>
      <c r="Q11" s="85">
        <f>F22</f>
        <v>0.30433000000000004</v>
      </c>
      <c r="R11" s="6">
        <f t="shared" si="0"/>
        <v>24.812307692307691</v>
      </c>
      <c r="S11" s="6">
        <f t="shared" si="0"/>
        <v>25.091282051282054</v>
      </c>
      <c r="T11" s="6">
        <f t="shared" si="0"/>
        <v>25.115897435897438</v>
      </c>
      <c r="U11" s="6">
        <f t="shared" si="0"/>
        <v>25.132307692307695</v>
      </c>
      <c r="V11" s="61">
        <f t="shared" ref="V11:V18" si="6">((N11/(R11))*(0.044014))</f>
        <v>5.224956848338295E-4</v>
      </c>
      <c r="W11" s="61">
        <f t="shared" si="3"/>
        <v>5.3164932316873779E-4</v>
      </c>
      <c r="X11" s="61">
        <f t="shared" si="4"/>
        <v>5.299891852948382E-4</v>
      </c>
      <c r="Y11" s="61">
        <f>((Q11/(U11))*(0.044014))</f>
        <v>5.3297058049706168E-4</v>
      </c>
      <c r="AA11" s="85">
        <v>30.4</v>
      </c>
    </row>
    <row r="12" spans="1:28" s="1" customFormat="1" x14ac:dyDescent="0.2">
      <c r="A12" s="168" t="s">
        <v>62</v>
      </c>
      <c r="B12" s="172"/>
      <c r="C12" s="169" t="s">
        <v>70</v>
      </c>
      <c r="D12" s="106">
        <v>21</v>
      </c>
      <c r="E12" s="123">
        <v>12.5473</v>
      </c>
      <c r="F12" s="123">
        <v>0.30302000000000001</v>
      </c>
      <c r="H12" s="166" t="s">
        <v>73</v>
      </c>
      <c r="I12" s="4"/>
      <c r="J12" s="85">
        <v>30.3</v>
      </c>
      <c r="K12" s="85">
        <v>31.4</v>
      </c>
      <c r="L12" s="85">
        <v>31.7</v>
      </c>
      <c r="M12" s="85">
        <v>32.1</v>
      </c>
      <c r="N12" s="85">
        <f>F23</f>
        <v>0.28475000000000011</v>
      </c>
      <c r="O12" s="85">
        <f>F24</f>
        <v>0.27999000000000002</v>
      </c>
      <c r="P12" s="85">
        <f>F25</f>
        <v>0.30408000000000007</v>
      </c>
      <c r="Q12" s="85">
        <f>F26</f>
        <v>0.29466000000000009</v>
      </c>
      <c r="R12" s="6">
        <f t="shared" si="0"/>
        <v>24.886153846153846</v>
      </c>
      <c r="S12" s="6">
        <f t="shared" si="0"/>
        <v>24.976410256410254</v>
      </c>
      <c r="T12" s="6">
        <f t="shared" si="0"/>
        <v>25.001025641025642</v>
      </c>
      <c r="U12" s="6">
        <f t="shared" si="0"/>
        <v>25.033846153846156</v>
      </c>
      <c r="V12" s="61">
        <f t="shared" si="6"/>
        <v>5.0361283537339282E-4</v>
      </c>
      <c r="W12" s="61">
        <f t="shared" si="3"/>
        <v>4.9340476607670828E-4</v>
      </c>
      <c r="X12" s="61">
        <f t="shared" si="4"/>
        <v>5.3532912257958653E-4</v>
      </c>
      <c r="Y12" s="61">
        <f t="shared" si="5"/>
        <v>5.1806522898230096E-4</v>
      </c>
      <c r="Z12" s="5"/>
      <c r="AA12" s="85">
        <v>32</v>
      </c>
    </row>
    <row r="13" spans="1:28" s="53" customFormat="1" ht="13.15" customHeight="1" x14ac:dyDescent="0.2">
      <c r="A13" s="168" t="s">
        <v>62</v>
      </c>
      <c r="B13" s="172"/>
      <c r="C13" s="169" t="s">
        <v>70</v>
      </c>
      <c r="D13" s="106">
        <v>42</v>
      </c>
      <c r="E13" s="123">
        <v>19.3979</v>
      </c>
      <c r="F13" s="123">
        <v>0.30352000000000007</v>
      </c>
      <c r="H13" s="166" t="s">
        <v>74</v>
      </c>
      <c r="I13" s="4"/>
      <c r="J13" s="85">
        <v>32.700000000000003</v>
      </c>
      <c r="K13" s="85">
        <v>33</v>
      </c>
      <c r="L13" s="85">
        <v>33.1</v>
      </c>
      <c r="M13" s="85">
        <v>33.299999999999997</v>
      </c>
      <c r="N13" s="85">
        <f>F27</f>
        <v>0.31775000000000003</v>
      </c>
      <c r="O13" s="85">
        <f>F28</f>
        <v>0.31311000000000005</v>
      </c>
      <c r="P13" s="85">
        <f>F29</f>
        <v>0.29614000000000001</v>
      </c>
      <c r="Q13" s="85">
        <f>F30</f>
        <v>0.29045000000000004</v>
      </c>
      <c r="R13" s="6">
        <f t="shared" si="0"/>
        <v>25.083076923076923</v>
      </c>
      <c r="S13" s="6">
        <f t="shared" si="0"/>
        <v>25.107692307692307</v>
      </c>
      <c r="T13" s="6">
        <f t="shared" si="0"/>
        <v>25.115897435897438</v>
      </c>
      <c r="U13" s="6">
        <f t="shared" si="0"/>
        <v>25.132307692307695</v>
      </c>
      <c r="V13" s="61">
        <f t="shared" si="6"/>
        <v>5.5756510825564272E-4</v>
      </c>
      <c r="W13" s="61">
        <f t="shared" si="3"/>
        <v>5.4888451599264718E-4</v>
      </c>
      <c r="X13" s="61">
        <f t="shared" si="4"/>
        <v>5.189663635658281E-4</v>
      </c>
      <c r="Y13" s="61">
        <f t="shared" si="5"/>
        <v>5.0866265273016647E-4</v>
      </c>
      <c r="AA13" s="85">
        <v>30.6</v>
      </c>
    </row>
    <row r="14" spans="1:28" s="33" customFormat="1" ht="13.5" thickBot="1" x14ac:dyDescent="0.25">
      <c r="A14" s="168" t="s">
        <v>62</v>
      </c>
      <c r="B14" s="172"/>
      <c r="C14" s="169" t="s">
        <v>70</v>
      </c>
      <c r="D14" s="106">
        <v>63</v>
      </c>
      <c r="E14" s="123">
        <v>23.664100000000001</v>
      </c>
      <c r="F14" s="123">
        <v>0.30211000000000005</v>
      </c>
      <c r="H14" s="167" t="s">
        <v>75</v>
      </c>
      <c r="I14" s="4"/>
      <c r="J14" s="85">
        <v>32.5</v>
      </c>
      <c r="K14" s="85">
        <v>33</v>
      </c>
      <c r="L14" s="85">
        <v>33.200000000000003</v>
      </c>
      <c r="M14" s="85">
        <v>33.5</v>
      </c>
      <c r="N14" s="85">
        <f>F31</f>
        <v>0.40740000000000004</v>
      </c>
      <c r="O14" s="85">
        <f>F32</f>
        <v>0.31618000000000007</v>
      </c>
      <c r="P14" s="85">
        <f>F33</f>
        <v>0.40153000000000011</v>
      </c>
      <c r="Q14" s="85">
        <f>F34</f>
        <v>0.29315000000000008</v>
      </c>
      <c r="R14" s="6">
        <f t="shared" si="0"/>
        <v>25.066666666666666</v>
      </c>
      <c r="S14" s="6">
        <f t="shared" si="0"/>
        <v>25.107692307692307</v>
      </c>
      <c r="T14" s="6">
        <f t="shared" si="0"/>
        <v>25.124102564102564</v>
      </c>
      <c r="U14" s="6">
        <f t="shared" si="0"/>
        <v>25.148717948717948</v>
      </c>
      <c r="V14" s="61">
        <f t="shared" si="6"/>
        <v>7.1534455851063837E-4</v>
      </c>
      <c r="W14" s="61">
        <f t="shared" si="3"/>
        <v>5.5426625232843146E-4</v>
      </c>
      <c r="X14" s="61">
        <f t="shared" si="4"/>
        <v>7.034257790863816E-4</v>
      </c>
      <c r="Y14" s="61">
        <f t="shared" si="5"/>
        <v>5.1305613774469826E-4</v>
      </c>
      <c r="Z14" s="24"/>
      <c r="AA14" s="85">
        <v>29.6</v>
      </c>
    </row>
    <row r="15" spans="1:28" s="53" customFormat="1" x14ac:dyDescent="0.2">
      <c r="A15" s="168" t="s">
        <v>62</v>
      </c>
      <c r="B15" s="172"/>
      <c r="C15" s="169" t="s">
        <v>71</v>
      </c>
      <c r="D15" s="106">
        <v>0</v>
      </c>
      <c r="E15" s="123">
        <v>11.2813</v>
      </c>
      <c r="F15" s="123">
        <v>0.29091000000000006</v>
      </c>
      <c r="H15" s="12"/>
      <c r="I15" s="4"/>
      <c r="J15" s="90"/>
      <c r="K15" s="105"/>
      <c r="L15" s="105"/>
      <c r="M15" s="105"/>
      <c r="N15" s="85">
        <f>F35</f>
        <v>0</v>
      </c>
      <c r="O15" s="85">
        <f>F36</f>
        <v>0</v>
      </c>
      <c r="P15" s="85">
        <f>F37</f>
        <v>0</v>
      </c>
      <c r="Q15" s="85">
        <f>F38</f>
        <v>0</v>
      </c>
      <c r="R15" s="6">
        <f t="shared" si="0"/>
        <v>22.4</v>
      </c>
      <c r="S15" s="6">
        <f t="shared" si="0"/>
        <v>22.4</v>
      </c>
      <c r="T15" s="6">
        <f t="shared" si="0"/>
        <v>22.4</v>
      </c>
      <c r="U15" s="6">
        <f t="shared" si="0"/>
        <v>22.4</v>
      </c>
      <c r="V15" s="61">
        <f t="shared" si="6"/>
        <v>0</v>
      </c>
      <c r="W15" s="61">
        <f t="shared" si="3"/>
        <v>0</v>
      </c>
      <c r="X15" s="61">
        <f t="shared" si="4"/>
        <v>0</v>
      </c>
      <c r="Y15" s="61">
        <f t="shared" si="5"/>
        <v>0</v>
      </c>
      <c r="Z15" s="24"/>
      <c r="AA15" s="85">
        <v>29.4</v>
      </c>
    </row>
    <row r="16" spans="1:28" s="53" customFormat="1" x14ac:dyDescent="0.2">
      <c r="A16" s="168" t="s">
        <v>62</v>
      </c>
      <c r="B16" s="172"/>
      <c r="C16" s="169" t="s">
        <v>71</v>
      </c>
      <c r="D16" s="106">
        <v>21</v>
      </c>
      <c r="E16" s="123">
        <v>24.0625</v>
      </c>
      <c r="F16" s="123">
        <v>0.30480000000000002</v>
      </c>
      <c r="H16" s="142" t="s">
        <v>66</v>
      </c>
      <c r="I16" s="4"/>
      <c r="J16" s="90"/>
      <c r="K16" s="105"/>
      <c r="L16" s="105"/>
      <c r="M16" s="105"/>
      <c r="N16" s="85">
        <f>F39</f>
        <v>0</v>
      </c>
      <c r="O16" s="85">
        <f>F40</f>
        <v>0</v>
      </c>
      <c r="P16" s="85">
        <f>F41</f>
        <v>0</v>
      </c>
      <c r="Q16" s="85">
        <f>F42</f>
        <v>0</v>
      </c>
      <c r="R16" s="6">
        <f t="shared" si="0"/>
        <v>22.4</v>
      </c>
      <c r="S16" s="6">
        <f t="shared" si="0"/>
        <v>22.4</v>
      </c>
      <c r="T16" s="6">
        <f t="shared" si="0"/>
        <v>22.4</v>
      </c>
      <c r="U16" s="6">
        <f t="shared" si="0"/>
        <v>22.4</v>
      </c>
      <c r="V16" s="61">
        <f t="shared" si="6"/>
        <v>0</v>
      </c>
      <c r="W16" s="61">
        <f t="shared" si="3"/>
        <v>0</v>
      </c>
      <c r="X16" s="61">
        <f t="shared" si="4"/>
        <v>0</v>
      </c>
      <c r="Y16" s="61">
        <f t="shared" si="5"/>
        <v>0</v>
      </c>
      <c r="Z16" s="34"/>
      <c r="AA16" s="85">
        <v>31.2</v>
      </c>
      <c r="AB16" s="34"/>
    </row>
    <row r="17" spans="1:28" s="53" customFormat="1" x14ac:dyDescent="0.2">
      <c r="A17" s="168" t="s">
        <v>62</v>
      </c>
      <c r="B17" s="172"/>
      <c r="C17" s="169" t="s">
        <v>71</v>
      </c>
      <c r="D17" s="106">
        <v>42</v>
      </c>
      <c r="E17" s="123">
        <v>42.567100000000003</v>
      </c>
      <c r="F17" s="123">
        <v>0.29777000000000003</v>
      </c>
      <c r="H17" s="142" t="s">
        <v>66</v>
      </c>
      <c r="I17" s="4"/>
      <c r="J17" s="90"/>
      <c r="K17" s="105"/>
      <c r="L17" s="105"/>
      <c r="M17" s="105"/>
      <c r="N17" s="85">
        <f>F43</f>
        <v>0</v>
      </c>
      <c r="O17" s="85">
        <f>F44</f>
        <v>0</v>
      </c>
      <c r="P17" s="85">
        <f>F45</f>
        <v>0</v>
      </c>
      <c r="Q17" s="85">
        <f>F46</f>
        <v>0</v>
      </c>
      <c r="R17" s="6">
        <f t="shared" si="0"/>
        <v>22.4</v>
      </c>
      <c r="S17" s="6">
        <f t="shared" si="0"/>
        <v>22.4</v>
      </c>
      <c r="T17" s="6">
        <f t="shared" si="0"/>
        <v>22.4</v>
      </c>
      <c r="U17" s="6">
        <f t="shared" si="0"/>
        <v>22.4</v>
      </c>
      <c r="V17" s="61">
        <f t="shared" si="6"/>
        <v>0</v>
      </c>
      <c r="W17" s="61">
        <f t="shared" si="3"/>
        <v>0</v>
      </c>
      <c r="X17" s="61">
        <f t="shared" si="4"/>
        <v>0</v>
      </c>
      <c r="Y17" s="61">
        <f t="shared" si="5"/>
        <v>0</v>
      </c>
      <c r="Z17" s="34"/>
      <c r="AA17" s="85">
        <v>31.6</v>
      </c>
      <c r="AB17" s="34"/>
    </row>
    <row r="18" spans="1:28" s="33" customFormat="1" x14ac:dyDescent="0.2">
      <c r="A18" s="168" t="s">
        <v>62</v>
      </c>
      <c r="B18" s="172"/>
      <c r="C18" s="169" t="s">
        <v>71</v>
      </c>
      <c r="D18" s="106">
        <v>63</v>
      </c>
      <c r="E18" s="123">
        <v>49.829100000000004</v>
      </c>
      <c r="F18" s="123">
        <v>0.28858000000000011</v>
      </c>
      <c r="H18" s="142" t="s">
        <v>66</v>
      </c>
      <c r="I18" s="4"/>
      <c r="J18" s="90"/>
      <c r="K18" s="104"/>
      <c r="L18" s="104"/>
      <c r="M18" s="104"/>
      <c r="N18" s="85">
        <f>F47</f>
        <v>0</v>
      </c>
      <c r="O18" s="85">
        <f>F48</f>
        <v>0</v>
      </c>
      <c r="P18" s="85">
        <f>F49</f>
        <v>0</v>
      </c>
      <c r="Q18" s="85">
        <f>F50</f>
        <v>0</v>
      </c>
      <c r="R18" s="6">
        <f t="shared" si="0"/>
        <v>22.4</v>
      </c>
      <c r="S18" s="6">
        <f t="shared" si="0"/>
        <v>22.4</v>
      </c>
      <c r="T18" s="6">
        <f t="shared" si="0"/>
        <v>22.4</v>
      </c>
      <c r="U18" s="6">
        <f t="shared" si="0"/>
        <v>22.4</v>
      </c>
      <c r="V18" s="61">
        <f t="shared" si="6"/>
        <v>0</v>
      </c>
      <c r="W18" s="61">
        <f t="shared" si="3"/>
        <v>0</v>
      </c>
      <c r="X18" s="61">
        <f t="shared" si="4"/>
        <v>0</v>
      </c>
      <c r="Y18" s="61">
        <f t="shared" si="5"/>
        <v>0</v>
      </c>
      <c r="Z18" s="53"/>
      <c r="AA18" s="85">
        <v>31.8</v>
      </c>
    </row>
    <row r="19" spans="1:28" s="33" customFormat="1" x14ac:dyDescent="0.2">
      <c r="A19" s="168" t="s">
        <v>62</v>
      </c>
      <c r="B19" s="172"/>
      <c r="C19" s="169" t="s">
        <v>72</v>
      </c>
      <c r="D19" s="106">
        <v>0</v>
      </c>
      <c r="E19" s="123">
        <v>3.7025000000000001</v>
      </c>
      <c r="F19" s="123">
        <v>0.29455000000000003</v>
      </c>
      <c r="H19" s="15"/>
      <c r="Z19" s="53"/>
      <c r="AA19" s="85">
        <v>29.5</v>
      </c>
    </row>
    <row r="20" spans="1:28" s="33" customFormat="1" x14ac:dyDescent="0.2">
      <c r="A20" s="168" t="s">
        <v>62</v>
      </c>
      <c r="B20" s="172"/>
      <c r="C20" s="169" t="s">
        <v>72</v>
      </c>
      <c r="D20" s="106">
        <v>21</v>
      </c>
      <c r="E20" s="123">
        <v>9.150500000000001</v>
      </c>
      <c r="F20" s="123">
        <v>0.30308000000000007</v>
      </c>
      <c r="M20" s="107"/>
      <c r="Z20" s="53"/>
      <c r="AA20" s="85">
        <v>31.6</v>
      </c>
    </row>
    <row r="21" spans="1:28" s="33" customFormat="1" x14ac:dyDescent="0.2">
      <c r="A21" s="168" t="s">
        <v>62</v>
      </c>
      <c r="B21" s="172"/>
      <c r="C21" s="169" t="s">
        <v>72</v>
      </c>
      <c r="D21" s="106">
        <v>42</v>
      </c>
      <c r="E21" s="123">
        <v>18.877700000000001</v>
      </c>
      <c r="F21" s="123">
        <v>0.30243000000000003</v>
      </c>
      <c r="H21" s="189" t="s">
        <v>15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53"/>
      <c r="AA21" s="85">
        <v>32.200000000000003</v>
      </c>
    </row>
    <row r="22" spans="1:28" s="33" customFormat="1" x14ac:dyDescent="0.2">
      <c r="A22" s="168" t="s">
        <v>62</v>
      </c>
      <c r="B22" s="172"/>
      <c r="C22" s="169" t="s">
        <v>72</v>
      </c>
      <c r="D22" s="106">
        <v>63</v>
      </c>
      <c r="E22" s="123">
        <v>26.652700000000003</v>
      </c>
      <c r="F22" s="123">
        <v>0.30433000000000004</v>
      </c>
      <c r="H22" s="194" t="s">
        <v>39</v>
      </c>
      <c r="I22" s="194" t="s">
        <v>61</v>
      </c>
      <c r="J22" s="192" t="s">
        <v>28</v>
      </c>
      <c r="K22" s="192"/>
      <c r="L22" s="192"/>
      <c r="M22" s="87"/>
      <c r="N22" s="184" t="s">
        <v>48</v>
      </c>
      <c r="O22" s="195"/>
      <c r="P22" s="195"/>
      <c r="Q22" s="195"/>
      <c r="R22" s="185" t="s">
        <v>47</v>
      </c>
      <c r="S22" s="185"/>
      <c r="T22" s="185"/>
      <c r="U22" s="185"/>
      <c r="V22" s="184" t="s">
        <v>43</v>
      </c>
      <c r="W22" s="184"/>
      <c r="X22" s="184"/>
      <c r="Y22" s="184"/>
      <c r="Z22" s="53"/>
      <c r="AA22" s="85">
        <v>32.9</v>
      </c>
    </row>
    <row r="23" spans="1:28" s="33" customFormat="1" x14ac:dyDescent="0.2">
      <c r="A23" s="168" t="s">
        <v>62</v>
      </c>
      <c r="B23" s="172"/>
      <c r="C23" s="169" t="s">
        <v>73</v>
      </c>
      <c r="D23" s="106">
        <v>0</v>
      </c>
      <c r="E23" s="123">
        <v>5.4539</v>
      </c>
      <c r="F23" s="123">
        <v>0.28475000000000011</v>
      </c>
      <c r="H23" s="194"/>
      <c r="I23" s="194"/>
      <c r="J23" s="88"/>
      <c r="K23" s="88"/>
      <c r="L23" s="88"/>
      <c r="M23" s="88"/>
      <c r="N23" s="195"/>
      <c r="O23" s="195"/>
      <c r="P23" s="195"/>
      <c r="Q23" s="195"/>
      <c r="R23" s="185"/>
      <c r="S23" s="185"/>
      <c r="T23" s="185"/>
      <c r="U23" s="185"/>
      <c r="V23" s="184"/>
      <c r="W23" s="184"/>
      <c r="X23" s="184"/>
      <c r="Y23" s="184"/>
      <c r="Z23" s="53"/>
      <c r="AA23" s="85">
        <v>29.4</v>
      </c>
    </row>
    <row r="24" spans="1:28" s="33" customFormat="1" x14ac:dyDescent="0.2">
      <c r="A24" s="168" t="s">
        <v>62</v>
      </c>
      <c r="B24" s="172"/>
      <c r="C24" s="169" t="s">
        <v>73</v>
      </c>
      <c r="D24" s="106">
        <v>21</v>
      </c>
      <c r="E24" s="123">
        <v>14.5245</v>
      </c>
      <c r="F24" s="123">
        <v>0.27999000000000002</v>
      </c>
      <c r="H24" s="89"/>
      <c r="I24" s="89"/>
      <c r="J24" s="88">
        <v>0</v>
      </c>
      <c r="K24" s="88">
        <v>21</v>
      </c>
      <c r="L24" s="88">
        <v>42</v>
      </c>
      <c r="M24" s="88">
        <v>63</v>
      </c>
      <c r="N24" s="88">
        <v>0</v>
      </c>
      <c r="O24" s="88">
        <v>21</v>
      </c>
      <c r="P24" s="88">
        <v>42</v>
      </c>
      <c r="Q24" s="88">
        <v>63</v>
      </c>
      <c r="R24" s="88">
        <v>0</v>
      </c>
      <c r="S24" s="88">
        <v>21</v>
      </c>
      <c r="T24" s="88">
        <v>42</v>
      </c>
      <c r="U24" s="88">
        <v>63</v>
      </c>
      <c r="V24" s="88">
        <v>0</v>
      </c>
      <c r="W24" s="88">
        <v>21</v>
      </c>
      <c r="X24" s="88">
        <v>42</v>
      </c>
      <c r="Y24" s="88">
        <v>63</v>
      </c>
      <c r="Z24" s="53"/>
      <c r="AA24" s="85">
        <v>32.799999999999997</v>
      </c>
    </row>
    <row r="25" spans="1:28" s="33" customFormat="1" ht="13.5" thickBot="1" x14ac:dyDescent="0.25">
      <c r="A25" s="168" t="s">
        <v>62</v>
      </c>
      <c r="B25" s="172"/>
      <c r="C25" s="169" t="s">
        <v>73</v>
      </c>
      <c r="D25" s="106">
        <v>42</v>
      </c>
      <c r="E25" s="123">
        <v>2.4037000000000002</v>
      </c>
      <c r="F25" s="123">
        <v>0.30408000000000007</v>
      </c>
      <c r="H25"/>
      <c r="I25"/>
      <c r="J25"/>
      <c r="K25"/>
      <c r="L25"/>
      <c r="M2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53"/>
      <c r="AA25" s="85">
        <v>33.1</v>
      </c>
    </row>
    <row r="26" spans="1:28" s="33" customFormat="1" x14ac:dyDescent="0.2">
      <c r="A26" s="168" t="s">
        <v>62</v>
      </c>
      <c r="B26" s="172"/>
      <c r="C26" s="169" t="s">
        <v>73</v>
      </c>
      <c r="D26" s="106">
        <v>63</v>
      </c>
      <c r="E26" s="123">
        <v>39.034700000000008</v>
      </c>
      <c r="F26" s="123">
        <v>0.29466000000000009</v>
      </c>
      <c r="H26" s="165" t="s">
        <v>68</v>
      </c>
      <c r="I26" s="4"/>
      <c r="J26" s="90">
        <f t="shared" ref="J26:M29" si="7">J7</f>
        <v>29.6</v>
      </c>
      <c r="K26" s="90">
        <f t="shared" si="7"/>
        <v>30.4</v>
      </c>
      <c r="L26" s="90">
        <f t="shared" si="7"/>
        <v>31.9</v>
      </c>
      <c r="M26" s="90">
        <f t="shared" si="7"/>
        <v>32.1</v>
      </c>
      <c r="N26" s="85">
        <f>E3</f>
        <v>3.6749000000000001</v>
      </c>
      <c r="O26" s="85">
        <f>E4</f>
        <v>8.3097000000000012</v>
      </c>
      <c r="P26" s="85">
        <f>E5</f>
        <v>14.168900000000001</v>
      </c>
      <c r="Q26" s="85">
        <f>E6</f>
        <v>18.622900000000001</v>
      </c>
      <c r="R26" s="6">
        <f t="shared" ref="R26:U37" si="8">(((760*22.4)*(273+J26))/(760*273))</f>
        <v>24.828717948717951</v>
      </c>
      <c r="S26" s="6">
        <f t="shared" si="8"/>
        <v>24.894358974358973</v>
      </c>
      <c r="T26" s="6">
        <f t="shared" si="8"/>
        <v>25.017435897435895</v>
      </c>
      <c r="U26" s="6">
        <f t="shared" si="8"/>
        <v>25.033846153846156</v>
      </c>
      <c r="V26" s="61">
        <f>((N26/(R26))*(0.016043))</f>
        <v>2.3745253710550228E-3</v>
      </c>
      <c r="W26" s="61">
        <f t="shared" ref="W26:Y37" si="9">((O26/(S26))*(0.016043))</f>
        <v>5.3551295390779517E-3</v>
      </c>
      <c r="X26" s="61">
        <f t="shared" si="9"/>
        <v>9.0861295151074151E-3</v>
      </c>
      <c r="Y26" s="61">
        <f t="shared" si="9"/>
        <v>1.1934529870636677E-2</v>
      </c>
      <c r="Z26" s="53"/>
      <c r="AA26" s="85">
        <v>33.299999999999997</v>
      </c>
    </row>
    <row r="27" spans="1:28" s="33" customFormat="1" x14ac:dyDescent="0.2">
      <c r="A27" s="168" t="s">
        <v>62</v>
      </c>
      <c r="B27" s="172"/>
      <c r="C27" s="169" t="s">
        <v>74</v>
      </c>
      <c r="D27" s="106">
        <v>0</v>
      </c>
      <c r="E27" s="123">
        <v>6.9893000000000001</v>
      </c>
      <c r="F27" s="123">
        <v>0.31775000000000003</v>
      </c>
      <c r="H27" s="166" t="s">
        <v>69</v>
      </c>
      <c r="I27" s="4"/>
      <c r="J27" s="90">
        <f t="shared" si="7"/>
        <v>30.4</v>
      </c>
      <c r="K27" s="90">
        <f t="shared" si="7"/>
        <v>32</v>
      </c>
      <c r="L27" s="90">
        <f t="shared" si="7"/>
        <v>30.6</v>
      </c>
      <c r="M27" s="90">
        <f t="shared" si="7"/>
        <v>29.6</v>
      </c>
      <c r="N27" s="85">
        <f>E7</f>
        <v>4.1177000000000001</v>
      </c>
      <c r="O27" s="85">
        <f>E8</f>
        <v>9.3909000000000002</v>
      </c>
      <c r="P27" s="85">
        <f>E9</f>
        <v>14.3001</v>
      </c>
      <c r="Q27" s="85">
        <f>E10</f>
        <v>18.402900000000002</v>
      </c>
      <c r="R27" s="6">
        <f t="shared" si="8"/>
        <v>24.894358974358973</v>
      </c>
      <c r="S27" s="6">
        <f t="shared" si="8"/>
        <v>25.025641025641026</v>
      </c>
      <c r="T27" s="6">
        <f t="shared" si="8"/>
        <v>24.910769230769233</v>
      </c>
      <c r="U27" s="6">
        <f t="shared" si="8"/>
        <v>24.828717948717951</v>
      </c>
      <c r="V27" s="61">
        <f t="shared" ref="V27:V37" si="10">((N27/(R27))*(0.016043))</f>
        <v>2.6536237051952871E-3</v>
      </c>
      <c r="W27" s="61">
        <f t="shared" si="9"/>
        <v>6.0201538312500006E-3</v>
      </c>
      <c r="X27" s="61">
        <f t="shared" si="9"/>
        <v>9.2095311138216413E-3</v>
      </c>
      <c r="Y27" s="61">
        <f t="shared" si="9"/>
        <v>1.1890977428226207E-2</v>
      </c>
      <c r="Z27" s="53"/>
      <c r="AA27" s="85">
        <v>30.3</v>
      </c>
    </row>
    <row r="28" spans="1:28" s="33" customFormat="1" x14ac:dyDescent="0.2">
      <c r="A28" s="168" t="s">
        <v>62</v>
      </c>
      <c r="B28" s="172"/>
      <c r="C28" s="169" t="s">
        <v>74</v>
      </c>
      <c r="D28" s="106">
        <v>21</v>
      </c>
      <c r="E28" s="123">
        <v>13.4497</v>
      </c>
      <c r="F28" s="123">
        <v>0.31311000000000005</v>
      </c>
      <c r="H28" s="166" t="s">
        <v>70</v>
      </c>
      <c r="I28" s="4"/>
      <c r="J28" s="90">
        <f t="shared" si="7"/>
        <v>29.4</v>
      </c>
      <c r="K28" s="90">
        <f t="shared" si="7"/>
        <v>31.2</v>
      </c>
      <c r="L28" s="90">
        <f t="shared" si="7"/>
        <v>31.6</v>
      </c>
      <c r="M28" s="90">
        <f t="shared" si="7"/>
        <v>31.8</v>
      </c>
      <c r="N28" s="85">
        <f>E11</f>
        <v>6.2315000000000005</v>
      </c>
      <c r="O28" s="85">
        <f>E12</f>
        <v>12.5473</v>
      </c>
      <c r="P28" s="85">
        <f>E13</f>
        <v>19.3979</v>
      </c>
      <c r="Q28" s="85">
        <f>E14</f>
        <v>23.664100000000001</v>
      </c>
      <c r="R28" s="6">
        <f t="shared" si="8"/>
        <v>24.812307692307691</v>
      </c>
      <c r="S28" s="6">
        <f t="shared" si="8"/>
        <v>24.96</v>
      </c>
      <c r="T28" s="6">
        <f t="shared" si="8"/>
        <v>24.992820512820515</v>
      </c>
      <c r="U28" s="6">
        <f t="shared" si="8"/>
        <v>25.009230769230768</v>
      </c>
      <c r="V28" s="61">
        <f t="shared" si="10"/>
        <v>4.0291276305183541E-3</v>
      </c>
      <c r="W28" s="61">
        <f t="shared" si="9"/>
        <v>8.0647569671474361E-3</v>
      </c>
      <c r="X28" s="61">
        <f t="shared" si="9"/>
        <v>1.245159623102019E-2</v>
      </c>
      <c r="Y28" s="61">
        <f t="shared" si="9"/>
        <v>1.5180121284141243E-2</v>
      </c>
      <c r="Z28" s="53"/>
      <c r="AA28" s="85">
        <v>31.4</v>
      </c>
    </row>
    <row r="29" spans="1:28" s="33" customFormat="1" x14ac:dyDescent="0.2">
      <c r="A29" s="168" t="s">
        <v>62</v>
      </c>
      <c r="B29" s="172"/>
      <c r="C29" s="169" t="s">
        <v>74</v>
      </c>
      <c r="D29" s="106">
        <v>42</v>
      </c>
      <c r="E29" s="123">
        <v>23.666900000000002</v>
      </c>
      <c r="F29" s="123">
        <v>0.29614000000000001</v>
      </c>
      <c r="H29" s="166" t="s">
        <v>71</v>
      </c>
      <c r="I29" s="4"/>
      <c r="J29" s="90">
        <f t="shared" si="7"/>
        <v>29.5</v>
      </c>
      <c r="K29" s="90">
        <f t="shared" si="7"/>
        <v>31.6</v>
      </c>
      <c r="L29" s="90">
        <f t="shared" si="7"/>
        <v>32.200000000000003</v>
      </c>
      <c r="M29" s="90">
        <f t="shared" si="7"/>
        <v>32.9</v>
      </c>
      <c r="N29" s="85">
        <f>E15</f>
        <v>11.2813</v>
      </c>
      <c r="O29" s="85">
        <f>E16</f>
        <v>24.0625</v>
      </c>
      <c r="P29" s="85">
        <f>E17</f>
        <v>42.567100000000003</v>
      </c>
      <c r="Q29" s="85">
        <f>E18</f>
        <v>49.829100000000004</v>
      </c>
      <c r="R29" s="6">
        <f t="shared" si="8"/>
        <v>24.820512820512821</v>
      </c>
      <c r="S29" s="6">
        <f t="shared" si="8"/>
        <v>24.992820512820515</v>
      </c>
      <c r="T29" s="6">
        <f t="shared" si="8"/>
        <v>25.042051282051283</v>
      </c>
      <c r="U29" s="6">
        <f t="shared" si="8"/>
        <v>25.099487179487177</v>
      </c>
      <c r="V29" s="61">
        <f t="shared" si="10"/>
        <v>7.2917871282024791E-3</v>
      </c>
      <c r="W29" s="61">
        <f t="shared" si="9"/>
        <v>1.5445823223592416E-2</v>
      </c>
      <c r="X29" s="61">
        <f t="shared" si="9"/>
        <v>2.727028938677507E-2</v>
      </c>
      <c r="Y29" s="61">
        <f t="shared" si="9"/>
        <v>3.184958503667458E-2</v>
      </c>
      <c r="Z29" s="53"/>
      <c r="AA29" s="85">
        <v>31.7</v>
      </c>
    </row>
    <row r="30" spans="1:28" s="33" customFormat="1" x14ac:dyDescent="0.2">
      <c r="A30" s="168" t="s">
        <v>62</v>
      </c>
      <c r="B30" s="172"/>
      <c r="C30" s="169" t="s">
        <v>74</v>
      </c>
      <c r="D30" s="106">
        <v>63</v>
      </c>
      <c r="E30" s="123">
        <v>36.205900000000007</v>
      </c>
      <c r="F30" s="123">
        <v>0.29045000000000004</v>
      </c>
      <c r="H30" s="166" t="s">
        <v>72</v>
      </c>
      <c r="I30" s="4"/>
      <c r="J30" s="90">
        <f t="shared" ref="J30:M30" si="11">J11</f>
        <v>29.4</v>
      </c>
      <c r="K30" s="90">
        <f t="shared" si="11"/>
        <v>32.799999999999997</v>
      </c>
      <c r="L30" s="90">
        <f t="shared" si="11"/>
        <v>33.1</v>
      </c>
      <c r="M30" s="90">
        <f t="shared" si="11"/>
        <v>33.299999999999997</v>
      </c>
      <c r="N30" s="85">
        <f>E19</f>
        <v>3.7025000000000001</v>
      </c>
      <c r="O30" s="85">
        <f>E20</f>
        <v>9.150500000000001</v>
      </c>
      <c r="P30" s="85">
        <f>E21</f>
        <v>18.877700000000001</v>
      </c>
      <c r="Q30" s="85">
        <f>E22</f>
        <v>26.652700000000003</v>
      </c>
      <c r="R30" s="6">
        <f t="shared" si="8"/>
        <v>24.812307692307691</v>
      </c>
      <c r="S30" s="6">
        <f t="shared" si="8"/>
        <v>25.091282051282054</v>
      </c>
      <c r="T30" s="6">
        <f t="shared" si="8"/>
        <v>25.115897435897438</v>
      </c>
      <c r="U30" s="6">
        <f t="shared" si="8"/>
        <v>25.132307692307695</v>
      </c>
      <c r="V30" s="61">
        <f t="shared" si="10"/>
        <v>2.3939412744915681E-3</v>
      </c>
      <c r="W30" s="61">
        <f t="shared" si="9"/>
        <v>5.8506963175482341E-3</v>
      </c>
      <c r="X30" s="61">
        <f t="shared" si="9"/>
        <v>1.2058296617629045E-2</v>
      </c>
      <c r="Y30" s="61">
        <f t="shared" si="9"/>
        <v>1.7013529809316849E-2</v>
      </c>
      <c r="Z30" s="53"/>
      <c r="AA30" s="85">
        <v>32.1</v>
      </c>
    </row>
    <row r="31" spans="1:28" s="33" customFormat="1" x14ac:dyDescent="0.2">
      <c r="A31" s="168" t="s">
        <v>62</v>
      </c>
      <c r="B31" s="172"/>
      <c r="C31" s="169" t="s">
        <v>75</v>
      </c>
      <c r="D31" s="106">
        <v>0</v>
      </c>
      <c r="E31" s="123">
        <v>5.4351000000000003</v>
      </c>
      <c r="F31" s="123">
        <v>0.40740000000000004</v>
      </c>
      <c r="H31" s="166" t="s">
        <v>73</v>
      </c>
      <c r="I31" s="4"/>
      <c r="J31" s="90">
        <f t="shared" ref="J31:M31" si="12">J12</f>
        <v>30.3</v>
      </c>
      <c r="K31" s="90">
        <f t="shared" si="12"/>
        <v>31.4</v>
      </c>
      <c r="L31" s="90">
        <f t="shared" si="12"/>
        <v>31.7</v>
      </c>
      <c r="M31" s="90">
        <f t="shared" si="12"/>
        <v>32.1</v>
      </c>
      <c r="N31" s="85">
        <f>E23</f>
        <v>5.4539</v>
      </c>
      <c r="O31" s="85">
        <f>E24</f>
        <v>14.5245</v>
      </c>
      <c r="P31" s="85">
        <f>E25</f>
        <v>2.4037000000000002</v>
      </c>
      <c r="Q31" s="85">
        <f>E26</f>
        <v>39.034700000000008</v>
      </c>
      <c r="R31" s="6">
        <f t="shared" si="8"/>
        <v>24.886153846153846</v>
      </c>
      <c r="S31" s="6">
        <f t="shared" si="8"/>
        <v>24.976410256410254</v>
      </c>
      <c r="T31" s="6">
        <f t="shared" si="8"/>
        <v>25.001025641025642</v>
      </c>
      <c r="U31" s="6">
        <f t="shared" si="8"/>
        <v>25.033846153846156</v>
      </c>
      <c r="V31" s="61">
        <f t="shared" si="10"/>
        <v>3.5158875188550944E-3</v>
      </c>
      <c r="W31" s="61">
        <f t="shared" si="9"/>
        <v>9.3294653277964865E-3</v>
      </c>
      <c r="X31" s="61">
        <f t="shared" si="9"/>
        <v>1.5424390844478179E-3</v>
      </c>
      <c r="Y31" s="61">
        <f t="shared" si="9"/>
        <v>2.5015480571841206E-2</v>
      </c>
      <c r="Z31" s="53"/>
      <c r="AA31" s="85">
        <v>32.700000000000003</v>
      </c>
    </row>
    <row r="32" spans="1:28" s="33" customFormat="1" x14ac:dyDescent="0.2">
      <c r="A32" s="168" t="s">
        <v>62</v>
      </c>
      <c r="B32" s="172"/>
      <c r="C32" s="169" t="s">
        <v>75</v>
      </c>
      <c r="D32" s="106">
        <v>21</v>
      </c>
      <c r="E32" s="123">
        <v>11.9459</v>
      </c>
      <c r="F32" s="123">
        <v>0.31618000000000007</v>
      </c>
      <c r="H32" s="166" t="s">
        <v>74</v>
      </c>
      <c r="I32" s="4"/>
      <c r="J32" s="90">
        <f t="shared" ref="J32:L32" si="13">J13</f>
        <v>32.700000000000003</v>
      </c>
      <c r="K32" s="90">
        <f t="shared" si="13"/>
        <v>33</v>
      </c>
      <c r="L32" s="90">
        <f t="shared" si="13"/>
        <v>33.1</v>
      </c>
      <c r="M32" s="90">
        <f>M13</f>
        <v>33.299999999999997</v>
      </c>
      <c r="N32" s="85">
        <f>E27</f>
        <v>6.9893000000000001</v>
      </c>
      <c r="O32" s="85">
        <f>E28</f>
        <v>13.4497</v>
      </c>
      <c r="P32" s="85">
        <f>E29</f>
        <v>23.666900000000002</v>
      </c>
      <c r="Q32" s="85">
        <f>E30</f>
        <v>36.205900000000007</v>
      </c>
      <c r="R32" s="6">
        <f t="shared" si="8"/>
        <v>25.083076923076923</v>
      </c>
      <c r="S32" s="6">
        <f t="shared" si="8"/>
        <v>25.107692307692307</v>
      </c>
      <c r="T32" s="6">
        <f t="shared" si="8"/>
        <v>25.115897435897438</v>
      </c>
      <c r="U32" s="6">
        <f t="shared" si="8"/>
        <v>25.132307692307695</v>
      </c>
      <c r="V32" s="61">
        <f t="shared" si="10"/>
        <v>4.4703183841388622E-3</v>
      </c>
      <c r="W32" s="61">
        <f t="shared" si="9"/>
        <v>8.5939215143995117E-3</v>
      </c>
      <c r="X32" s="61">
        <f t="shared" si="9"/>
        <v>1.5117440165897583E-2</v>
      </c>
      <c r="Y32" s="61">
        <f t="shared" si="9"/>
        <v>2.3111735731207155E-2</v>
      </c>
      <c r="Z32" s="53"/>
      <c r="AA32" s="85">
        <v>33</v>
      </c>
    </row>
    <row r="33" spans="1:27" s="33" customFormat="1" ht="13.5" thickBot="1" x14ac:dyDescent="0.25">
      <c r="A33" s="168" t="s">
        <v>62</v>
      </c>
      <c r="B33" s="172"/>
      <c r="C33" s="169" t="s">
        <v>75</v>
      </c>
      <c r="D33" s="106">
        <v>42</v>
      </c>
      <c r="E33" s="123">
        <v>16.837900000000001</v>
      </c>
      <c r="F33" s="123">
        <v>0.40153000000000011</v>
      </c>
      <c r="H33" s="167" t="s">
        <v>75</v>
      </c>
      <c r="I33" s="4"/>
      <c r="J33" s="90">
        <f t="shared" ref="J33:M33" si="14">J14</f>
        <v>32.5</v>
      </c>
      <c r="K33" s="90">
        <f t="shared" si="14"/>
        <v>33</v>
      </c>
      <c r="L33" s="90">
        <f t="shared" si="14"/>
        <v>33.200000000000003</v>
      </c>
      <c r="M33" s="90">
        <f t="shared" si="14"/>
        <v>33.5</v>
      </c>
      <c r="N33" s="85">
        <f>E31</f>
        <v>5.4351000000000003</v>
      </c>
      <c r="O33" s="85">
        <f>E32</f>
        <v>11.9459</v>
      </c>
      <c r="P33" s="85">
        <f>E33</f>
        <v>16.837900000000001</v>
      </c>
      <c r="Q33" s="85">
        <f>E34</f>
        <v>25.368500000000001</v>
      </c>
      <c r="R33" s="6">
        <f t="shared" si="8"/>
        <v>25.066666666666666</v>
      </c>
      <c r="S33" s="6">
        <f t="shared" si="8"/>
        <v>25.107692307692307</v>
      </c>
      <c r="T33" s="6">
        <f t="shared" si="8"/>
        <v>25.124102564102564</v>
      </c>
      <c r="U33" s="6">
        <f t="shared" si="8"/>
        <v>25.148717948717948</v>
      </c>
      <c r="V33" s="61">
        <f t="shared" si="10"/>
        <v>3.478536275265958E-3</v>
      </c>
      <c r="W33" s="61">
        <f t="shared" si="9"/>
        <v>7.6330421510416675E-3</v>
      </c>
      <c r="X33" s="61">
        <f t="shared" si="9"/>
        <v>1.0751843931968486E-2</v>
      </c>
      <c r="Y33" s="61">
        <f t="shared" si="9"/>
        <v>1.618320450091762E-2</v>
      </c>
      <c r="Z33" s="53"/>
      <c r="AA33" s="85">
        <v>33.1</v>
      </c>
    </row>
    <row r="34" spans="1:27" s="33" customFormat="1" ht="13.5" thickBot="1" x14ac:dyDescent="0.25">
      <c r="A34" s="168" t="s">
        <v>62</v>
      </c>
      <c r="B34" s="173"/>
      <c r="C34" s="169" t="s">
        <v>75</v>
      </c>
      <c r="D34" s="106">
        <v>63</v>
      </c>
      <c r="E34" s="123">
        <v>25.368500000000001</v>
      </c>
      <c r="F34" s="123">
        <v>0.29315000000000008</v>
      </c>
      <c r="H34" s="12"/>
      <c r="I34" s="4"/>
      <c r="J34" s="90">
        <f t="shared" ref="J34:M34" si="15">J15</f>
        <v>0</v>
      </c>
      <c r="K34" s="90">
        <f t="shared" si="15"/>
        <v>0</v>
      </c>
      <c r="L34" s="90">
        <f t="shared" si="15"/>
        <v>0</v>
      </c>
      <c r="M34" s="90">
        <f t="shared" si="15"/>
        <v>0</v>
      </c>
      <c r="N34" s="85">
        <f>E35</f>
        <v>0</v>
      </c>
      <c r="O34" s="85">
        <f>E36</f>
        <v>0</v>
      </c>
      <c r="P34" s="85">
        <f>E37</f>
        <v>0</v>
      </c>
      <c r="Q34" s="85">
        <f>E38</f>
        <v>0</v>
      </c>
      <c r="R34" s="6">
        <f t="shared" si="8"/>
        <v>22.4</v>
      </c>
      <c r="S34" s="6">
        <f t="shared" si="8"/>
        <v>22.4</v>
      </c>
      <c r="T34" s="6">
        <f t="shared" si="8"/>
        <v>22.4</v>
      </c>
      <c r="U34" s="6">
        <f t="shared" si="8"/>
        <v>22.4</v>
      </c>
      <c r="V34" s="61">
        <f t="shared" si="10"/>
        <v>0</v>
      </c>
      <c r="W34" s="61">
        <f t="shared" si="9"/>
        <v>0</v>
      </c>
      <c r="X34" s="61">
        <f t="shared" si="9"/>
        <v>0</v>
      </c>
      <c r="Y34" s="61">
        <f t="shared" si="9"/>
        <v>0</v>
      </c>
      <c r="Z34" s="53"/>
      <c r="AA34" s="85">
        <v>33.299999999999997</v>
      </c>
    </row>
    <row r="35" spans="1:27" s="33" customFormat="1" x14ac:dyDescent="0.2">
      <c r="A35" s="122" t="s">
        <v>62</v>
      </c>
      <c r="B35" s="170"/>
      <c r="C35" s="126"/>
      <c r="D35" s="106">
        <v>0</v>
      </c>
      <c r="E35" s="123"/>
      <c r="F35" s="123"/>
      <c r="H35" s="142" t="s">
        <v>66</v>
      </c>
      <c r="I35" s="4"/>
      <c r="J35" s="90">
        <f t="shared" ref="J35:M35" si="16">J16</f>
        <v>0</v>
      </c>
      <c r="K35" s="90">
        <f t="shared" si="16"/>
        <v>0</v>
      </c>
      <c r="L35" s="90">
        <f t="shared" si="16"/>
        <v>0</v>
      </c>
      <c r="M35" s="90">
        <f t="shared" si="16"/>
        <v>0</v>
      </c>
      <c r="N35" s="85">
        <f>E39</f>
        <v>0</v>
      </c>
      <c r="O35" s="85">
        <f>E40</f>
        <v>0</v>
      </c>
      <c r="P35" s="85">
        <f>E41</f>
        <v>0</v>
      </c>
      <c r="Q35" s="85">
        <f>E42</f>
        <v>0</v>
      </c>
      <c r="R35" s="6">
        <f t="shared" si="8"/>
        <v>22.4</v>
      </c>
      <c r="S35" s="6">
        <f t="shared" si="8"/>
        <v>22.4</v>
      </c>
      <c r="T35" s="6">
        <f t="shared" si="8"/>
        <v>22.4</v>
      </c>
      <c r="U35" s="6">
        <f t="shared" si="8"/>
        <v>22.4</v>
      </c>
      <c r="V35" s="61">
        <f t="shared" si="10"/>
        <v>0</v>
      </c>
      <c r="W35" s="61">
        <f t="shared" si="9"/>
        <v>0</v>
      </c>
      <c r="X35" s="61">
        <f t="shared" si="9"/>
        <v>0</v>
      </c>
      <c r="Y35" s="61">
        <f t="shared" si="9"/>
        <v>0</v>
      </c>
      <c r="Z35" s="53"/>
      <c r="AA35" s="85">
        <v>32.5</v>
      </c>
    </row>
    <row r="36" spans="1:27" s="33" customFormat="1" x14ac:dyDescent="0.2">
      <c r="A36" s="122" t="s">
        <v>62</v>
      </c>
      <c r="B36" s="109"/>
      <c r="C36" s="126"/>
      <c r="D36" s="106">
        <v>21</v>
      </c>
      <c r="E36" s="123"/>
      <c r="F36" s="123"/>
      <c r="H36" s="142" t="s">
        <v>66</v>
      </c>
      <c r="I36" s="4"/>
      <c r="J36" s="90">
        <f t="shared" ref="J36:M36" si="17">J17</f>
        <v>0</v>
      </c>
      <c r="K36" s="90">
        <f t="shared" si="17"/>
        <v>0</v>
      </c>
      <c r="L36" s="90">
        <f t="shared" si="17"/>
        <v>0</v>
      </c>
      <c r="M36" s="90">
        <f t="shared" si="17"/>
        <v>0</v>
      </c>
      <c r="N36" s="85">
        <f>E43</f>
        <v>0</v>
      </c>
      <c r="O36" s="85">
        <f>E44</f>
        <v>0</v>
      </c>
      <c r="P36" s="85">
        <f>E45</f>
        <v>0</v>
      </c>
      <c r="Q36" s="85">
        <f>E46</f>
        <v>0</v>
      </c>
      <c r="R36" s="6">
        <f t="shared" si="8"/>
        <v>22.4</v>
      </c>
      <c r="S36" s="6">
        <f t="shared" si="8"/>
        <v>22.4</v>
      </c>
      <c r="T36" s="6">
        <f t="shared" si="8"/>
        <v>22.4</v>
      </c>
      <c r="U36" s="6">
        <f t="shared" si="8"/>
        <v>22.4</v>
      </c>
      <c r="V36" s="61">
        <f t="shared" si="10"/>
        <v>0</v>
      </c>
      <c r="W36" s="61">
        <f t="shared" si="9"/>
        <v>0</v>
      </c>
      <c r="X36" s="61">
        <f t="shared" si="9"/>
        <v>0</v>
      </c>
      <c r="Y36" s="61">
        <f t="shared" si="9"/>
        <v>0</v>
      </c>
      <c r="Z36" s="53"/>
      <c r="AA36" s="85">
        <v>33</v>
      </c>
    </row>
    <row r="37" spans="1:27" s="33" customFormat="1" x14ac:dyDescent="0.2">
      <c r="A37" s="122" t="s">
        <v>62</v>
      </c>
      <c r="B37" s="109"/>
      <c r="C37" s="126"/>
      <c r="D37" s="106">
        <v>42</v>
      </c>
      <c r="E37" s="123"/>
      <c r="F37" s="123"/>
      <c r="H37" s="142" t="s">
        <v>66</v>
      </c>
      <c r="I37" s="4"/>
      <c r="J37" s="90">
        <f t="shared" ref="J37:M37" si="18">J18</f>
        <v>0</v>
      </c>
      <c r="K37" s="90">
        <f t="shared" si="18"/>
        <v>0</v>
      </c>
      <c r="L37" s="90">
        <f t="shared" si="18"/>
        <v>0</v>
      </c>
      <c r="M37" s="90">
        <f t="shared" si="18"/>
        <v>0</v>
      </c>
      <c r="N37" s="85">
        <f>E47</f>
        <v>0</v>
      </c>
      <c r="O37" s="85">
        <f>E48</f>
        <v>0</v>
      </c>
      <c r="P37" s="85">
        <f>E49</f>
        <v>0</v>
      </c>
      <c r="Q37" s="85">
        <f>E50</f>
        <v>0</v>
      </c>
      <c r="R37" s="6">
        <f t="shared" si="8"/>
        <v>22.4</v>
      </c>
      <c r="S37" s="6">
        <f t="shared" si="8"/>
        <v>22.4</v>
      </c>
      <c r="T37" s="6">
        <f t="shared" si="8"/>
        <v>22.4</v>
      </c>
      <c r="U37" s="6">
        <f t="shared" si="8"/>
        <v>22.4</v>
      </c>
      <c r="V37" s="61">
        <f t="shared" si="10"/>
        <v>0</v>
      </c>
      <c r="W37" s="61">
        <f t="shared" si="9"/>
        <v>0</v>
      </c>
      <c r="X37" s="61">
        <f t="shared" si="9"/>
        <v>0</v>
      </c>
      <c r="Y37" s="61">
        <f t="shared" si="9"/>
        <v>0</v>
      </c>
      <c r="Z37" s="53"/>
      <c r="AA37" s="85">
        <v>33.200000000000003</v>
      </c>
    </row>
    <row r="38" spans="1:27" s="33" customFormat="1" x14ac:dyDescent="0.2">
      <c r="A38" s="122" t="s">
        <v>62</v>
      </c>
      <c r="B38" s="109"/>
      <c r="C38" s="126"/>
      <c r="D38" s="106">
        <v>63</v>
      </c>
      <c r="E38" s="123"/>
      <c r="F38" s="123"/>
      <c r="Z38" s="53"/>
      <c r="AA38" s="85">
        <v>33.5</v>
      </c>
    </row>
    <row r="39" spans="1:27" s="33" customFormat="1" x14ac:dyDescent="0.2">
      <c r="A39" s="122" t="s">
        <v>62</v>
      </c>
      <c r="B39" s="109"/>
      <c r="C39" s="126" t="s">
        <v>66</v>
      </c>
      <c r="D39" s="106">
        <v>0</v>
      </c>
      <c r="E39" s="123"/>
      <c r="F39" s="123"/>
      <c r="Z39" s="53"/>
      <c r="AA39" s="53"/>
    </row>
    <row r="40" spans="1:27" s="33" customFormat="1" x14ac:dyDescent="0.2">
      <c r="A40" s="122" t="s">
        <v>62</v>
      </c>
      <c r="B40" s="109"/>
      <c r="C40" s="126" t="s">
        <v>66</v>
      </c>
      <c r="D40" s="106">
        <v>21</v>
      </c>
      <c r="E40" s="123"/>
      <c r="F40" s="123"/>
      <c r="Z40" s="53"/>
      <c r="AA40" s="53"/>
    </row>
    <row r="41" spans="1:27" s="33" customFormat="1" x14ac:dyDescent="0.2">
      <c r="A41" s="122" t="s">
        <v>62</v>
      </c>
      <c r="B41" s="109"/>
      <c r="C41" s="126" t="s">
        <v>66</v>
      </c>
      <c r="D41" s="106">
        <v>42</v>
      </c>
      <c r="E41" s="123"/>
      <c r="F41" s="123"/>
      <c r="Z41" s="53"/>
      <c r="AA41" s="53"/>
    </row>
    <row r="42" spans="1:27" s="33" customFormat="1" x14ac:dyDescent="0.2">
      <c r="A42" s="122" t="s">
        <v>62</v>
      </c>
      <c r="B42" s="109"/>
      <c r="C42" s="126" t="s">
        <v>66</v>
      </c>
      <c r="D42" s="106">
        <v>63</v>
      </c>
      <c r="E42" s="123"/>
      <c r="F42" s="123"/>
      <c r="Z42" s="53"/>
      <c r="AA42" s="53"/>
    </row>
    <row r="43" spans="1:27" s="33" customFormat="1" x14ac:dyDescent="0.2">
      <c r="A43" s="122" t="s">
        <v>62</v>
      </c>
      <c r="B43" s="124"/>
      <c r="C43" s="126" t="s">
        <v>66</v>
      </c>
      <c r="D43" s="106">
        <v>0</v>
      </c>
      <c r="E43" s="125"/>
      <c r="F43" s="125"/>
      <c r="Z43" s="53"/>
      <c r="AA43" s="53"/>
    </row>
    <row r="44" spans="1:27" s="33" customFormat="1" x14ac:dyDescent="0.2">
      <c r="A44" s="122" t="s">
        <v>62</v>
      </c>
      <c r="B44" s="124"/>
      <c r="C44" s="126" t="s">
        <v>66</v>
      </c>
      <c r="D44" s="106">
        <v>21</v>
      </c>
      <c r="E44" s="125"/>
      <c r="F44" s="125"/>
      <c r="Z44" s="53"/>
      <c r="AA44" s="53"/>
    </row>
    <row r="45" spans="1:27" s="33" customFormat="1" x14ac:dyDescent="0.2">
      <c r="A45" s="122" t="s">
        <v>62</v>
      </c>
      <c r="B45" s="124"/>
      <c r="C45" s="126" t="s">
        <v>66</v>
      </c>
      <c r="D45" s="106">
        <v>42</v>
      </c>
      <c r="E45" s="125"/>
      <c r="F45" s="125"/>
      <c r="Z45" s="53"/>
      <c r="AA45" s="53"/>
    </row>
    <row r="46" spans="1:27" s="33" customFormat="1" x14ac:dyDescent="0.2">
      <c r="A46" s="122" t="s">
        <v>62</v>
      </c>
      <c r="B46" s="124"/>
      <c r="C46" s="126" t="s">
        <v>66</v>
      </c>
      <c r="D46" s="106">
        <v>63</v>
      </c>
      <c r="E46" s="125"/>
      <c r="F46" s="125"/>
      <c r="Z46" s="53"/>
      <c r="AA46" s="53"/>
    </row>
    <row r="47" spans="1:27" s="33" customFormat="1" x14ac:dyDescent="0.2">
      <c r="A47" s="122" t="s">
        <v>62</v>
      </c>
      <c r="B47" s="124"/>
      <c r="C47" s="126" t="s">
        <v>66</v>
      </c>
      <c r="D47" s="106">
        <v>0</v>
      </c>
      <c r="E47" s="125"/>
      <c r="F47" s="125"/>
      <c r="Z47" s="53"/>
      <c r="AA47" s="53"/>
    </row>
    <row r="48" spans="1:27" s="33" customFormat="1" x14ac:dyDescent="0.2">
      <c r="A48" s="122" t="s">
        <v>62</v>
      </c>
      <c r="B48" s="124"/>
      <c r="C48" s="126" t="s">
        <v>66</v>
      </c>
      <c r="D48" s="106">
        <v>21</v>
      </c>
      <c r="E48" s="125"/>
      <c r="F48" s="125"/>
      <c r="Z48" s="53"/>
      <c r="AA48" s="53"/>
    </row>
    <row r="49" spans="1:27" s="33" customFormat="1" x14ac:dyDescent="0.2">
      <c r="A49" s="122" t="s">
        <v>62</v>
      </c>
      <c r="B49" s="124"/>
      <c r="C49" s="126" t="s">
        <v>66</v>
      </c>
      <c r="D49" s="106">
        <v>42</v>
      </c>
      <c r="E49" s="125"/>
      <c r="F49" s="125"/>
      <c r="Z49" s="53"/>
      <c r="AA49" s="53"/>
    </row>
    <row r="50" spans="1:27" s="33" customFormat="1" x14ac:dyDescent="0.2">
      <c r="A50" s="122" t="s">
        <v>62</v>
      </c>
      <c r="B50" s="124"/>
      <c r="C50" s="126" t="s">
        <v>66</v>
      </c>
      <c r="D50" s="106">
        <v>63</v>
      </c>
      <c r="E50" s="125"/>
      <c r="F50" s="125"/>
      <c r="Z50" s="53"/>
      <c r="AA50" s="53"/>
    </row>
    <row r="51" spans="1:27" s="33" customFormat="1" x14ac:dyDescent="0.2">
      <c r="B51" s="110"/>
      <c r="Z51" s="53"/>
      <c r="AA51" s="53"/>
    </row>
    <row r="52" spans="1:27" s="33" customFormat="1" x14ac:dyDescent="0.2">
      <c r="B52" s="110"/>
      <c r="Z52" s="53"/>
      <c r="AA52" s="53"/>
    </row>
    <row r="53" spans="1:27" s="33" customFormat="1" x14ac:dyDescent="0.2">
      <c r="B53" s="110"/>
      <c r="Z53" s="53"/>
      <c r="AA53" s="53"/>
    </row>
    <row r="54" spans="1:27" s="33" customFormat="1" x14ac:dyDescent="0.2">
      <c r="B54" s="110"/>
      <c r="Z54" s="53"/>
      <c r="AA54" s="53"/>
    </row>
    <row r="55" spans="1:27" s="33" customFormat="1" x14ac:dyDescent="0.2">
      <c r="B55" s="110"/>
      <c r="Z55" s="53"/>
      <c r="AA55" s="53"/>
    </row>
    <row r="56" spans="1:27" s="33" customFormat="1" x14ac:dyDescent="0.2">
      <c r="B56" s="110"/>
      <c r="Z56" s="53"/>
      <c r="AA56" s="53"/>
    </row>
    <row r="57" spans="1:27" s="33" customFormat="1" x14ac:dyDescent="0.2">
      <c r="B57" s="110"/>
      <c r="Z57" s="53"/>
      <c r="AA57" s="53"/>
    </row>
    <row r="58" spans="1:27" s="33" customFormat="1" x14ac:dyDescent="0.2">
      <c r="B58" s="110"/>
      <c r="Z58" s="53"/>
      <c r="AA58" s="53"/>
    </row>
    <row r="59" spans="1:27" s="33" customFormat="1" x14ac:dyDescent="0.2">
      <c r="B59" s="110"/>
      <c r="Z59" s="53"/>
      <c r="AA59" s="53"/>
    </row>
    <row r="60" spans="1:27" s="33" customFormat="1" x14ac:dyDescent="0.2">
      <c r="B60" s="110"/>
      <c r="Z60" s="53"/>
      <c r="AA60" s="53"/>
    </row>
    <row r="61" spans="1:27" s="33" customFormat="1" x14ac:dyDescent="0.2">
      <c r="B61" s="110"/>
      <c r="Z61" s="53"/>
      <c r="AA61" s="53"/>
    </row>
    <row r="62" spans="1:27" s="33" customFormat="1" x14ac:dyDescent="0.2">
      <c r="B62" s="110"/>
      <c r="Z62" s="53"/>
      <c r="AA62" s="53"/>
    </row>
    <row r="63" spans="1:27" s="33" customFormat="1" x14ac:dyDescent="0.2">
      <c r="B63" s="110"/>
      <c r="Z63" s="53"/>
      <c r="AA63" s="53"/>
    </row>
    <row r="64" spans="1:27" s="33" customFormat="1" x14ac:dyDescent="0.2">
      <c r="B64" s="110"/>
      <c r="Z64" s="53"/>
      <c r="AA64" s="53"/>
    </row>
    <row r="65" spans="2:27" s="33" customFormat="1" x14ac:dyDescent="0.2">
      <c r="B65" s="110"/>
      <c r="Z65" s="53"/>
      <c r="AA65" s="53"/>
    </row>
    <row r="66" spans="2:27" s="33" customFormat="1" x14ac:dyDescent="0.2">
      <c r="B66" s="110"/>
      <c r="Z66" s="53"/>
      <c r="AA66" s="53"/>
    </row>
    <row r="67" spans="2:27" s="33" customFormat="1" x14ac:dyDescent="0.2">
      <c r="B67" s="110"/>
      <c r="Z67" s="53"/>
      <c r="AA67" s="53"/>
    </row>
    <row r="68" spans="2:27" s="33" customFormat="1" x14ac:dyDescent="0.2">
      <c r="B68" s="110"/>
      <c r="Z68" s="53"/>
      <c r="AA68" s="53"/>
    </row>
    <row r="69" spans="2:27" s="33" customFormat="1" x14ac:dyDescent="0.2">
      <c r="B69" s="110"/>
      <c r="Z69" s="53"/>
      <c r="AA69" s="53"/>
    </row>
    <row r="70" spans="2:27" s="33" customFormat="1" x14ac:dyDescent="0.2">
      <c r="B70" s="110"/>
      <c r="Z70" s="53"/>
      <c r="AA70" s="53"/>
    </row>
    <row r="71" spans="2:27" s="33" customFormat="1" x14ac:dyDescent="0.2">
      <c r="B71" s="110"/>
      <c r="Z71" s="53"/>
      <c r="AA71" s="53"/>
    </row>
    <row r="72" spans="2:27" s="33" customFormat="1" x14ac:dyDescent="0.2">
      <c r="B72" s="110"/>
      <c r="Z72" s="53"/>
      <c r="AA72" s="53"/>
    </row>
    <row r="73" spans="2:27" s="33" customFormat="1" x14ac:dyDescent="0.2">
      <c r="B73" s="110"/>
      <c r="Z73" s="53"/>
      <c r="AA73" s="53"/>
    </row>
    <row r="74" spans="2:27" s="33" customFormat="1" x14ac:dyDescent="0.2">
      <c r="B74" s="110"/>
      <c r="Z74" s="53"/>
      <c r="AA74" s="53"/>
    </row>
    <row r="75" spans="2:27" s="33" customFormat="1" x14ac:dyDescent="0.2">
      <c r="B75" s="110"/>
      <c r="Z75" s="53"/>
      <c r="AA75" s="53"/>
    </row>
    <row r="76" spans="2:27" s="33" customFormat="1" x14ac:dyDescent="0.2">
      <c r="B76" s="110"/>
      <c r="Z76" s="53"/>
      <c r="AA76" s="53"/>
    </row>
    <row r="77" spans="2:27" s="33" customFormat="1" x14ac:dyDescent="0.2">
      <c r="B77" s="110"/>
      <c r="Z77" s="53"/>
      <c r="AA77" s="53"/>
    </row>
    <row r="78" spans="2:27" s="33" customFormat="1" x14ac:dyDescent="0.2">
      <c r="B78" s="110"/>
      <c r="Z78" s="53"/>
      <c r="AA78" s="53"/>
    </row>
    <row r="79" spans="2:27" s="33" customFormat="1" x14ac:dyDescent="0.2">
      <c r="B79" s="110"/>
      <c r="Z79" s="53"/>
      <c r="AA79" s="53"/>
    </row>
    <row r="80" spans="2:27" s="33" customFormat="1" x14ac:dyDescent="0.2">
      <c r="B80" s="110"/>
      <c r="Z80" s="53"/>
      <c r="AA80" s="53"/>
    </row>
    <row r="81" spans="2:27" s="33" customFormat="1" x14ac:dyDescent="0.2">
      <c r="B81" s="110"/>
      <c r="Z81" s="53"/>
      <c r="AA81" s="53"/>
    </row>
    <row r="82" spans="2:27" s="33" customFormat="1" x14ac:dyDescent="0.2">
      <c r="B82" s="110"/>
      <c r="Z82" s="53"/>
      <c r="AA82" s="53"/>
    </row>
    <row r="83" spans="2:27" s="33" customFormat="1" x14ac:dyDescent="0.2">
      <c r="B83" s="110"/>
      <c r="Z83" s="53"/>
      <c r="AA83" s="53"/>
    </row>
    <row r="84" spans="2:27" s="33" customFormat="1" x14ac:dyDescent="0.2">
      <c r="B84" s="110"/>
      <c r="Z84" s="53"/>
      <c r="AA84" s="53"/>
    </row>
    <row r="85" spans="2:27" s="33" customFormat="1" x14ac:dyDescent="0.2">
      <c r="B85" s="110"/>
      <c r="Z85" s="53"/>
      <c r="AA85" s="53"/>
    </row>
  </sheetData>
  <sortState ref="A3:F42">
    <sortCondition ref="D3:D42"/>
  </sortState>
  <mergeCells count="16">
    <mergeCell ref="A1:F1"/>
    <mergeCell ref="J6:M6"/>
    <mergeCell ref="V22:Y23"/>
    <mergeCell ref="R22:U23"/>
    <mergeCell ref="V3:Y4"/>
    <mergeCell ref="R3:U4"/>
    <mergeCell ref="H2:Y2"/>
    <mergeCell ref="H21:Y21"/>
    <mergeCell ref="N3:Q4"/>
    <mergeCell ref="H3:H4"/>
    <mergeCell ref="J22:L22"/>
    <mergeCell ref="I3:I4"/>
    <mergeCell ref="J3:L3"/>
    <mergeCell ref="H22:H23"/>
    <mergeCell ref="I22:I23"/>
    <mergeCell ref="N22:Q23"/>
  </mergeCells>
  <phoneticPr fontId="2" type="noConversion"/>
  <pageMargins left="0.7" right="0.7" top="0.75" bottom="0.75" header="0.3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abSelected="1" topLeftCell="A5" zoomScale="115" zoomScaleNormal="115" zoomScalePageLayoutView="150" workbookViewId="0">
      <selection activeCell="Q32" sqref="Q32"/>
    </sheetView>
  </sheetViews>
  <sheetFormatPr defaultColWidth="8.7109375" defaultRowHeight="12.75" x14ac:dyDescent="0.2"/>
  <cols>
    <col min="7" max="8" width="12.42578125" customWidth="1"/>
    <col min="9" max="9" width="15.140625" customWidth="1"/>
    <col min="11" max="11" width="9.7109375" customWidth="1"/>
    <col min="13" max="13" width="13.42578125" customWidth="1"/>
    <col min="14" max="14" width="11.42578125" customWidth="1"/>
    <col min="15" max="15" width="13.7109375" customWidth="1"/>
  </cols>
  <sheetData>
    <row r="1" spans="1:15" ht="12.75" customHeight="1" x14ac:dyDescent="0.2">
      <c r="C1" s="197" t="s">
        <v>20</v>
      </c>
      <c r="D1" s="197"/>
      <c r="E1" s="197"/>
      <c r="F1" s="197"/>
    </row>
    <row r="2" spans="1:15" x14ac:dyDescent="0.2">
      <c r="A2" s="7"/>
      <c r="B2" s="7"/>
      <c r="C2" s="45">
        <v>0</v>
      </c>
      <c r="D2" s="45">
        <v>21</v>
      </c>
      <c r="E2" s="45">
        <v>42</v>
      </c>
      <c r="F2" s="45">
        <v>63</v>
      </c>
    </row>
    <row r="3" spans="1:15" x14ac:dyDescent="0.2">
      <c r="A3" s="188" t="s">
        <v>16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s="1" customFormat="1" ht="14.25" customHeight="1" x14ac:dyDescent="0.2">
      <c r="A4" s="29"/>
      <c r="B4" s="29"/>
      <c r="C4" s="196" t="s">
        <v>34</v>
      </c>
      <c r="D4" s="196"/>
      <c r="E4" s="196"/>
      <c r="F4" s="196"/>
      <c r="G4" s="199" t="s">
        <v>36</v>
      </c>
      <c r="H4" s="72" t="s">
        <v>35</v>
      </c>
      <c r="I4" s="198" t="s">
        <v>44</v>
      </c>
      <c r="J4" s="198" t="s">
        <v>21</v>
      </c>
      <c r="K4" s="201" t="s">
        <v>23</v>
      </c>
      <c r="L4" s="202" t="s">
        <v>31</v>
      </c>
      <c r="M4" s="29"/>
      <c r="N4" s="31"/>
      <c r="O4" s="31"/>
    </row>
    <row r="5" spans="1:15" ht="12.75" customHeight="1" x14ac:dyDescent="0.2">
      <c r="A5" s="191" t="s">
        <v>39</v>
      </c>
      <c r="B5" s="111"/>
      <c r="C5" s="196"/>
      <c r="D5" s="196"/>
      <c r="E5" s="196"/>
      <c r="F5" s="196"/>
      <c r="G5" s="199"/>
      <c r="H5" s="72"/>
      <c r="I5" s="198"/>
      <c r="J5" s="198"/>
      <c r="K5" s="201"/>
      <c r="L5" s="202"/>
      <c r="M5" s="200" t="s">
        <v>22</v>
      </c>
      <c r="N5" s="200"/>
      <c r="O5" s="200"/>
    </row>
    <row r="6" spans="1:15" ht="16.5" customHeight="1" x14ac:dyDescent="0.2">
      <c r="A6" s="191"/>
      <c r="B6" s="111" t="s">
        <v>61</v>
      </c>
      <c r="C6" s="116">
        <v>0</v>
      </c>
      <c r="D6" s="116">
        <v>21</v>
      </c>
      <c r="E6" s="116">
        <v>42</v>
      </c>
      <c r="F6" s="116">
        <v>63</v>
      </c>
      <c r="G6" s="63"/>
      <c r="H6" s="72"/>
      <c r="I6" s="71"/>
      <c r="J6" s="50"/>
      <c r="K6" s="201"/>
      <c r="L6" s="202"/>
      <c r="M6" s="32" t="s">
        <v>29</v>
      </c>
      <c r="N6" s="32" t="s">
        <v>30</v>
      </c>
      <c r="O6" s="32" t="s">
        <v>38</v>
      </c>
    </row>
    <row r="7" spans="1:15" s="64" customFormat="1" ht="13.5" thickBot="1" x14ac:dyDescent="0.25"/>
    <row r="8" spans="1:15" x14ac:dyDescent="0.2">
      <c r="A8" s="165" t="s">
        <v>68</v>
      </c>
      <c r="B8" s="103"/>
      <c r="C8" s="68">
        <f>'GC rawdata'!V7</f>
        <v>7.0275356367729698E-4</v>
      </c>
      <c r="D8" s="68">
        <f>'GC rawdata'!W7</f>
        <v>5.4474805131427169E-4</v>
      </c>
      <c r="E8" s="68">
        <f>'GC rawdata'!X7</f>
        <v>5.3441498540505105E-4</v>
      </c>
      <c r="F8" s="68">
        <f>'GC rawdata'!Y7</f>
        <v>5.467411398107178E-4</v>
      </c>
      <c r="G8" s="84" t="str">
        <f>+IF((ABS(F8-C8))&gt;0.000183,"PASS","FAIL")</f>
        <v>FAIL</v>
      </c>
      <c r="H8" s="26">
        <f>+RSQ(C8:F8,$C$2:$F$2)</f>
        <v>0.58747123119013789</v>
      </c>
      <c r="I8" s="84" t="str">
        <f>IF(H8&gt;0.845,"LIN","MISS")</f>
        <v>MISS</v>
      </c>
      <c r="J8" s="84" t="str">
        <f>IF(G8="FAIL","0",IF(I8="LIN",+SLOPE(C8:F8,$C$2:$F$2),"MISS"))</f>
        <v>0</v>
      </c>
      <c r="K8" s="27">
        <f>'Field data'!K10</f>
        <v>41.200943077652546</v>
      </c>
      <c r="L8" s="27">
        <f>'Field data'!L10*0.0001</f>
        <v>6.8349275178587507E-2</v>
      </c>
      <c r="M8" s="28">
        <f>IF(J8="MISS","MISS",((K8/L8)*J8))</f>
        <v>0</v>
      </c>
      <c r="N8" s="28">
        <f>IF(M8="MISS","MISS",M8*60)</f>
        <v>0</v>
      </c>
      <c r="O8" s="28">
        <f>IF(N8="MISS","MISS",N8*240)</f>
        <v>0</v>
      </c>
    </row>
    <row r="9" spans="1:15" x14ac:dyDescent="0.2">
      <c r="A9" s="166" t="s">
        <v>69</v>
      </c>
      <c r="B9" s="103"/>
      <c r="C9" s="68">
        <f>'GC rawdata'!V8</f>
        <v>5.2268302362804898E-4</v>
      </c>
      <c r="D9" s="68">
        <f>'GC rawdata'!W8</f>
        <v>5.4180241881147549E-4</v>
      </c>
      <c r="E9" s="68">
        <f>'GC rawdata'!X8</f>
        <v>5.200064365736165E-4</v>
      </c>
      <c r="F9" s="68">
        <f>'GC rawdata'!Y8</f>
        <v>5.1842766616407802E-4</v>
      </c>
      <c r="G9" s="84" t="str">
        <f t="shared" ref="G9:G19" si="0">+IF((ABS(F9-C9))&gt;0.000183,"PASS","FAIL")</f>
        <v>FAIL</v>
      </c>
      <c r="H9" s="26">
        <f t="shared" ref="H9:H19" si="1">+RSQ(C9:F9,$C$2:$F$2)</f>
        <v>0.16886761350270027</v>
      </c>
      <c r="I9" s="84" t="str">
        <f t="shared" ref="I9:I19" si="2">IF(H9&gt;0.845,"LIN","MISS")</f>
        <v>MISS</v>
      </c>
      <c r="J9" s="84" t="str">
        <f t="shared" ref="J9:J19" si="3">IF(G9="FAIL","0",IF(I9="LIN",+SLOPE(C9:F9,$C$2:$F$2),"MISS"))</f>
        <v>0</v>
      </c>
      <c r="K9" s="27">
        <f>'Field data'!K11</f>
        <v>41.405990903188304</v>
      </c>
      <c r="L9" s="27">
        <f>'Field data'!L11*0.0001</f>
        <v>6.8349275178587507E-2</v>
      </c>
      <c r="M9" s="28">
        <f t="shared" ref="M9:M19" si="4">IF(J9="MISS","MISS",((K9/L9)*J9))</f>
        <v>0</v>
      </c>
      <c r="N9" s="28">
        <f t="shared" ref="N9:N19" si="5">IF(M9="MISS","MISS",M9*60)</f>
        <v>0</v>
      </c>
      <c r="O9" s="28">
        <f t="shared" ref="O9:O19" si="6">IF(N9="MISS","MISS",N9*240)</f>
        <v>0</v>
      </c>
    </row>
    <row r="10" spans="1:15" x14ac:dyDescent="0.2">
      <c r="A10" s="166" t="s">
        <v>70</v>
      </c>
      <c r="B10" s="103"/>
      <c r="C10" s="68">
        <f>'GC rawdata'!V9</f>
        <v>5.1195885112847235E-4</v>
      </c>
      <c r="D10" s="68">
        <f>'GC rawdata'!W9</f>
        <v>5.3433983493589743E-4</v>
      </c>
      <c r="E10" s="68">
        <f>'GC rawdata'!X9</f>
        <v>5.3451867399868683E-4</v>
      </c>
      <c r="F10" s="68">
        <f>'GC rawdata'!Y9</f>
        <v>5.3168646659694887E-4</v>
      </c>
      <c r="G10" s="84" t="str">
        <f t="shared" si="0"/>
        <v>FAIL</v>
      </c>
      <c r="H10" s="26">
        <f t="shared" si="1"/>
        <v>0.49837259222145014</v>
      </c>
      <c r="I10" s="84" t="str">
        <f t="shared" si="2"/>
        <v>MISS</v>
      </c>
      <c r="J10" s="84" t="str">
        <f t="shared" si="3"/>
        <v>0</v>
      </c>
      <c r="K10" s="27">
        <f>'Field data'!K12</f>
        <v>41.064244527295372</v>
      </c>
      <c r="L10" s="27">
        <f>'Field data'!L12*0.0001</f>
        <v>6.8349275178587507E-2</v>
      </c>
      <c r="M10" s="28">
        <f t="shared" si="4"/>
        <v>0</v>
      </c>
      <c r="N10" s="28">
        <f t="shared" si="5"/>
        <v>0</v>
      </c>
      <c r="O10" s="28">
        <f t="shared" si="6"/>
        <v>0</v>
      </c>
    </row>
    <row r="11" spans="1:15" x14ac:dyDescent="0.2">
      <c r="A11" s="166" t="s">
        <v>71</v>
      </c>
      <c r="B11" s="103"/>
      <c r="C11" s="68">
        <f>'GC rawdata'!V10</f>
        <v>5.1586817857438027E-4</v>
      </c>
      <c r="D11" s="68">
        <f>'GC rawdata'!W10</f>
        <v>5.3677283814839122E-4</v>
      </c>
      <c r="E11" s="68">
        <f>'GC rawdata'!X10</f>
        <v>5.2336163009911543E-4</v>
      </c>
      <c r="F11" s="68">
        <f>'GC rawdata'!Y10</f>
        <v>5.0604859092023553E-4</v>
      </c>
      <c r="G11" s="84" t="str">
        <f t="shared" si="0"/>
        <v>FAIL</v>
      </c>
      <c r="H11" s="26">
        <f t="shared" si="1"/>
        <v>0.1825818607307888</v>
      </c>
      <c r="I11" s="84" t="str">
        <f t="shared" si="2"/>
        <v>MISS</v>
      </c>
      <c r="J11" s="86" t="str">
        <f t="shared" si="3"/>
        <v>0</v>
      </c>
      <c r="K11" s="27">
        <f>'Field data'!K13</f>
        <v>41.542689453545485</v>
      </c>
      <c r="L11" s="27">
        <f>'Field data'!L13*0.0001</f>
        <v>6.8349275178587507E-2</v>
      </c>
      <c r="M11" s="28">
        <f t="shared" si="4"/>
        <v>0</v>
      </c>
      <c r="N11" s="28">
        <f t="shared" si="5"/>
        <v>0</v>
      </c>
      <c r="O11" s="28">
        <f t="shared" si="6"/>
        <v>0</v>
      </c>
    </row>
    <row r="12" spans="1:15" x14ac:dyDescent="0.2">
      <c r="A12" s="166" t="s">
        <v>72</v>
      </c>
      <c r="B12" s="103"/>
      <c r="C12" s="68">
        <f>'GC rawdata'!V11</f>
        <v>5.224956848338295E-4</v>
      </c>
      <c r="D12" s="68">
        <f>'GC rawdata'!W11</f>
        <v>5.3164932316873779E-4</v>
      </c>
      <c r="E12" s="68">
        <f>'GC rawdata'!X11</f>
        <v>5.299891852948382E-4</v>
      </c>
      <c r="F12" s="68">
        <f>'GC rawdata'!Y11</f>
        <v>5.3297058049706168E-4</v>
      </c>
      <c r="G12" s="84" t="str">
        <f t="shared" si="0"/>
        <v>FAIL</v>
      </c>
      <c r="H12" s="26">
        <f t="shared" si="1"/>
        <v>0.67356745447285182</v>
      </c>
      <c r="I12" s="84" t="str">
        <f t="shared" si="2"/>
        <v>MISS</v>
      </c>
      <c r="J12" s="86" t="str">
        <f t="shared" si="3"/>
        <v>0</v>
      </c>
      <c r="K12" s="27">
        <f>'Field data'!K14</f>
        <v>41.542689453545485</v>
      </c>
      <c r="L12" s="27">
        <f>'Field data'!L14*0.0001</f>
        <v>6.8349275178587507E-2</v>
      </c>
      <c r="M12" s="28">
        <f t="shared" si="4"/>
        <v>0</v>
      </c>
      <c r="N12" s="28">
        <f t="shared" si="5"/>
        <v>0</v>
      </c>
      <c r="O12" s="28">
        <f t="shared" si="6"/>
        <v>0</v>
      </c>
    </row>
    <row r="13" spans="1:15" x14ac:dyDescent="0.2">
      <c r="A13" s="166" t="s">
        <v>73</v>
      </c>
      <c r="B13" s="103"/>
      <c r="C13" s="68">
        <f>'GC rawdata'!V12</f>
        <v>5.0361283537339282E-4</v>
      </c>
      <c r="D13" s="68">
        <f>'GC rawdata'!W12</f>
        <v>4.9340476607670828E-4</v>
      </c>
      <c r="E13" s="68">
        <f>'GC rawdata'!X12</f>
        <v>5.3532912257958653E-4</v>
      </c>
      <c r="F13" s="68">
        <f>'GC rawdata'!Y12</f>
        <v>5.1806522898230096E-4</v>
      </c>
      <c r="G13" s="84" t="str">
        <f t="shared" si="0"/>
        <v>FAIL</v>
      </c>
      <c r="H13" s="26">
        <f t="shared" si="1"/>
        <v>0.36521459038002774</v>
      </c>
      <c r="I13" s="84" t="str">
        <f t="shared" si="2"/>
        <v>MISS</v>
      </c>
      <c r="J13" s="86" t="str">
        <f t="shared" si="3"/>
        <v>0</v>
      </c>
      <c r="K13" s="27">
        <f>'Field data'!K15</f>
        <v>41.816086554259833</v>
      </c>
      <c r="L13" s="27">
        <f>'Field data'!L15*0.0001</f>
        <v>6.8349275178587507E-2</v>
      </c>
      <c r="M13" s="28">
        <f t="shared" si="4"/>
        <v>0</v>
      </c>
      <c r="N13" s="28">
        <f t="shared" si="5"/>
        <v>0</v>
      </c>
      <c r="O13" s="28">
        <f t="shared" si="6"/>
        <v>0</v>
      </c>
    </row>
    <row r="14" spans="1:15" s="1" customFormat="1" x14ac:dyDescent="0.2">
      <c r="A14" s="166" t="s">
        <v>74</v>
      </c>
      <c r="B14" s="163"/>
      <c r="C14" s="68">
        <f>'GC rawdata'!V13</f>
        <v>5.5756510825564272E-4</v>
      </c>
      <c r="D14" s="68">
        <f>'GC rawdata'!W13</f>
        <v>5.4888451599264718E-4</v>
      </c>
      <c r="E14" s="68">
        <f>'GC rawdata'!X13</f>
        <v>5.189663635658281E-4</v>
      </c>
      <c r="F14" s="68">
        <f>'GC rawdata'!Y13</f>
        <v>5.0866265273016647E-4</v>
      </c>
      <c r="G14" s="84" t="str">
        <f t="shared" si="0"/>
        <v>FAIL</v>
      </c>
      <c r="H14" s="26">
        <f t="shared" si="1"/>
        <v>0.94884037184947478</v>
      </c>
      <c r="I14" s="84" t="str">
        <f t="shared" si="2"/>
        <v>LIN</v>
      </c>
      <c r="J14" s="86" t="str">
        <f t="shared" si="3"/>
        <v>0</v>
      </c>
      <c r="K14" s="26">
        <f>'Field data'!K16</f>
        <v>41.884435829438424</v>
      </c>
      <c r="L14" s="26">
        <f>'Field data'!L16*0.0001</f>
        <v>6.8349275178587507E-2</v>
      </c>
      <c r="M14" s="6">
        <f t="shared" si="4"/>
        <v>0</v>
      </c>
      <c r="N14" s="6">
        <f t="shared" si="5"/>
        <v>0</v>
      </c>
      <c r="O14" s="6">
        <f t="shared" si="6"/>
        <v>0</v>
      </c>
    </row>
    <row r="15" spans="1:15" s="1" customFormat="1" ht="13.5" thickBot="1" x14ac:dyDescent="0.25">
      <c r="A15" s="167" t="s">
        <v>75</v>
      </c>
      <c r="B15" s="163"/>
      <c r="C15" s="68">
        <f>'GC rawdata'!V14</f>
        <v>7.1534455851063837E-4</v>
      </c>
      <c r="D15" s="68">
        <f>'GC rawdata'!W14</f>
        <v>5.5426625232843146E-4</v>
      </c>
      <c r="E15" s="68">
        <f>'GC rawdata'!X14</f>
        <v>7.034257790863816E-4</v>
      </c>
      <c r="F15" s="68">
        <f>'GC rawdata'!Y14</f>
        <v>5.1305613774469826E-4</v>
      </c>
      <c r="G15" s="84" t="str">
        <f t="shared" si="0"/>
        <v>PASS</v>
      </c>
      <c r="H15" s="26">
        <f t="shared" si="1"/>
        <v>0.32940345735578436</v>
      </c>
      <c r="I15" s="84" t="str">
        <f t="shared" si="2"/>
        <v>MISS</v>
      </c>
      <c r="J15" s="86" t="str">
        <f t="shared" si="3"/>
        <v>MISS</v>
      </c>
      <c r="K15" s="26">
        <f>'Field data'!K17</f>
        <v>41.474340178366894</v>
      </c>
      <c r="L15" s="26">
        <f>'Field data'!L17*0.0001</f>
        <v>6.8349275178587507E-2</v>
      </c>
      <c r="M15" s="6" t="str">
        <f t="shared" si="4"/>
        <v>MISS</v>
      </c>
      <c r="N15" s="6" t="str">
        <f t="shared" si="5"/>
        <v>MISS</v>
      </c>
      <c r="O15" s="6" t="str">
        <f t="shared" si="6"/>
        <v>MISS</v>
      </c>
    </row>
    <row r="16" spans="1:15" s="1" customFormat="1" x14ac:dyDescent="0.2">
      <c r="A16" s="102"/>
      <c r="B16" s="163"/>
      <c r="C16" s="68">
        <f>'GC rawdata'!V15</f>
        <v>0</v>
      </c>
      <c r="D16" s="68">
        <f>'GC rawdata'!W15</f>
        <v>0</v>
      </c>
      <c r="E16" s="68">
        <f>'GC rawdata'!X15</f>
        <v>0</v>
      </c>
      <c r="F16" s="68">
        <f>'GC rawdata'!Y15</f>
        <v>0</v>
      </c>
      <c r="G16" s="84" t="str">
        <f t="shared" si="0"/>
        <v>FAIL</v>
      </c>
      <c r="H16" s="26" t="e">
        <f t="shared" si="1"/>
        <v>#DIV/0!</v>
      </c>
      <c r="I16" s="84" t="e">
        <f t="shared" si="2"/>
        <v>#DIV/0!</v>
      </c>
      <c r="J16" s="86" t="str">
        <f t="shared" si="3"/>
        <v>0</v>
      </c>
      <c r="K16" s="26" t="e">
        <f>'Field data'!K18</f>
        <v>#DIV/0!</v>
      </c>
      <c r="L16" s="26">
        <f>'Field data'!L18*0.0001</f>
        <v>6.8349275178587507E-2</v>
      </c>
      <c r="M16" s="6" t="e">
        <f t="shared" si="4"/>
        <v>#DIV/0!</v>
      </c>
      <c r="N16" s="6" t="e">
        <f t="shared" si="5"/>
        <v>#DIV/0!</v>
      </c>
      <c r="O16" s="6" t="e">
        <f t="shared" si="6"/>
        <v>#DIV/0!</v>
      </c>
    </row>
    <row r="17" spans="1:15" s="141" customFormat="1" x14ac:dyDescent="0.2">
      <c r="A17" s="134" t="s">
        <v>66</v>
      </c>
      <c r="B17" s="135"/>
      <c r="C17" s="136">
        <f>'GC rawdata'!V16</f>
        <v>0</v>
      </c>
      <c r="D17" s="136">
        <f>'GC rawdata'!W16</f>
        <v>0</v>
      </c>
      <c r="E17" s="136">
        <f>'GC rawdata'!X16</f>
        <v>0</v>
      </c>
      <c r="F17" s="136">
        <f>'GC rawdata'!Y16</f>
        <v>0</v>
      </c>
      <c r="G17" s="137" t="str">
        <f t="shared" si="0"/>
        <v>FAIL</v>
      </c>
      <c r="H17" s="138" t="e">
        <f t="shared" si="1"/>
        <v>#DIV/0!</v>
      </c>
      <c r="I17" s="137" t="e">
        <f t="shared" si="2"/>
        <v>#DIV/0!</v>
      </c>
      <c r="J17" s="139" t="str">
        <f t="shared" si="3"/>
        <v>0</v>
      </c>
      <c r="K17" s="138" t="e">
        <f>'Field data'!K19</f>
        <v>#DIV/0!</v>
      </c>
      <c r="L17" s="138">
        <f>'Field data'!L19*0.0001</f>
        <v>6.8349275178587507E-2</v>
      </c>
      <c r="M17" s="140" t="e">
        <f t="shared" si="4"/>
        <v>#DIV/0!</v>
      </c>
      <c r="N17" s="140" t="e">
        <f t="shared" si="5"/>
        <v>#DIV/0!</v>
      </c>
      <c r="O17" s="140" t="e">
        <f t="shared" si="6"/>
        <v>#DIV/0!</v>
      </c>
    </row>
    <row r="18" spans="1:15" s="141" customFormat="1" x14ac:dyDescent="0.2">
      <c r="A18" s="134" t="s">
        <v>66</v>
      </c>
      <c r="B18" s="135"/>
      <c r="C18" s="136">
        <f>'GC rawdata'!V17</f>
        <v>0</v>
      </c>
      <c r="D18" s="136">
        <f>'GC rawdata'!W17</f>
        <v>0</v>
      </c>
      <c r="E18" s="136">
        <f>'GC rawdata'!X17</f>
        <v>0</v>
      </c>
      <c r="F18" s="136">
        <f>'GC rawdata'!Y17</f>
        <v>0</v>
      </c>
      <c r="G18" s="137" t="str">
        <f t="shared" si="0"/>
        <v>FAIL</v>
      </c>
      <c r="H18" s="138" t="e">
        <f t="shared" si="1"/>
        <v>#DIV/0!</v>
      </c>
      <c r="I18" s="137" t="e">
        <f t="shared" si="2"/>
        <v>#DIV/0!</v>
      </c>
      <c r="J18" s="139" t="str">
        <f t="shared" si="3"/>
        <v>0</v>
      </c>
      <c r="K18" s="138" t="e">
        <f>'Field data'!K20</f>
        <v>#DIV/0!</v>
      </c>
      <c r="L18" s="138">
        <f>'Field data'!L20*0.0001</f>
        <v>6.8349275178587507E-2</v>
      </c>
      <c r="M18" s="140" t="e">
        <f t="shared" si="4"/>
        <v>#DIV/0!</v>
      </c>
      <c r="N18" s="140" t="e">
        <f t="shared" si="5"/>
        <v>#DIV/0!</v>
      </c>
      <c r="O18" s="140" t="e">
        <f t="shared" si="6"/>
        <v>#DIV/0!</v>
      </c>
    </row>
    <row r="19" spans="1:15" s="141" customFormat="1" x14ac:dyDescent="0.2">
      <c r="A19" s="134" t="s">
        <v>66</v>
      </c>
      <c r="B19" s="135"/>
      <c r="C19" s="136">
        <f>'GC rawdata'!V18</f>
        <v>0</v>
      </c>
      <c r="D19" s="136">
        <f>'GC rawdata'!W18</f>
        <v>0</v>
      </c>
      <c r="E19" s="136">
        <f>'GC rawdata'!X18</f>
        <v>0</v>
      </c>
      <c r="F19" s="136">
        <f>'GC rawdata'!Y18</f>
        <v>0</v>
      </c>
      <c r="G19" s="137" t="str">
        <f t="shared" si="0"/>
        <v>FAIL</v>
      </c>
      <c r="H19" s="138" t="e">
        <f t="shared" si="1"/>
        <v>#DIV/0!</v>
      </c>
      <c r="I19" s="137" t="e">
        <f t="shared" si="2"/>
        <v>#DIV/0!</v>
      </c>
      <c r="J19" s="139" t="str">
        <f t="shared" si="3"/>
        <v>0</v>
      </c>
      <c r="K19" s="138" t="e">
        <f>'Field data'!K21</f>
        <v>#DIV/0!</v>
      </c>
      <c r="L19" s="138">
        <f>'Field data'!L21*0.0001</f>
        <v>6.8349275178587507E-2</v>
      </c>
      <c r="M19" s="140" t="e">
        <f t="shared" si="4"/>
        <v>#DIV/0!</v>
      </c>
      <c r="N19" s="140" t="e">
        <f t="shared" si="5"/>
        <v>#DIV/0!</v>
      </c>
      <c r="O19" s="140" t="e">
        <f t="shared" si="6"/>
        <v>#DIV/0!</v>
      </c>
    </row>
    <row r="22" spans="1:15" x14ac:dyDescent="0.2">
      <c r="A22" s="15"/>
      <c r="B22" s="15"/>
      <c r="C22" s="68"/>
      <c r="D22" s="68"/>
      <c r="E22" s="68"/>
      <c r="F22" s="68"/>
      <c r="G22" s="84"/>
      <c r="H22" s="26"/>
      <c r="I22" s="84"/>
      <c r="J22" s="26"/>
      <c r="K22" s="27"/>
      <c r="L22" s="27"/>
      <c r="M22" s="28"/>
      <c r="N22" s="28"/>
      <c r="O22" s="28"/>
    </row>
    <row r="23" spans="1:15" x14ac:dyDescent="0.2">
      <c r="A23" s="203" t="s">
        <v>15</v>
      </c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</row>
    <row r="24" spans="1:15" x14ac:dyDescent="0.2">
      <c r="A24" s="46"/>
      <c r="B24" s="46"/>
      <c r="C24" s="204" t="s">
        <v>45</v>
      </c>
      <c r="D24" s="204"/>
      <c r="E24" s="204"/>
      <c r="F24" s="204"/>
      <c r="G24" s="205" t="s">
        <v>36</v>
      </c>
      <c r="H24" s="48" t="s">
        <v>35</v>
      </c>
      <c r="I24" s="206" t="s">
        <v>44</v>
      </c>
      <c r="J24" s="206" t="s">
        <v>21</v>
      </c>
      <c r="K24" s="207" t="s">
        <v>23</v>
      </c>
      <c r="L24" s="208" t="s">
        <v>31</v>
      </c>
      <c r="M24" s="46"/>
      <c r="N24" s="47"/>
      <c r="O24" s="47"/>
    </row>
    <row r="25" spans="1:15" x14ac:dyDescent="0.2">
      <c r="A25" s="209" t="s">
        <v>39</v>
      </c>
      <c r="B25" s="112"/>
      <c r="C25" s="204"/>
      <c r="D25" s="204"/>
      <c r="E25" s="204"/>
      <c r="F25" s="204"/>
      <c r="G25" s="205"/>
      <c r="H25" s="48"/>
      <c r="I25" s="206"/>
      <c r="J25" s="206"/>
      <c r="K25" s="207"/>
      <c r="L25" s="208"/>
      <c r="M25" s="210" t="s">
        <v>46</v>
      </c>
      <c r="N25" s="210"/>
      <c r="O25" s="210"/>
    </row>
    <row r="26" spans="1:15" ht="22.5" x14ac:dyDescent="0.2">
      <c r="A26" s="209"/>
      <c r="B26" s="112" t="s">
        <v>61</v>
      </c>
      <c r="C26" s="117">
        <v>0</v>
      </c>
      <c r="D26" s="117">
        <v>21</v>
      </c>
      <c r="E26" s="117">
        <v>42</v>
      </c>
      <c r="F26" s="117">
        <v>63</v>
      </c>
      <c r="G26" s="73"/>
      <c r="H26" s="48"/>
      <c r="I26" s="73"/>
      <c r="J26" s="66"/>
      <c r="K26" s="207"/>
      <c r="L26" s="208"/>
      <c r="M26" s="49" t="s">
        <v>29</v>
      </c>
      <c r="N26" s="49" t="s">
        <v>30</v>
      </c>
      <c r="O26" s="49" t="s">
        <v>38</v>
      </c>
    </row>
    <row r="27" spans="1:15" ht="13.5" thickBo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5" x14ac:dyDescent="0.2">
      <c r="A28" s="165" t="s">
        <v>68</v>
      </c>
      <c r="B28" s="103"/>
      <c r="C28" s="68">
        <f>'GC rawdata'!V26</f>
        <v>2.3745253710550228E-3</v>
      </c>
      <c r="D28" s="68">
        <f>'GC rawdata'!W26</f>
        <v>5.3551295390779517E-3</v>
      </c>
      <c r="E28" s="68">
        <f>'GC rawdata'!X26</f>
        <v>9.0861295151074151E-3</v>
      </c>
      <c r="F28" s="68">
        <f>'GC rawdata'!Y26</f>
        <v>1.1934529870636677E-2</v>
      </c>
      <c r="G28" s="84" t="str">
        <f>+IF((ABS(F28-C28))&gt;0.000183,"PASS","FAIL")</f>
        <v>PASS</v>
      </c>
      <c r="H28" s="26">
        <f>+RSQ(C28:F28,$C$2:$F$2)</f>
        <v>0.99738512109284705</v>
      </c>
      <c r="I28" s="84" t="str">
        <f>IF(H28&gt;0.845,"LIN","MISS")</f>
        <v>LIN</v>
      </c>
      <c r="J28" s="86">
        <f>IF(G28="FAIL","0",IF(I28="LIN",+SLOPE(C28:F28,$C$2:$F$2),"MISS"))</f>
        <v>1.5433815940368772E-4</v>
      </c>
      <c r="K28" s="27">
        <f>'Field data'!K10</f>
        <v>41.200943077652546</v>
      </c>
      <c r="L28" s="27">
        <f>'Field data'!L10*0.0001</f>
        <v>6.8349275178587507E-2</v>
      </c>
      <c r="M28" s="28">
        <f>IF(J28="MISS","MISS",((K28/L28)*J28))</f>
        <v>9.3035042488542954E-2</v>
      </c>
      <c r="N28" s="28">
        <f>IF(M28="MISS","MISS",M28*60)</f>
        <v>5.5821025493125775</v>
      </c>
      <c r="O28" s="28">
        <f>IF(N28="MISS","MISS",N28*240)</f>
        <v>1339.7046118350186</v>
      </c>
    </row>
    <row r="29" spans="1:15" x14ac:dyDescent="0.2">
      <c r="A29" s="166" t="s">
        <v>69</v>
      </c>
      <c r="B29" s="103"/>
      <c r="C29" s="68">
        <f>'GC rawdata'!V27</f>
        <v>2.6536237051952871E-3</v>
      </c>
      <c r="D29" s="68">
        <f>'GC rawdata'!W27</f>
        <v>6.0201538312500006E-3</v>
      </c>
      <c r="E29" s="68">
        <f>'GC rawdata'!X27</f>
        <v>9.2095311138216413E-3</v>
      </c>
      <c r="F29" s="68">
        <f>'GC rawdata'!Y27</f>
        <v>1.1890977428226207E-2</v>
      </c>
      <c r="G29" s="84" t="str">
        <f t="shared" ref="G29:G39" si="7">+IF((ABS(F29-C29))&gt;0.000183,"PASS","FAIL")</f>
        <v>PASS</v>
      </c>
      <c r="H29" s="26">
        <f t="shared" ref="H29:H30" si="8">+RSQ(C29:F29,$C$2:$F$2)</f>
        <v>0.99743448012211577</v>
      </c>
      <c r="I29" s="84" t="str">
        <f t="shared" ref="I29:I39" si="9">IF(H29&gt;0.845,"LIN","MISS")</f>
        <v>LIN</v>
      </c>
      <c r="J29" s="86">
        <f t="shared" ref="J29:J39" si="10">IF(G29="FAIL","0",IF(I29="LIN",+SLOPE(C29:F29,$C$2:$F$2),"MISS"))</f>
        <v>1.4714970691268763E-4</v>
      </c>
      <c r="K29" s="27">
        <f>'Field data'!K11</f>
        <v>41.405990903188304</v>
      </c>
      <c r="L29" s="27">
        <f>'Field data'!L11*0.0001</f>
        <v>6.8349275178587507E-2</v>
      </c>
      <c r="M29" s="28">
        <f t="shared" ref="M29:M39" si="11">IF(J29="MISS","MISS",((K29/L29)*J29))</f>
        <v>8.9143292447706149E-2</v>
      </c>
      <c r="N29" s="28">
        <f t="shared" ref="N29:N39" si="12">IF(M29="MISS","MISS",M29*60)</f>
        <v>5.3485975468623685</v>
      </c>
      <c r="O29" s="28">
        <f t="shared" ref="O29" si="13">IF(N29="MISS","MISS",N29*240)</f>
        <v>1283.6634112469685</v>
      </c>
    </row>
    <row r="30" spans="1:15" x14ac:dyDescent="0.2">
      <c r="A30" s="166" t="s">
        <v>70</v>
      </c>
      <c r="B30" s="103"/>
      <c r="C30" s="68">
        <f>'GC rawdata'!V28</f>
        <v>4.0291276305183541E-3</v>
      </c>
      <c r="D30" s="68">
        <f>'GC rawdata'!W28</f>
        <v>8.0647569671474361E-3</v>
      </c>
      <c r="E30" s="68">
        <f>'GC rawdata'!X28</f>
        <v>1.245159623102019E-2</v>
      </c>
      <c r="F30" s="68">
        <f>'GC rawdata'!Y28</f>
        <v>1.5180121284141243E-2</v>
      </c>
      <c r="G30" s="84" t="str">
        <f t="shared" si="7"/>
        <v>PASS</v>
      </c>
      <c r="H30" s="26">
        <f t="shared" si="8"/>
        <v>0.991290148362308</v>
      </c>
      <c r="I30" s="84" t="str">
        <f t="shared" si="9"/>
        <v>LIN</v>
      </c>
      <c r="J30" s="86">
        <f t="shared" si="10"/>
        <v>1.8018962011781629E-4</v>
      </c>
      <c r="K30" s="27">
        <f>'Field data'!K12</f>
        <v>41.064244527295372</v>
      </c>
      <c r="L30" s="27">
        <f>'Field data'!L12*0.0001</f>
        <v>6.8349275178587507E-2</v>
      </c>
      <c r="M30" s="28">
        <f t="shared" si="11"/>
        <v>0.10825792376678402</v>
      </c>
      <c r="N30" s="28">
        <f t="shared" si="12"/>
        <v>6.4954754260070411</v>
      </c>
      <c r="O30" s="28">
        <f t="shared" ref="O30" si="14">IF(N30="MISS","MISS",N30*240)</f>
        <v>1558.9141022416898</v>
      </c>
    </row>
    <row r="31" spans="1:15" x14ac:dyDescent="0.2">
      <c r="A31" s="166" t="s">
        <v>71</v>
      </c>
      <c r="B31" s="103"/>
      <c r="C31" s="68">
        <f>'GC rawdata'!V29</f>
        <v>7.2917871282024791E-3</v>
      </c>
      <c r="D31" s="68">
        <f>'GC rawdata'!W29</f>
        <v>1.5445823223592416E-2</v>
      </c>
      <c r="E31" s="68">
        <f>'GC rawdata'!X29</f>
        <v>2.727028938677507E-2</v>
      </c>
      <c r="F31" s="68">
        <f>'GC rawdata'!Y29</f>
        <v>3.184958503667458E-2</v>
      </c>
      <c r="G31" s="84" t="str">
        <f t="shared" si="7"/>
        <v>PASS</v>
      </c>
      <c r="H31" s="26">
        <f>+RSQ(C31:F31,$C$2:$F$2)</f>
        <v>0.9755710749198655</v>
      </c>
      <c r="I31" s="84" t="str">
        <f t="shared" si="9"/>
        <v>LIN</v>
      </c>
      <c r="J31" s="86">
        <f t="shared" si="10"/>
        <v>4.0713266613618554E-4</v>
      </c>
      <c r="K31" s="27">
        <f>'Field data'!K13</f>
        <v>41.542689453545485</v>
      </c>
      <c r="L31" s="27">
        <f>'Field data'!L13*0.0001</f>
        <v>6.8349275178587507E-2</v>
      </c>
      <c r="M31" s="28">
        <f t="shared" si="11"/>
        <v>0.24745523447757356</v>
      </c>
      <c r="N31" s="28">
        <f t="shared" si="12"/>
        <v>14.847314068654413</v>
      </c>
      <c r="O31" s="28">
        <f t="shared" ref="O31:O39" si="15">IF(N31="MISS","MISS",N31*240)</f>
        <v>3563.3553764770591</v>
      </c>
    </row>
    <row r="32" spans="1:15" x14ac:dyDescent="0.2">
      <c r="A32" s="166" t="s">
        <v>72</v>
      </c>
      <c r="B32" s="103"/>
      <c r="C32" s="68">
        <f>'GC rawdata'!V30</f>
        <v>2.3939412744915681E-3</v>
      </c>
      <c r="D32" s="68">
        <f>'GC rawdata'!W30</f>
        <v>5.8506963175482341E-3</v>
      </c>
      <c r="E32" s="68">
        <f>'GC rawdata'!X30</f>
        <v>1.2058296617629045E-2</v>
      </c>
      <c r="F32" s="68">
        <f>'GC rawdata'!Y30</f>
        <v>1.7013529809316849E-2</v>
      </c>
      <c r="G32" s="84" t="str">
        <f t="shared" si="7"/>
        <v>PASS</v>
      </c>
      <c r="H32" s="26">
        <f t="shared" ref="H32:H39" si="16">+RSQ(C32:F32,$C$2:$F$2)</f>
        <v>0.98924465890937674</v>
      </c>
      <c r="I32" s="84" t="str">
        <f t="shared" si="9"/>
        <v>LIN</v>
      </c>
      <c r="J32" s="86">
        <f t="shared" si="10"/>
        <v>2.3841126621217452E-4</v>
      </c>
      <c r="K32" s="27">
        <f>'Field data'!K14</f>
        <v>41.542689453545485</v>
      </c>
      <c r="L32" s="27">
        <f>'Field data'!L14*0.0001</f>
        <v>6.8349275178587507E-2</v>
      </c>
      <c r="M32" s="28">
        <f t="shared" si="11"/>
        <v>0.14490636760375966</v>
      </c>
      <c r="N32" s="28">
        <f t="shared" si="12"/>
        <v>8.6943820562255798</v>
      </c>
      <c r="O32" s="28">
        <f t="shared" si="15"/>
        <v>2086.6516934941392</v>
      </c>
    </row>
    <row r="33" spans="1:15" x14ac:dyDescent="0.2">
      <c r="A33" s="166" t="s">
        <v>73</v>
      </c>
      <c r="B33" s="103"/>
      <c r="C33" s="68">
        <f>'GC rawdata'!V31</f>
        <v>3.5158875188550944E-3</v>
      </c>
      <c r="D33" s="68">
        <f>'GC rawdata'!W31</f>
        <v>9.3294653277964865E-3</v>
      </c>
      <c r="E33" s="68"/>
      <c r="F33" s="68">
        <f>'GC rawdata'!Y31</f>
        <v>2.5015480571841206E-2</v>
      </c>
      <c r="G33" s="84" t="str">
        <f t="shared" si="7"/>
        <v>PASS</v>
      </c>
      <c r="H33" s="26">
        <f t="shared" si="16"/>
        <v>0.99524281745678145</v>
      </c>
      <c r="I33" s="84" t="str">
        <f t="shared" si="9"/>
        <v>LIN</v>
      </c>
      <c r="J33" s="86">
        <f t="shared" si="10"/>
        <v>3.4586526345574544E-4</v>
      </c>
      <c r="K33" s="27">
        <f>'Field data'!K15</f>
        <v>41.816086554259833</v>
      </c>
      <c r="L33" s="27">
        <f>'Field data'!L15*0.0001</f>
        <v>6.8349275178587507E-2</v>
      </c>
      <c r="M33" s="28">
        <f t="shared" si="11"/>
        <v>0.21160036818222505</v>
      </c>
      <c r="N33" s="28">
        <f t="shared" si="12"/>
        <v>12.696022090933504</v>
      </c>
      <c r="O33" s="28">
        <f t="shared" si="15"/>
        <v>3047.045301824041</v>
      </c>
    </row>
    <row r="34" spans="1:15" s="1" customFormat="1" x14ac:dyDescent="0.2">
      <c r="A34" s="166" t="s">
        <v>74</v>
      </c>
      <c r="B34" s="163"/>
      <c r="C34" s="68">
        <f>'GC rawdata'!V32</f>
        <v>4.4703183841388622E-3</v>
      </c>
      <c r="D34" s="68">
        <f>'GC rawdata'!W32</f>
        <v>8.5939215143995117E-3</v>
      </c>
      <c r="E34" s="68">
        <f>'GC rawdata'!X32</f>
        <v>1.5117440165897583E-2</v>
      </c>
      <c r="F34" s="68">
        <f>'GC rawdata'!Y32</f>
        <v>2.3111735731207155E-2</v>
      </c>
      <c r="G34" s="84" t="str">
        <f t="shared" si="7"/>
        <v>PASS</v>
      </c>
      <c r="H34" s="26">
        <f t="shared" si="16"/>
        <v>0.98093959912576945</v>
      </c>
      <c r="I34" s="84" t="str">
        <f t="shared" si="9"/>
        <v>LIN</v>
      </c>
      <c r="J34" s="86">
        <f t="shared" si="10"/>
        <v>2.9737033663191883E-4</v>
      </c>
      <c r="K34" s="26">
        <f>'Field data'!K16</f>
        <v>41.884435829438424</v>
      </c>
      <c r="L34" s="26">
        <f>'Field data'!L16*0.0001</f>
        <v>6.8349275178587507E-2</v>
      </c>
      <c r="M34" s="6">
        <f t="shared" si="11"/>
        <v>0.18222854228803984</v>
      </c>
      <c r="N34" s="6">
        <f t="shared" si="12"/>
        <v>10.933712537282391</v>
      </c>
      <c r="O34" s="6">
        <f t="shared" si="15"/>
        <v>2624.0910089477738</v>
      </c>
    </row>
    <row r="35" spans="1:15" s="1" customFormat="1" ht="13.5" thickBot="1" x14ac:dyDescent="0.25">
      <c r="A35" s="167" t="s">
        <v>75</v>
      </c>
      <c r="B35" s="163"/>
      <c r="C35" s="68">
        <f>'GC rawdata'!V33</f>
        <v>3.478536275265958E-3</v>
      </c>
      <c r="D35" s="68">
        <f>'GC rawdata'!W33</f>
        <v>7.6330421510416675E-3</v>
      </c>
      <c r="E35" s="68">
        <f>'GC rawdata'!X33</f>
        <v>1.0751843931968486E-2</v>
      </c>
      <c r="F35" s="68">
        <f>'GC rawdata'!Y33</f>
        <v>1.618320450091762E-2</v>
      </c>
      <c r="G35" s="84" t="str">
        <f t="shared" si="7"/>
        <v>PASS</v>
      </c>
      <c r="H35" s="26">
        <f t="shared" si="16"/>
        <v>0.98873941538479759</v>
      </c>
      <c r="I35" s="84" t="str">
        <f t="shared" si="9"/>
        <v>LIN</v>
      </c>
      <c r="J35" s="86">
        <f t="shared" si="10"/>
        <v>1.9634669741848477E-4</v>
      </c>
      <c r="K35" s="26">
        <f>'Field data'!K17</f>
        <v>41.474340178366894</v>
      </c>
      <c r="L35" s="26">
        <f>'Field data'!L17*0.0001</f>
        <v>6.8349275178587507E-2</v>
      </c>
      <c r="M35" s="6">
        <f t="shared" si="11"/>
        <v>0.11914317599353655</v>
      </c>
      <c r="N35" s="6">
        <f t="shared" si="12"/>
        <v>7.1485905596121926</v>
      </c>
      <c r="O35" s="6">
        <f t="shared" si="15"/>
        <v>1715.6617343069263</v>
      </c>
    </row>
    <row r="36" spans="1:15" s="1" customFormat="1" x14ac:dyDescent="0.2">
      <c r="A36" s="102"/>
      <c r="B36" s="163"/>
      <c r="C36" s="68">
        <f>'GC rawdata'!V34</f>
        <v>0</v>
      </c>
      <c r="D36" s="68">
        <f>'GC rawdata'!W34</f>
        <v>0</v>
      </c>
      <c r="E36" s="68">
        <f>'GC rawdata'!X34</f>
        <v>0</v>
      </c>
      <c r="F36" s="68">
        <f>'GC rawdata'!Y34</f>
        <v>0</v>
      </c>
      <c r="G36" s="84" t="str">
        <f t="shared" si="7"/>
        <v>FAIL</v>
      </c>
      <c r="H36" s="26" t="e">
        <f t="shared" si="16"/>
        <v>#DIV/0!</v>
      </c>
      <c r="I36" s="84" t="e">
        <f t="shared" si="9"/>
        <v>#DIV/0!</v>
      </c>
      <c r="J36" s="86" t="str">
        <f t="shared" si="10"/>
        <v>0</v>
      </c>
      <c r="K36" s="26" t="e">
        <f>'Field data'!K18</f>
        <v>#DIV/0!</v>
      </c>
      <c r="L36" s="26">
        <f>'Field data'!L18*0.0001</f>
        <v>6.8349275178587507E-2</v>
      </c>
      <c r="M36" s="6" t="e">
        <f t="shared" si="11"/>
        <v>#DIV/0!</v>
      </c>
      <c r="N36" s="6" t="e">
        <f t="shared" si="12"/>
        <v>#DIV/0!</v>
      </c>
      <c r="O36" s="6" t="e">
        <f t="shared" si="15"/>
        <v>#DIV/0!</v>
      </c>
    </row>
    <row r="37" spans="1:15" s="141" customFormat="1" x14ac:dyDescent="0.2">
      <c r="A37" s="134" t="s">
        <v>66</v>
      </c>
      <c r="B37" s="135"/>
      <c r="C37" s="136">
        <f>'GC rawdata'!V35</f>
        <v>0</v>
      </c>
      <c r="D37" s="136">
        <f>'GC rawdata'!W35</f>
        <v>0</v>
      </c>
      <c r="E37" s="136">
        <f>'GC rawdata'!X35</f>
        <v>0</v>
      </c>
      <c r="F37" s="136">
        <f>'GC rawdata'!Y35</f>
        <v>0</v>
      </c>
      <c r="G37" s="137" t="str">
        <f t="shared" si="7"/>
        <v>FAIL</v>
      </c>
      <c r="H37" s="138" t="e">
        <f t="shared" si="16"/>
        <v>#DIV/0!</v>
      </c>
      <c r="I37" s="137" t="e">
        <f t="shared" si="9"/>
        <v>#DIV/0!</v>
      </c>
      <c r="J37" s="139" t="str">
        <f t="shared" si="10"/>
        <v>0</v>
      </c>
      <c r="K37" s="138" t="e">
        <f>'Field data'!K19</f>
        <v>#DIV/0!</v>
      </c>
      <c r="L37" s="138">
        <f>'Field data'!L19*0.0001</f>
        <v>6.8349275178587507E-2</v>
      </c>
      <c r="M37" s="140" t="e">
        <f t="shared" si="11"/>
        <v>#DIV/0!</v>
      </c>
      <c r="N37" s="140" t="e">
        <f t="shared" si="12"/>
        <v>#DIV/0!</v>
      </c>
      <c r="O37" s="140" t="e">
        <f t="shared" si="15"/>
        <v>#DIV/0!</v>
      </c>
    </row>
    <row r="38" spans="1:15" s="141" customFormat="1" x14ac:dyDescent="0.2">
      <c r="A38" s="134" t="s">
        <v>66</v>
      </c>
      <c r="B38" s="135"/>
      <c r="C38" s="136">
        <f>'GC rawdata'!V36</f>
        <v>0</v>
      </c>
      <c r="D38" s="136">
        <f>'GC rawdata'!W36</f>
        <v>0</v>
      </c>
      <c r="E38" s="136">
        <f>'GC rawdata'!X36</f>
        <v>0</v>
      </c>
      <c r="F38" s="136">
        <f>'GC rawdata'!Y36</f>
        <v>0</v>
      </c>
      <c r="G38" s="137" t="str">
        <f t="shared" si="7"/>
        <v>FAIL</v>
      </c>
      <c r="H38" s="138" t="e">
        <f t="shared" si="16"/>
        <v>#DIV/0!</v>
      </c>
      <c r="I38" s="137" t="e">
        <f t="shared" si="9"/>
        <v>#DIV/0!</v>
      </c>
      <c r="J38" s="139" t="str">
        <f t="shared" si="10"/>
        <v>0</v>
      </c>
      <c r="K38" s="138" t="e">
        <f>'Field data'!K20</f>
        <v>#DIV/0!</v>
      </c>
      <c r="L38" s="138">
        <f>'Field data'!L20*0.0001</f>
        <v>6.8349275178587507E-2</v>
      </c>
      <c r="M38" s="140" t="e">
        <f t="shared" si="11"/>
        <v>#DIV/0!</v>
      </c>
      <c r="N38" s="140" t="e">
        <f t="shared" si="12"/>
        <v>#DIV/0!</v>
      </c>
      <c r="O38" s="140" t="e">
        <f t="shared" si="15"/>
        <v>#DIV/0!</v>
      </c>
    </row>
    <row r="39" spans="1:15" s="141" customFormat="1" x14ac:dyDescent="0.2">
      <c r="A39" s="134" t="s">
        <v>66</v>
      </c>
      <c r="B39" s="135"/>
      <c r="C39" s="136">
        <f>'GC rawdata'!V37</f>
        <v>0</v>
      </c>
      <c r="D39" s="136">
        <f>'GC rawdata'!W37</f>
        <v>0</v>
      </c>
      <c r="E39" s="136">
        <f>'GC rawdata'!X37</f>
        <v>0</v>
      </c>
      <c r="F39" s="136">
        <f>'GC rawdata'!Y37</f>
        <v>0</v>
      </c>
      <c r="G39" s="137" t="str">
        <f t="shared" si="7"/>
        <v>FAIL</v>
      </c>
      <c r="H39" s="138" t="e">
        <f t="shared" si="16"/>
        <v>#DIV/0!</v>
      </c>
      <c r="I39" s="137" t="e">
        <f t="shared" si="9"/>
        <v>#DIV/0!</v>
      </c>
      <c r="J39" s="139" t="str">
        <f t="shared" si="10"/>
        <v>0</v>
      </c>
      <c r="K39" s="138" t="e">
        <f>'Field data'!K21</f>
        <v>#DIV/0!</v>
      </c>
      <c r="L39" s="138">
        <f>'Field data'!L21*0.0001</f>
        <v>6.8349275178587507E-2</v>
      </c>
      <c r="M39" s="140" t="e">
        <f t="shared" si="11"/>
        <v>#DIV/0!</v>
      </c>
      <c r="N39" s="140" t="e">
        <f t="shared" si="12"/>
        <v>#DIV/0!</v>
      </c>
      <c r="O39" s="140" t="e">
        <f t="shared" si="15"/>
        <v>#DIV/0!</v>
      </c>
    </row>
  </sheetData>
  <sheetProtection selectLockedCells="1" selectUnlockedCells="1"/>
  <mergeCells count="19">
    <mergeCell ref="A23:O23"/>
    <mergeCell ref="C24:F25"/>
    <mergeCell ref="G24:G25"/>
    <mergeCell ref="I24:I25"/>
    <mergeCell ref="J24:J25"/>
    <mergeCell ref="K24:K26"/>
    <mergeCell ref="L24:L26"/>
    <mergeCell ref="A25:A26"/>
    <mergeCell ref="M25:O25"/>
    <mergeCell ref="A5:A6"/>
    <mergeCell ref="C4:F5"/>
    <mergeCell ref="C1:F1"/>
    <mergeCell ref="J4:J5"/>
    <mergeCell ref="A3:O3"/>
    <mergeCell ref="G4:G5"/>
    <mergeCell ref="M5:O5"/>
    <mergeCell ref="K4:K6"/>
    <mergeCell ref="I4:I5"/>
    <mergeCell ref="L4:L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Field data</vt:lpstr>
      <vt:lpstr>GC rawdata</vt:lpstr>
      <vt:lpstr>Flux data</vt:lpstr>
      <vt:lpstr>'GC rawdata'!Print_Area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JunJun Arlene</dc:creator>
  <cp:keywords/>
  <dc:description/>
  <cp:lastModifiedBy>Zhang Zhenglin</cp:lastModifiedBy>
  <cp:lastPrinted>2011-06-06T22:44:09Z</cp:lastPrinted>
  <dcterms:created xsi:type="dcterms:W3CDTF">2006-07-14T13:36:03Z</dcterms:created>
  <dcterms:modified xsi:type="dcterms:W3CDTF">2024-01-20T19:56:42Z</dcterms:modified>
  <cp:category/>
</cp:coreProperties>
</file>