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3\GC gas data 2023\Calculations\Jun\"/>
    </mc:Choice>
  </mc:AlternateContent>
  <bookViews>
    <workbookView xWindow="0" yWindow="0" windowWidth="23040" windowHeight="8595" tabRatio="805" activeTab="2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45" l="1"/>
  <c r="R8" i="51" l="1"/>
  <c r="N7" i="51" l="1"/>
  <c r="M10" i="43"/>
  <c r="C17" i="45" l="1"/>
  <c r="D17" i="45"/>
  <c r="E17" i="45"/>
  <c r="F17" i="45"/>
  <c r="G17" i="45" s="1"/>
  <c r="J17" i="45" s="1"/>
  <c r="H17" i="45"/>
  <c r="I17" i="45" s="1"/>
  <c r="C18" i="45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7" i="45"/>
  <c r="D37" i="45"/>
  <c r="E37" i="45"/>
  <c r="F37" i="45"/>
  <c r="G37" i="45"/>
  <c r="J37" i="45" s="1"/>
  <c r="H37" i="45"/>
  <c r="I37" i="45" s="1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M17" i="45"/>
  <c r="N17" i="45" s="1"/>
  <c r="O17" i="45" s="1"/>
  <c r="L18" i="45"/>
  <c r="M18" i="45" s="1"/>
  <c r="N18" i="45" s="1"/>
  <c r="O18" i="45" s="1"/>
  <c r="M37" i="45"/>
  <c r="N37" i="45" s="1"/>
  <c r="O37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Q34" i="51"/>
  <c r="P34" i="51"/>
  <c r="O34" i="51"/>
  <c r="Q33" i="51"/>
  <c r="N34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6" i="43"/>
  <c r="M15" i="43"/>
  <c r="M14" i="43"/>
  <c r="M13" i="43"/>
  <c r="D18" i="43"/>
  <c r="H18" i="43" s="1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5" i="45" l="1"/>
  <c r="G35" i="45"/>
  <c r="G36" i="45"/>
  <c r="F12" i="45"/>
  <c r="G12" i="45" s="1"/>
  <c r="Y31" i="51"/>
  <c r="F33" i="45" s="1"/>
  <c r="G33" i="45" s="1"/>
  <c r="Y35" i="51"/>
  <c r="X17" i="51"/>
  <c r="X13" i="51"/>
  <c r="E14" i="45" s="1"/>
  <c r="Y32" i="51"/>
  <c r="F34" i="45" s="1"/>
  <c r="G34" i="45" s="1"/>
  <c r="W16" i="51"/>
  <c r="W12" i="51"/>
  <c r="D13" i="45" s="1"/>
  <c r="X31" i="51"/>
  <c r="E33" i="45" s="1"/>
  <c r="W17" i="51"/>
  <c r="W11" i="51"/>
  <c r="D12" i="45" s="1"/>
  <c r="W34" i="51"/>
  <c r="D36" i="45" s="1"/>
  <c r="W30" i="51"/>
  <c r="X30" i="5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L14" i="43"/>
  <c r="L15" i="43"/>
  <c r="L16" i="43"/>
  <c r="L17" i="43"/>
  <c r="L18" i="43"/>
  <c r="D11" i="43"/>
  <c r="D12" i="43"/>
  <c r="D13" i="43"/>
  <c r="H12" i="45" l="1"/>
  <c r="I12" i="45" s="1"/>
  <c r="H15" i="45"/>
  <c r="I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J1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G8" i="45" l="1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J36" i="45"/>
  <c r="M36" i="45" s="1"/>
  <c r="N36" i="45" s="1"/>
  <c r="O36" i="45" s="1"/>
  <c r="I36" i="45"/>
  <c r="I33" i="45"/>
  <c r="J33" i="45" s="1"/>
  <c r="M33" i="45" s="1"/>
  <c r="N33" i="45" s="1"/>
  <c r="O33" i="45" s="1"/>
  <c r="I35" i="45"/>
  <c r="J35" i="45" s="1"/>
  <c r="M35" i="45" s="1"/>
  <c r="N35" i="45" s="1"/>
  <c r="O35" i="45" s="1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<sst xmlns="http://schemas.openxmlformats.org/spreadsheetml/2006/main" count="288" uniqueCount="76">
  <si>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</si>
  <si>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</si>
  <si>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</si>
  <si>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</si>
  <si>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</si>
  <si>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</si>
  <si>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</si>
  <si>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</si>
  <si>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</si>
  <si>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</si>
  <si>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</si>
  <si>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</si>
  <si>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</si>
  <si>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</si>
  <si>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</si>
  <si>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</si>
  <si>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</si>
  <si>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</si>
  <si>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</si>
  <si>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</si>
  <si>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</si>
  <si>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</si>
  <si>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</si>
  <si>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</si>
  <si>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</si>
  <si>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</si>
  <si>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</si>
  <si>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</si>
  <si>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</si>
  <si>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</si>
  <si>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</si>
  <si>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</si>
  <si>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</si>
  <si>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</si>
  <si>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</si>
  <si>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</si>
  <si>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</si>
  <si>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</si>
  <si>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</si>
  <si>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</si>
  <si>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</si>
  <si>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</si>
  <si>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</si>
  <si>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</si>
  <si>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</si>
  <si>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</si>
  <si>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</si>
  <si>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</si>
  <si>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</si>
  <si>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</si>
  <si>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</si>
  <si>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</si>
  <si>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</si>
  <si>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</si>
  <si>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</si>
  <si>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</si>
  <si>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</si>
  <si>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</si>
  <si>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</si>
  <si>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</si>
  <si>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</si>
  <si>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</si>
  <si>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</si>
  <si>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</si>
  <si>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</si>
  <si>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</si>
  <si>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</si>
  <si>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</si>
  <si>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CB-SH3</t>
  </si>
  <si>
    <t>CB-SL3</t>
  </si>
  <si>
    <t>SH3</t>
  </si>
  <si>
    <t>C3</t>
  </si>
  <si>
    <t>C4</t>
  </si>
  <si>
    <t>CB-SH4</t>
  </si>
  <si>
    <t>CB-SL4</t>
  </si>
  <si>
    <t>SH4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</si>
</sst>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1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2" fontId="2" fillId="6" borderId="1" xfId="2" applyNumberFormat="1" applyFont="1" applyFill="1" applyBorder="1" applyAlignment="1">
      <alignment horizontal="center"/>
    </xf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6" borderId="1" xfId="1" applyFont="1" applyFill="1" applyBorder="1"/>
    <xf numFmtId="2" fontId="7" fillId="6" borderId="1" xfId="1" applyNumberFormat="1" applyFont="1" applyFill="1" applyBorder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4" xfId="1" applyFont="1" applyFill="1" applyBorder="1"/>
    <xf numFmtId="0" fontId="2" fillId="6" borderId="5" xfId="2" applyFont="1" applyFill="1" applyBorder="1"/>
    <xf numFmtId="0" fontId="2" fillId="6" borderId="5" xfId="1" applyFont="1" applyFill="1" applyBorder="1"/>
    <xf numFmtId="0" fontId="2" fillId="6" borderId="6" xfId="1" applyFont="1" applyFill="1" applyBorder="1"/>
    <xf numFmtId="2" fontId="2" fillId="6" borderId="4" xfId="2" applyNumberFormat="1" applyFont="1" applyFill="1" applyBorder="1" applyAlignment="1">
      <alignment horizontal="center"/>
    </xf>
    <xf numFmtId="0" fontId="2" fillId="6" borderId="4" xfId="2" applyFont="1" applyFill="1" applyBorder="1" applyAlignment="1">
      <alignment horizontal="center"/>
    </xf>
    <xf numFmtId="0" fontId="7" fillId="6" borderId="4" xfId="1" applyFont="1" applyFill="1" applyBorder="1"/>
    <xf numFmtId="2" fontId="2" fillId="18" borderId="5" xfId="2" applyNumberFormat="1" applyFont="1" applyFill="1" applyBorder="1" applyAlignment="1">
      <alignment horizontal="center"/>
    </xf>
    <xf numFmtId="2" fontId="2" fillId="6" borderId="8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0" fillId="19" borderId="0" xfId="0" applyFill="1"/>
    <xf numFmtId="0" fontId="7" fillId="20" borderId="9" xfId="1" applyFont="1" applyFill="1" applyBorder="1" applyAlignment="1">
      <alignment horizontal="center" vertical="center"/>
    </xf>
    <xf numFmtId="0" fontId="7" fillId="20" borderId="10" xfId="1" applyFont="1" applyFill="1" applyBorder="1" applyAlignment="1">
      <alignment horizontal="center" vertical="center"/>
    </xf>
    <xf numFmtId="0" fontId="7" fillId="20" borderId="11" xfId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9" fillId="10" borderId="0" xfId="1" applyFont="1" applyFill="1" applyAlignment="1">
      <alignment horizontal="center"/>
    </xf>
    <xf numFmtId="0" fontId="9" fillId="11" borderId="0" xfId="1" applyFont="1" applyFill="1" applyAlignment="1">
      <alignment horizontal="center"/>
    </xf>
    <xf numFmtId="0" fontId="1" fillId="0" borderId="0" xfId="3" applyAlignment="1">
      <alignment horizontal="center"/>
    </xf>
    <xf numFmtId="0" fontId="2" fillId="0" borderId="0" xfId="1" applyFont="1" applyFill="1" applyAlignment="1">
      <alignment horizontal="center" wrapText="1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zoomScale="150" zoomScaleNormal="150" zoomScalePageLayoutView="150" workbookViewId="0">
      <selection activeCell="J30" sqref="J30"/>
    </sheetView>
  </sheetViews>
  <sheetFormatPr defaultColWidth="8.7109375" defaultRowHeight="11.25" x14ac:dyDescent="0.2"/>
  <cols>
    <col min="1" max="1" width="13.42578125" style="10" customWidth="1"/>
    <col min="2" max="2" width="10" style="10" customWidth="1"/>
    <col min="3" max="3" width="9.7109375" style="10" customWidth="1"/>
    <col min="4" max="5" width="8.7109375" style="10" customWidth="1"/>
    <col min="6" max="10" width="8.7109375" style="10"/>
    <col min="11" max="11" width="7" style="10" bestFit="1" customWidth="1"/>
    <col min="12" max="12" width="8.28515625" style="10" bestFit="1" customWidth="1"/>
    <col min="13" max="13" width="10.7109375" style="10" bestFit="1" customWidth="1"/>
    <col min="14" max="14" width="11" style="10" customWidth="1"/>
    <col min="15" max="16384" width="8.7109375" style="10"/>
  </cols>
  <sheetData>
    <row r="1" spans="1:17" x14ac:dyDescent="0.2">
      <c r="A1" s="9" t="s">
        <v>3</v>
      </c>
    </row>
    <row r="2" spans="1:17" ht="10.9" customHeight="1" x14ac:dyDescent="0.2">
      <c r="A2" s="8" t="s">
        <v>1</v>
      </c>
    </row>
    <row r="3" spans="1:17" x14ac:dyDescent="0.2">
      <c r="A3" s="10" t="s">
        <v>4</v>
      </c>
      <c r="B3" s="91"/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15" customHeight="1" x14ac:dyDescent="0.2">
      <c r="C6" s="180" t="s">
        <v>8</v>
      </c>
      <c r="D6" s="180"/>
      <c r="E6" s="180"/>
      <c r="F6" s="180"/>
      <c r="G6" s="180"/>
      <c r="H6" s="180"/>
      <c r="I6" s="76" t="s">
        <v>9</v>
      </c>
      <c r="J6" s="181" t="s">
        <v>10</v>
      </c>
      <c r="K6" s="181"/>
      <c r="L6" s="75" t="s">
        <v>40</v>
      </c>
      <c r="M6" s="77" t="s">
        <v>37</v>
      </c>
      <c r="Q6" s="179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79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Q9" s="62"/>
    </row>
    <row r="10" spans="1:17" ht="12.75" x14ac:dyDescent="0.2">
      <c r="A10" s="165" t="s">
        <v>68</v>
      </c>
      <c r="B10" s="4"/>
      <c r="C10" s="34">
        <v>7.62</v>
      </c>
      <c r="D10" s="38">
        <f>AVERAGE(B38:B41)</f>
        <v>-4.95</v>
      </c>
      <c r="E10" s="164">
        <v>30.48</v>
      </c>
      <c r="F10" s="158"/>
      <c r="G10" s="92"/>
      <c r="H10" s="39">
        <f>SUM(C10:G10)</f>
        <v>33.15</v>
      </c>
      <c r="I10" s="34">
        <v>14.75</v>
      </c>
      <c r="J10" s="23">
        <f>3.141592654*(I10*I10)*H10</f>
        <v>22657.784721701755</v>
      </c>
      <c r="K10" s="37">
        <f t="shared" ref="K10:K11" si="0">J10/1000</f>
        <v>22.657784721701756</v>
      </c>
      <c r="L10" s="35">
        <f>3.141592654*(I10*I10)</f>
        <v>683.49275178587504</v>
      </c>
      <c r="M10" s="39">
        <f>AVERAGE(B48:B51)</f>
        <v>0</v>
      </c>
      <c r="O10" s="10" t="s">
        <v>68</v>
      </c>
      <c r="P10" s="10">
        <v>-4.95</v>
      </c>
      <c r="Q10" s="74"/>
    </row>
    <row r="11" spans="1:17" ht="12.75" x14ac:dyDescent="0.2">
      <c r="A11" s="166" t="s">
        <v>69</v>
      </c>
      <c r="B11" s="4"/>
      <c r="C11" s="34">
        <v>7.62</v>
      </c>
      <c r="D11" s="39">
        <f>AVERAGE(C38:C41)</f>
        <v>-4.6500000000000004</v>
      </c>
      <c r="E11" s="164">
        <v>30.48</v>
      </c>
      <c r="F11" s="158"/>
      <c r="G11" s="92"/>
      <c r="H11" s="39">
        <f t="shared" ref="H11" si="1">SUM(C11:G11)</f>
        <v>33.450000000000003</v>
      </c>
      <c r="I11" s="34">
        <v>14.75</v>
      </c>
      <c r="J11" s="23">
        <f t="shared" ref="J11" si="2">3.141592654*(I11*I11)*H11</f>
        <v>22862.832547237522</v>
      </c>
      <c r="K11" s="37">
        <f t="shared" si="0"/>
        <v>22.86283254723752</v>
      </c>
      <c r="L11" s="35">
        <f t="shared" ref="L11:L21" si="3">3.141592654*(I11*I11)</f>
        <v>683.49275178587504</v>
      </c>
      <c r="M11" s="39">
        <f>AVERAGE(C48:C51)</f>
        <v>0</v>
      </c>
      <c r="O11" s="10" t="s">
        <v>69</v>
      </c>
      <c r="P11" s="10">
        <v>-4.6500000000000004</v>
      </c>
      <c r="Q11" s="74"/>
    </row>
    <row r="12" spans="1:17" ht="12.75" x14ac:dyDescent="0.2">
      <c r="A12" s="166" t="s">
        <v>70</v>
      </c>
      <c r="B12" s="4"/>
      <c r="C12" s="34">
        <v>7.62</v>
      </c>
      <c r="D12" s="38">
        <f>AVERAGE(D38:D41)</f>
        <v>-6.25</v>
      </c>
      <c r="E12" s="164">
        <v>30.48</v>
      </c>
      <c r="F12" s="158"/>
      <c r="G12" s="92"/>
      <c r="H12" s="39">
        <f t="shared" ref="H12:H21" si="4">SUM(C12:G12)</f>
        <v>31.85</v>
      </c>
      <c r="I12" s="34">
        <v>14.75</v>
      </c>
      <c r="J12" s="23">
        <f t="shared" ref="J12:J21" si="5">3.141592654*(I12*I12)*H12</f>
        <v>21769.244144380122</v>
      </c>
      <c r="K12" s="37">
        <f t="shared" ref="K12:K21" si="6">J12/1000</f>
        <v>21.769244144380121</v>
      </c>
      <c r="L12" s="35">
        <f t="shared" si="3"/>
        <v>683.49275178587504</v>
      </c>
      <c r="M12" s="39">
        <f>AVERAGE(D48:D51)</f>
        <v>0</v>
      </c>
      <c r="O12" s="10" t="s">
        <v>70</v>
      </c>
      <c r="P12" s="10">
        <v>-6.25</v>
      </c>
      <c r="Q12" s="74"/>
    </row>
    <row r="13" spans="1:17" ht="10.9" customHeight="1" x14ac:dyDescent="0.2">
      <c r="A13" s="166" t="s">
        <v>71</v>
      </c>
      <c r="B13" s="4"/>
      <c r="C13" s="34">
        <v>7.62</v>
      </c>
      <c r="D13" s="38">
        <f>AVERAGE(E38:E41)</f>
        <v>-6.1</v>
      </c>
      <c r="E13" s="164">
        <v>30.48</v>
      </c>
      <c r="F13" s="158"/>
      <c r="G13" s="92"/>
      <c r="H13" s="39">
        <f t="shared" si="4"/>
        <v>32</v>
      </c>
      <c r="I13" s="34">
        <v>14.75</v>
      </c>
      <c r="J13" s="23">
        <f t="shared" si="5"/>
        <v>21871.768057148001</v>
      </c>
      <c r="K13" s="37">
        <f t="shared" si="6"/>
        <v>21.871768057148003</v>
      </c>
      <c r="L13" s="35">
        <f t="shared" si="3"/>
        <v>683.49275178587504</v>
      </c>
      <c r="M13" s="39">
        <f>AVERAGE(E48:E51)</f>
        <v>0</v>
      </c>
      <c r="O13" s="10" t="s">
        <v>71</v>
      </c>
      <c r="P13" s="10">
        <v>-6.1</v>
      </c>
      <c r="Q13" s="74"/>
    </row>
    <row r="14" spans="1:17" s="56" customFormat="1" ht="12.75" x14ac:dyDescent="0.2">
      <c r="A14" s="166" t="s">
        <v>72</v>
      </c>
      <c r="B14" s="4"/>
      <c r="C14" s="34">
        <v>7.62</v>
      </c>
      <c r="D14" s="62">
        <f>AVERAGE(F38:F41)</f>
        <v>-5.0750000000000002</v>
      </c>
      <c r="E14" s="164">
        <v>30.48</v>
      </c>
      <c r="F14" s="159"/>
      <c r="G14" s="98"/>
      <c r="H14" s="39">
        <f t="shared" si="4"/>
        <v>33.024999999999999</v>
      </c>
      <c r="I14" s="34">
        <v>14.75</v>
      </c>
      <c r="J14" s="23">
        <f t="shared" si="5"/>
        <v>22572.348127728521</v>
      </c>
      <c r="K14" s="37">
        <f t="shared" si="6"/>
        <v>22.572348127728521</v>
      </c>
      <c r="L14" s="35">
        <f t="shared" si="3"/>
        <v>683.49275178587504</v>
      </c>
      <c r="M14" s="54">
        <f>AVERAGE(F48:F51)</f>
        <v>0</v>
      </c>
      <c r="N14" s="55"/>
      <c r="O14" s="35" t="s">
        <v>72</v>
      </c>
      <c r="P14" s="38">
        <v>-5.0750000000000002</v>
      </c>
    </row>
    <row r="15" spans="1:17" ht="12.75" x14ac:dyDescent="0.2">
      <c r="A15" s="166" t="s">
        <v>73</v>
      </c>
      <c r="B15" s="4"/>
      <c r="C15" s="34">
        <v>7.62</v>
      </c>
      <c r="D15" s="62">
        <f>AVERAGE(G38:G41)</f>
        <v>-5.2749999999999995</v>
      </c>
      <c r="E15" s="164">
        <v>30.48</v>
      </c>
      <c r="F15" s="159"/>
      <c r="G15" s="98"/>
      <c r="H15" s="39">
        <f t="shared" si="4"/>
        <v>32.825000000000003</v>
      </c>
      <c r="I15" s="34">
        <v>14.75</v>
      </c>
      <c r="J15" s="23">
        <f t="shared" si="5"/>
        <v>22435.64957737135</v>
      </c>
      <c r="K15" s="37">
        <f t="shared" si="6"/>
        <v>22.43564957737135</v>
      </c>
      <c r="L15" s="35">
        <f t="shared" si="3"/>
        <v>683.49275178587504</v>
      </c>
      <c r="M15" s="23">
        <f>AVERAGE(G48:G51)</f>
        <v>0</v>
      </c>
      <c r="N15" s="37"/>
      <c r="O15" s="35" t="s">
        <v>73</v>
      </c>
      <c r="P15" s="10">
        <v>-5.2749999999999995</v>
      </c>
    </row>
    <row r="16" spans="1:17" ht="12.75" x14ac:dyDescent="0.2">
      <c r="A16" s="166" t="s">
        <v>74</v>
      </c>
      <c r="B16" s="4"/>
      <c r="C16" s="34">
        <v>7.62</v>
      </c>
      <c r="D16" s="62">
        <f>AVERAGE(H38:H41)</f>
        <v>-5.05</v>
      </c>
      <c r="E16" s="164">
        <v>30.48</v>
      </c>
      <c r="F16" s="160"/>
      <c r="G16" s="97"/>
      <c r="H16" s="39">
        <f t="shared" si="4"/>
        <v>33.049999999999997</v>
      </c>
      <c r="I16" s="34">
        <v>14.75</v>
      </c>
      <c r="J16" s="23">
        <f t="shared" si="5"/>
        <v>22589.43544652317</v>
      </c>
      <c r="K16" s="37">
        <f t="shared" si="6"/>
        <v>22.589435446523169</v>
      </c>
      <c r="L16" s="35">
        <f t="shared" si="3"/>
        <v>683.49275178587504</v>
      </c>
      <c r="M16" s="15" t="e">
        <f>AVERAGE(H48:H51)</f>
        <v>#DIV/0!</v>
      </c>
      <c r="O16" s="10" t="s">
        <v>74</v>
      </c>
      <c r="P16" s="10">
        <v>-5.05</v>
      </c>
    </row>
    <row r="17" spans="1:16" ht="13.5" thickBot="1" x14ac:dyDescent="0.25">
      <c r="A17" s="167" t="s">
        <v>75</v>
      </c>
      <c r="B17" s="4"/>
      <c r="C17" s="34">
        <v>7.62</v>
      </c>
      <c r="D17" s="62">
        <f>AVERAGE(I38:I41)</f>
        <v>-5</v>
      </c>
      <c r="E17" s="164">
        <v>30.48</v>
      </c>
      <c r="F17" s="160"/>
      <c r="G17" s="97"/>
      <c r="H17" s="39">
        <f t="shared" si="4"/>
        <v>33.1</v>
      </c>
      <c r="I17" s="34">
        <v>14.75</v>
      </c>
      <c r="J17" s="23">
        <f t="shared" si="5"/>
        <v>22623.610084112464</v>
      </c>
      <c r="K17" s="37">
        <f t="shared" si="6"/>
        <v>22.623610084112464</v>
      </c>
      <c r="L17" s="35">
        <f t="shared" si="3"/>
        <v>683.49275178587504</v>
      </c>
      <c r="M17" s="15" t="e">
        <f>AVERAGE(I48:I51)</f>
        <v>#DIV/0!</v>
      </c>
      <c r="O17" s="10" t="s">
        <v>75</v>
      </c>
      <c r="P17" s="10">
        <v>-5</v>
      </c>
    </row>
    <row r="18" spans="1:16" ht="13.5" thickBot="1" x14ac:dyDescent="0.25">
      <c r="A18" s="121"/>
      <c r="B18" s="4"/>
      <c r="C18" s="34">
        <v>7.62</v>
      </c>
      <c r="D18" s="62" t="e">
        <f>AVERAGE(J38:J41)</f>
        <v>#DIV/0!</v>
      </c>
      <c r="E18" s="162"/>
      <c r="F18" s="160"/>
      <c r="G18" s="97"/>
      <c r="H18" s="39" t="e">
        <f t="shared" si="4"/>
        <v>#DIV/0!</v>
      </c>
      <c r="I18" s="34">
        <v>14.75</v>
      </c>
      <c r="J18" s="23" t="e">
        <f t="shared" si="5"/>
        <v>#DIV/0!</v>
      </c>
      <c r="K18" s="37" t="e">
        <f t="shared" si="6"/>
        <v>#DIV/0!</v>
      </c>
      <c r="L18" s="35">
        <f t="shared" si="3"/>
        <v>683.49275178587504</v>
      </c>
      <c r="M18" s="15" t="e">
        <f>AVERAGE(J48:J51)</f>
        <v>#DIV/0!</v>
      </c>
    </row>
    <row r="19" spans="1:16" s="153" customFormat="1" ht="12.75" x14ac:dyDescent="0.2">
      <c r="A19" s="142" t="s">
        <v>66</v>
      </c>
      <c r="B19" s="143"/>
      <c r="C19" s="144">
        <v>7.62</v>
      </c>
      <c r="D19" s="145" t="e">
        <f>AVERAGE(K38:K41)</f>
        <v>#DIV/0!</v>
      </c>
      <c r="E19" s="161"/>
      <c r="F19" s="147"/>
      <c r="G19" s="147"/>
      <c r="H19" s="148" t="e">
        <f t="shared" si="4"/>
        <v>#DIV/0!</v>
      </c>
      <c r="I19" s="144">
        <v>14.75</v>
      </c>
      <c r="J19" s="149" t="e">
        <f t="shared" si="5"/>
        <v>#DIV/0!</v>
      </c>
      <c r="K19" s="150" t="e">
        <f t="shared" si="6"/>
        <v>#DIV/0!</v>
      </c>
      <c r="L19" s="151">
        <f t="shared" si="3"/>
        <v>683.49275178587504</v>
      </c>
      <c r="M19" s="152" t="e">
        <f>AVERAGE(K48:K51)</f>
        <v>#DIV/0!</v>
      </c>
    </row>
    <row r="20" spans="1:16" s="153" customFormat="1" ht="12.75" x14ac:dyDescent="0.2">
      <c r="A20" s="142" t="s">
        <v>66</v>
      </c>
      <c r="B20" s="143"/>
      <c r="C20" s="144">
        <v>7.62</v>
      </c>
      <c r="D20" s="145" t="e">
        <f>AVERAGE(L38:L41)</f>
        <v>#DIV/0!</v>
      </c>
      <c r="E20" s="146"/>
      <c r="F20" s="147"/>
      <c r="G20" s="147"/>
      <c r="H20" s="148" t="e">
        <f t="shared" si="4"/>
        <v>#DIV/0!</v>
      </c>
      <c r="I20" s="144">
        <v>14.75</v>
      </c>
      <c r="J20" s="149" t="e">
        <f t="shared" si="5"/>
        <v>#DIV/0!</v>
      </c>
      <c r="K20" s="150" t="e">
        <f t="shared" si="6"/>
        <v>#DIV/0!</v>
      </c>
      <c r="L20" s="151">
        <f t="shared" si="3"/>
        <v>683.49275178587504</v>
      </c>
      <c r="M20" s="152" t="e">
        <f>AVERAGE(L48:L51)</f>
        <v>#DIV/0!</v>
      </c>
    </row>
    <row r="21" spans="1:16" s="153" customFormat="1" ht="12.75" x14ac:dyDescent="0.2">
      <c r="A21" s="142" t="s">
        <v>66</v>
      </c>
      <c r="B21" s="143"/>
      <c r="C21" s="144">
        <v>7.62</v>
      </c>
      <c r="D21" s="145" t="e">
        <f>AVERAGE(M38:M41)</f>
        <v>#DIV/0!</v>
      </c>
      <c r="E21" s="146"/>
      <c r="F21" s="147"/>
      <c r="G21" s="147"/>
      <c r="H21" s="148" t="e">
        <f t="shared" si="4"/>
        <v>#DIV/0!</v>
      </c>
      <c r="I21" s="144">
        <v>14.75</v>
      </c>
      <c r="J21" s="149" t="e">
        <f t="shared" si="5"/>
        <v>#DIV/0!</v>
      </c>
      <c r="K21" s="150" t="e">
        <f t="shared" si="6"/>
        <v>#DIV/0!</v>
      </c>
      <c r="L21" s="151">
        <f t="shared" si="3"/>
        <v>683.49275178587504</v>
      </c>
      <c r="M21" s="152" t="e">
        <f>AVERAGE(M48:M51)</f>
        <v>#DIV/0!</v>
      </c>
    </row>
    <row r="24" spans="1:16" x14ac:dyDescent="0.2">
      <c r="E24" s="40"/>
    </row>
    <row r="25" spans="1:16" ht="12.75" x14ac:dyDescent="0.2">
      <c r="C25" s="10">
        <v>402</v>
      </c>
      <c r="D25" s="10">
        <v>409</v>
      </c>
      <c r="E25" s="10">
        <v>505</v>
      </c>
      <c r="F25" s="10">
        <v>512</v>
      </c>
      <c r="G25" s="10">
        <v>601</v>
      </c>
      <c r="H25" s="10">
        <v>608</v>
      </c>
      <c r="I25" s="10">
        <v>209</v>
      </c>
      <c r="J25" s="10">
        <v>307</v>
      </c>
      <c r="K25" s="10" t="s">
        <v>67</v>
      </c>
      <c r="O25" s="53"/>
    </row>
    <row r="26" spans="1:16" s="33" customFormat="1" ht="12.75" x14ac:dyDescent="0.2">
      <c r="N26" s="67"/>
      <c r="P26" s="83"/>
    </row>
    <row r="27" spans="1:16" s="33" customFormat="1" ht="12.75" customHeight="1" x14ac:dyDescent="0.2">
      <c r="P27" s="53"/>
    </row>
    <row r="28" spans="1:16" s="33" customFormat="1" ht="12.75" x14ac:dyDescent="0.2">
      <c r="O28" s="53"/>
      <c r="P28" s="53"/>
    </row>
    <row r="29" spans="1:16" s="53" customFormat="1" ht="12.75" x14ac:dyDescent="0.2">
      <c r="O29" s="101"/>
    </row>
    <row r="30" spans="1:16" s="33" customFormat="1" ht="12.75" x14ac:dyDescent="0.2">
      <c r="O30" s="56"/>
      <c r="P30" s="53"/>
    </row>
    <row r="31" spans="1:16" s="33" customFormat="1" ht="12.75" x14ac:dyDescent="0.2">
      <c r="O31" s="10"/>
    </row>
    <row r="32" spans="1:16" s="33" customFormat="1" ht="12.75" x14ac:dyDescent="0.2">
      <c r="O32" s="121"/>
    </row>
    <row r="33" spans="1:22" s="33" customFormat="1" ht="12.75" x14ac:dyDescent="0.2">
      <c r="O33" s="10"/>
    </row>
    <row r="34" spans="1:22" s="53" customFormat="1" ht="12.75" x14ac:dyDescent="0.2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2.75" x14ac:dyDescent="0.2">
      <c r="A35" s="10"/>
      <c r="B35" s="57" t="s">
        <v>59</v>
      </c>
      <c r="C35" s="10"/>
      <c r="D35" s="10"/>
      <c r="E35" s="10"/>
      <c r="F35" s="99"/>
      <c r="G35" s="99"/>
      <c r="H35" s="10"/>
      <c r="I35" s="10"/>
      <c r="J35" s="10"/>
      <c r="K35" s="10"/>
      <c r="L35" s="10"/>
      <c r="M35" s="10"/>
      <c r="O35" s="10"/>
    </row>
    <row r="36" spans="1:22" s="33" customFormat="1" ht="13.5" thickBot="1" x14ac:dyDescent="0.25">
      <c r="A36" s="21"/>
      <c r="B36" s="177" t="s">
        <v>18</v>
      </c>
      <c r="C36" s="177"/>
      <c r="D36" s="177"/>
      <c r="E36" s="177"/>
      <c r="F36" s="177" t="s">
        <v>18</v>
      </c>
      <c r="G36" s="177"/>
      <c r="H36" s="177"/>
      <c r="I36" s="177"/>
      <c r="J36" s="177" t="s">
        <v>18</v>
      </c>
      <c r="K36" s="177"/>
      <c r="L36" s="177"/>
      <c r="M36" s="177"/>
      <c r="O36" s="10"/>
    </row>
    <row r="37" spans="1:22" s="33" customFormat="1" ht="12.75" customHeight="1" thickBot="1" x14ac:dyDescent="0.25">
      <c r="A37" s="21" t="s">
        <v>13</v>
      </c>
      <c r="B37" s="165" t="s">
        <v>68</v>
      </c>
      <c r="C37" s="166" t="s">
        <v>69</v>
      </c>
      <c r="D37" s="166" t="s">
        <v>70</v>
      </c>
      <c r="E37" s="166" t="s">
        <v>71</v>
      </c>
      <c r="F37" s="166" t="s">
        <v>72</v>
      </c>
      <c r="G37" s="166" t="s">
        <v>73</v>
      </c>
      <c r="H37" s="166" t="s">
        <v>74</v>
      </c>
      <c r="I37" s="167" t="s">
        <v>75</v>
      </c>
      <c r="J37" s="120"/>
      <c r="K37" s="120" t="s">
        <v>66</v>
      </c>
      <c r="L37" s="120" t="s">
        <v>66</v>
      </c>
      <c r="M37" s="120" t="s">
        <v>66</v>
      </c>
      <c r="O37" s="10"/>
    </row>
    <row r="38" spans="1:22" s="33" customFormat="1" ht="13.5" thickBot="1" x14ac:dyDescent="0.25">
      <c r="A38" s="12">
        <v>1</v>
      </c>
      <c r="B38" s="10">
        <v>-4.95</v>
      </c>
      <c r="C38" s="10">
        <v>-4.6500000000000004</v>
      </c>
      <c r="D38" s="10">
        <v>-6.25</v>
      </c>
      <c r="E38" s="10">
        <v>-6.1</v>
      </c>
      <c r="F38" s="38">
        <v>-5.0750000000000002</v>
      </c>
      <c r="G38" s="10">
        <v>-5.2749999999999995</v>
      </c>
      <c r="H38" s="10">
        <v>-5.05</v>
      </c>
      <c r="I38" s="10">
        <v>-5</v>
      </c>
      <c r="J38" s="157"/>
      <c r="K38" s="154"/>
      <c r="L38" s="132"/>
      <c r="M38" s="132"/>
      <c r="O38" s="10"/>
    </row>
    <row r="39" spans="1:22" s="53" customFormat="1" ht="12.75" x14ac:dyDescent="0.2">
      <c r="A39" s="12">
        <v>2</v>
      </c>
      <c r="B39" s="155"/>
      <c r="C39" s="155"/>
      <c r="D39" s="155"/>
      <c r="E39" s="155"/>
      <c r="F39" s="155"/>
      <c r="G39" s="156"/>
      <c r="H39" s="156"/>
      <c r="I39" s="156"/>
      <c r="J39" s="156"/>
      <c r="K39" s="132"/>
      <c r="L39" s="132"/>
      <c r="M39" s="132"/>
      <c r="O39" s="10"/>
    </row>
    <row r="40" spans="1:22" s="33" customFormat="1" ht="12.75" x14ac:dyDescent="0.2">
      <c r="A40" s="12">
        <v>3</v>
      </c>
      <c r="B40" s="93"/>
      <c r="C40" s="93"/>
      <c r="D40" s="93"/>
      <c r="E40" s="93"/>
      <c r="F40" s="93"/>
      <c r="G40" s="132"/>
      <c r="H40" s="132"/>
      <c r="I40" s="132"/>
      <c r="J40" s="132"/>
      <c r="K40" s="132"/>
      <c r="L40" s="132"/>
      <c r="M40" s="132"/>
      <c r="N40" s="53"/>
      <c r="O40" s="10"/>
      <c r="P40" s="53"/>
    </row>
    <row r="41" spans="1:22" s="33" customFormat="1" ht="12.75" x14ac:dyDescent="0.2">
      <c r="A41" s="12">
        <v>4</v>
      </c>
      <c r="B41" s="93"/>
      <c r="C41" s="93"/>
      <c r="D41" s="93"/>
      <c r="E41" s="93"/>
      <c r="F41" s="93"/>
      <c r="G41" s="132"/>
      <c r="H41" s="132"/>
      <c r="I41" s="132"/>
      <c r="J41" s="132"/>
      <c r="K41" s="132"/>
      <c r="L41" s="132"/>
      <c r="M41" s="132"/>
      <c r="N41" s="53"/>
      <c r="O41" s="10"/>
      <c r="P41" s="53"/>
    </row>
    <row r="42" spans="1:22" s="33" customFormat="1" ht="12.75" x14ac:dyDescent="0.2">
      <c r="A42" s="43" t="s">
        <v>14</v>
      </c>
      <c r="B42" s="42">
        <f>AVERAGE(B38:B41)</f>
        <v>-4.95</v>
      </c>
      <c r="C42" s="42">
        <f t="shared" ref="C42:M42" si="7">AVERAGE(C38:C41)</f>
        <v>-4.6500000000000004</v>
      </c>
      <c r="D42" s="42">
        <f>AVERAGE(D38:D41)</f>
        <v>-6.25</v>
      </c>
      <c r="E42" s="42">
        <f t="shared" si="7"/>
        <v>-6.1</v>
      </c>
      <c r="F42" s="43">
        <f t="shared" si="7"/>
        <v>-5.0750000000000002</v>
      </c>
      <c r="G42" s="40">
        <f t="shared" si="7"/>
        <v>-5.2749999999999995</v>
      </c>
      <c r="H42" s="40">
        <f t="shared" si="7"/>
        <v>-5.05</v>
      </c>
      <c r="I42" s="40">
        <f t="shared" si="7"/>
        <v>-5</v>
      </c>
      <c r="J42" s="40" t="e">
        <f t="shared" si="7"/>
        <v>#DIV/0!</v>
      </c>
      <c r="K42" s="40" t="e">
        <f t="shared" si="7"/>
        <v>#DIV/0!</v>
      </c>
      <c r="L42" s="40" t="e">
        <f t="shared" si="7"/>
        <v>#DIV/0!</v>
      </c>
      <c r="M42" s="40" t="e">
        <f t="shared" si="7"/>
        <v>#DIV/0!</v>
      </c>
      <c r="N42" s="53"/>
      <c r="O42" s="10"/>
      <c r="P42" s="53"/>
    </row>
    <row r="43" spans="1:22" s="33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/>
      <c r="P43" s="53"/>
    </row>
    <row r="44" spans="1:22" x14ac:dyDescent="0.2">
      <c r="G44" s="43"/>
      <c r="H44" s="42"/>
      <c r="I44" s="42"/>
      <c r="J44" s="42"/>
      <c r="K44" s="42"/>
      <c r="N44" s="101"/>
      <c r="P44" s="101"/>
      <c r="Q44" s="43"/>
      <c r="R44" s="43"/>
      <c r="S44" s="43"/>
      <c r="T44" s="43"/>
      <c r="U44" s="43"/>
      <c r="V44" s="43"/>
    </row>
    <row r="45" spans="1:22" s="56" customFormat="1" ht="12.75" x14ac:dyDescent="0.2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/>
    </row>
    <row r="46" spans="1:22" x14ac:dyDescent="0.2">
      <c r="A46" s="21"/>
      <c r="B46" s="96" t="s">
        <v>60</v>
      </c>
      <c r="C46" s="96"/>
      <c r="D46" s="96"/>
      <c r="E46" s="96"/>
      <c r="F46" s="176" t="s">
        <v>18</v>
      </c>
      <c r="G46" s="176"/>
      <c r="H46" s="176"/>
      <c r="I46" s="176"/>
      <c r="J46" s="176" t="s">
        <v>18</v>
      </c>
      <c r="K46" s="176"/>
      <c r="L46" s="176"/>
      <c r="M46" s="176"/>
    </row>
    <row r="47" spans="1:22" s="121" customFormat="1" x14ac:dyDescent="0.2">
      <c r="A47" s="118" t="s">
        <v>13</v>
      </c>
      <c r="B47" s="119">
        <v>402</v>
      </c>
      <c r="C47" s="119">
        <v>409</v>
      </c>
      <c r="D47" s="119">
        <v>505</v>
      </c>
      <c r="E47" s="119">
        <v>512</v>
      </c>
      <c r="F47" s="120">
        <v>601</v>
      </c>
      <c r="G47" s="120">
        <v>608</v>
      </c>
      <c r="H47" s="120">
        <v>209</v>
      </c>
      <c r="I47" s="120">
        <v>307</v>
      </c>
      <c r="J47" s="120" t="s">
        <v>67</v>
      </c>
      <c r="K47" s="120" t="s">
        <v>66</v>
      </c>
      <c r="L47" s="120" t="s">
        <v>66</v>
      </c>
      <c r="M47" s="120" t="s">
        <v>66</v>
      </c>
      <c r="O47" s="10"/>
    </row>
    <row r="48" spans="1:22" x14ac:dyDescent="0.2">
      <c r="A48" s="12">
        <v>1</v>
      </c>
      <c r="B48" s="93">
        <v>0</v>
      </c>
      <c r="C48" s="93">
        <v>0</v>
      </c>
      <c r="D48" s="93">
        <v>0</v>
      </c>
      <c r="E48" s="93">
        <v>0</v>
      </c>
      <c r="F48" s="113">
        <v>0</v>
      </c>
      <c r="G48" s="113">
        <v>0</v>
      </c>
      <c r="H48" s="113"/>
      <c r="I48" s="114"/>
      <c r="J48" s="114"/>
      <c r="K48" s="114"/>
      <c r="L48" s="114"/>
      <c r="M48" s="114"/>
    </row>
    <row r="49" spans="1:13" x14ac:dyDescent="0.2">
      <c r="A49" s="12">
        <v>2</v>
      </c>
      <c r="B49" s="93"/>
      <c r="C49" s="93"/>
      <c r="D49" s="93"/>
      <c r="E49" s="93"/>
      <c r="F49" s="114"/>
      <c r="G49" s="115"/>
      <c r="H49" s="115"/>
      <c r="I49" s="114"/>
      <c r="J49" s="114"/>
      <c r="K49" s="114"/>
      <c r="L49" s="114"/>
      <c r="M49" s="114"/>
    </row>
    <row r="50" spans="1:13" x14ac:dyDescent="0.2">
      <c r="A50" s="12">
        <v>3</v>
      </c>
      <c r="B50" s="93"/>
      <c r="C50" s="93"/>
      <c r="D50" s="93"/>
      <c r="E50" s="93"/>
      <c r="F50" s="114"/>
      <c r="G50" s="114"/>
      <c r="H50" s="114"/>
      <c r="I50" s="114"/>
      <c r="J50" s="114"/>
      <c r="K50" s="114"/>
      <c r="L50" s="114"/>
      <c r="M50" s="114"/>
    </row>
    <row r="51" spans="1:13" x14ac:dyDescent="0.2">
      <c r="A51" s="12">
        <v>4</v>
      </c>
      <c r="B51" s="100"/>
      <c r="C51" s="93"/>
      <c r="D51" s="93"/>
      <c r="E51" s="93"/>
      <c r="F51" s="114"/>
      <c r="G51" s="114"/>
      <c r="H51" s="114"/>
      <c r="I51" s="114"/>
      <c r="J51" s="114"/>
      <c r="K51" s="114"/>
      <c r="L51" s="114"/>
      <c r="M51" s="114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3">
        <f t="shared" si="8"/>
        <v>0</v>
      </c>
      <c r="G52" s="133">
        <f t="shared" si="8"/>
        <v>0</v>
      </c>
      <c r="H52" s="133" t="e">
        <f t="shared" si="8"/>
        <v>#DIV/0!</v>
      </c>
      <c r="I52" s="133" t="e">
        <f t="shared" si="8"/>
        <v>#DIV/0!</v>
      </c>
      <c r="J52" s="133" t="e">
        <f t="shared" si="8"/>
        <v>#DIV/0!</v>
      </c>
      <c r="K52" s="133" t="e">
        <f t="shared" si="8"/>
        <v>#DIV/0!</v>
      </c>
      <c r="L52" s="133" t="e">
        <f t="shared" si="8"/>
        <v>#DIV/0!</v>
      </c>
      <c r="M52" s="133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2.75" x14ac:dyDescent="0.2">
      <c r="I56" s="33" t="s">
        <v>24</v>
      </c>
      <c r="J56" s="33"/>
      <c r="K56" s="178" t="s">
        <v>25</v>
      </c>
      <c r="L56" s="178"/>
      <c r="M56" s="178"/>
    </row>
    <row r="57" spans="1:13" ht="12.75" x14ac:dyDescent="0.2">
      <c r="A57" s="33" t="s">
        <v>27</v>
      </c>
      <c r="B57" s="33"/>
      <c r="C57" s="33"/>
      <c r="D57" s="33"/>
      <c r="E57" s="33"/>
      <c r="I57" s="174" t="s">
        <v>39</v>
      </c>
      <c r="J57" s="174" t="s">
        <v>61</v>
      </c>
      <c r="K57" s="175" t="s">
        <v>41</v>
      </c>
      <c r="L57" s="175"/>
      <c r="M57" s="175" t="s">
        <v>26</v>
      </c>
    </row>
    <row r="58" spans="1:13" x14ac:dyDescent="0.2">
      <c r="A58" s="174" t="s">
        <v>39</v>
      </c>
      <c r="B58" s="174" t="s">
        <v>61</v>
      </c>
      <c r="C58" s="175" t="s">
        <v>41</v>
      </c>
      <c r="D58" s="175"/>
      <c r="E58" s="175" t="s">
        <v>26</v>
      </c>
      <c r="I58" s="174"/>
      <c r="J58" s="174"/>
      <c r="K58" s="94">
        <v>1</v>
      </c>
      <c r="L58" s="94">
        <v>2</v>
      </c>
      <c r="M58" s="175"/>
    </row>
    <row r="59" spans="1:13" x14ac:dyDescent="0.2">
      <c r="A59" s="174"/>
      <c r="B59" s="174"/>
      <c r="C59" s="94">
        <v>1</v>
      </c>
      <c r="D59" s="94">
        <v>2</v>
      </c>
      <c r="E59" s="175"/>
      <c r="I59" s="78"/>
      <c r="J59" s="78"/>
      <c r="K59" s="79"/>
      <c r="L59" s="79"/>
      <c r="M59" s="80"/>
    </row>
    <row r="60" spans="1:13" ht="12.75" x14ac:dyDescent="0.2">
      <c r="A60" s="78"/>
      <c r="B60" s="78"/>
      <c r="C60" s="79"/>
      <c r="D60" s="79"/>
      <c r="E60" s="80"/>
      <c r="I60" s="12">
        <v>106</v>
      </c>
      <c r="J60" s="4"/>
      <c r="K60" s="127"/>
      <c r="L60" s="127"/>
      <c r="M60" s="128" t="e">
        <f t="shared" ref="M60:M71" si="9">AVERAGE(K60:L60)</f>
        <v>#DIV/0!</v>
      </c>
    </row>
    <row r="61" spans="1:13" ht="12.75" x14ac:dyDescent="0.2">
      <c r="A61" s="12">
        <v>106</v>
      </c>
      <c r="B61" s="4"/>
      <c r="C61" s="127"/>
      <c r="D61" s="127"/>
      <c r="E61" s="128" t="e">
        <f t="shared" ref="E61:E72" si="10">AVERAGE(C61:D61)</f>
        <v>#DIV/0!</v>
      </c>
      <c r="I61" s="12">
        <v>107</v>
      </c>
      <c r="J61" s="4"/>
      <c r="K61" s="127"/>
      <c r="L61" s="127"/>
      <c r="M61" s="128" t="e">
        <f t="shared" si="9"/>
        <v>#DIV/0!</v>
      </c>
    </row>
    <row r="62" spans="1:13" ht="12.75" x14ac:dyDescent="0.2">
      <c r="A62" s="12">
        <v>107</v>
      </c>
      <c r="B62" s="4"/>
      <c r="C62" s="127"/>
      <c r="D62" s="127"/>
      <c r="E62" s="128" t="e">
        <f t="shared" si="10"/>
        <v>#DIV/0!</v>
      </c>
      <c r="I62" s="12">
        <v>204</v>
      </c>
      <c r="J62" s="4"/>
      <c r="K62" s="127"/>
      <c r="L62" s="127"/>
      <c r="M62" s="128" t="e">
        <f t="shared" si="9"/>
        <v>#DIV/0!</v>
      </c>
    </row>
    <row r="63" spans="1:13" ht="12.75" x14ac:dyDescent="0.2">
      <c r="A63" s="12">
        <v>204</v>
      </c>
      <c r="B63" s="4"/>
      <c r="C63" s="127"/>
      <c r="D63" s="127"/>
      <c r="E63" s="128" t="e">
        <f t="shared" si="10"/>
        <v>#DIV/0!</v>
      </c>
      <c r="I63" s="12">
        <v>209</v>
      </c>
      <c r="J63" s="4"/>
      <c r="K63" s="127"/>
      <c r="L63" s="127"/>
      <c r="M63" s="128" t="e">
        <f t="shared" si="9"/>
        <v>#DIV/0!</v>
      </c>
    </row>
    <row r="64" spans="1:13" ht="12.75" x14ac:dyDescent="0.2">
      <c r="A64" s="12">
        <v>209</v>
      </c>
      <c r="B64" s="4"/>
      <c r="C64" s="127"/>
      <c r="D64" s="127"/>
      <c r="E64" s="128" t="e">
        <f t="shared" si="10"/>
        <v>#DIV/0!</v>
      </c>
      <c r="I64" s="102">
        <v>302</v>
      </c>
      <c r="J64" s="4"/>
      <c r="K64" s="130"/>
      <c r="L64" s="130"/>
      <c r="M64" s="121" t="e">
        <f t="shared" si="9"/>
        <v>#DIV/0!</v>
      </c>
    </row>
    <row r="65" spans="1:13" ht="12.75" x14ac:dyDescent="0.2">
      <c r="A65" s="102">
        <v>302</v>
      </c>
      <c r="B65" s="4"/>
      <c r="C65" s="127"/>
      <c r="D65" s="127"/>
      <c r="E65" s="129" t="e">
        <f t="shared" si="10"/>
        <v>#DIV/0!</v>
      </c>
      <c r="I65" s="102">
        <v>307</v>
      </c>
      <c r="J65" s="4"/>
      <c r="K65" s="130"/>
      <c r="L65" s="130"/>
      <c r="M65" s="121" t="e">
        <f t="shared" si="9"/>
        <v>#DIV/0!</v>
      </c>
    </row>
    <row r="66" spans="1:13" ht="12.75" x14ac:dyDescent="0.2">
      <c r="A66" s="102">
        <v>307</v>
      </c>
      <c r="B66" s="4"/>
      <c r="C66" s="130"/>
      <c r="D66" s="130"/>
      <c r="E66" s="131" t="e">
        <f t="shared" si="10"/>
        <v>#DIV/0!</v>
      </c>
      <c r="I66" s="102" t="s">
        <v>63</v>
      </c>
      <c r="J66" s="4"/>
      <c r="K66" s="130"/>
      <c r="L66" s="130"/>
      <c r="M66" s="121" t="e">
        <f t="shared" si="9"/>
        <v>#DIV/0!</v>
      </c>
    </row>
    <row r="67" spans="1:13" ht="12.75" x14ac:dyDescent="0.2">
      <c r="A67" s="102" t="s">
        <v>63</v>
      </c>
      <c r="B67" s="4"/>
      <c r="C67" s="130"/>
      <c r="D67" s="130"/>
      <c r="E67" s="121" t="e">
        <f t="shared" si="10"/>
        <v>#DIV/0!</v>
      </c>
      <c r="I67" s="102" t="s">
        <v>64</v>
      </c>
      <c r="J67" s="4"/>
      <c r="K67" s="130"/>
      <c r="L67" s="130"/>
      <c r="M67" s="121" t="e">
        <f t="shared" si="9"/>
        <v>#DIV/0!</v>
      </c>
    </row>
    <row r="68" spans="1:13" ht="12.75" x14ac:dyDescent="0.2">
      <c r="A68" s="102" t="s">
        <v>64</v>
      </c>
      <c r="B68" s="4"/>
      <c r="C68" s="130"/>
      <c r="D68" s="130"/>
      <c r="E68" s="121" t="e">
        <f t="shared" si="10"/>
        <v>#DIV/0!</v>
      </c>
      <c r="I68" s="12" t="s">
        <v>65</v>
      </c>
      <c r="J68" s="4"/>
      <c r="K68" s="130"/>
      <c r="L68" s="130"/>
      <c r="M68" s="121" t="e">
        <f t="shared" si="9"/>
        <v>#DIV/0!</v>
      </c>
    </row>
    <row r="69" spans="1:13" ht="12.75" x14ac:dyDescent="0.2">
      <c r="A69" s="12" t="s">
        <v>65</v>
      </c>
      <c r="B69" s="4"/>
      <c r="C69" s="130"/>
      <c r="D69" s="130"/>
      <c r="E69" s="121" t="e">
        <f t="shared" si="10"/>
        <v>#DIV/0!</v>
      </c>
      <c r="I69" s="142" t="s">
        <v>66</v>
      </c>
      <c r="J69" s="4"/>
      <c r="K69" s="130"/>
      <c r="L69" s="130"/>
      <c r="M69" s="121" t="e">
        <f t="shared" si="9"/>
        <v>#DIV/0!</v>
      </c>
    </row>
    <row r="70" spans="1:13" ht="12.75" x14ac:dyDescent="0.2">
      <c r="A70" s="142" t="s">
        <v>66</v>
      </c>
      <c r="B70" s="4"/>
      <c r="C70" s="130"/>
      <c r="D70" s="130"/>
      <c r="E70" s="121" t="e">
        <f t="shared" si="10"/>
        <v>#DIV/0!</v>
      </c>
      <c r="I70" s="142" t="s">
        <v>66</v>
      </c>
      <c r="J70" s="4"/>
      <c r="K70" s="130"/>
      <c r="L70" s="130"/>
      <c r="M70" s="121" t="e">
        <f t="shared" si="9"/>
        <v>#DIV/0!</v>
      </c>
    </row>
    <row r="71" spans="1:13" ht="12.75" x14ac:dyDescent="0.2">
      <c r="A71" s="142" t="s">
        <v>66</v>
      </c>
      <c r="B71" s="4"/>
      <c r="C71" s="130"/>
      <c r="D71" s="130"/>
      <c r="E71" s="121" t="e">
        <f t="shared" si="10"/>
        <v>#DIV/0!</v>
      </c>
      <c r="I71" s="142" t="s">
        <v>66</v>
      </c>
      <c r="J71" s="4"/>
      <c r="K71" s="130"/>
      <c r="L71" s="130"/>
      <c r="M71" s="121" t="e">
        <f t="shared" si="9"/>
        <v>#DIV/0!</v>
      </c>
    </row>
    <row r="72" spans="1:13" ht="12.75" x14ac:dyDescent="0.2">
      <c r="A72" s="142" t="s">
        <v>66</v>
      </c>
      <c r="B72" s="4"/>
      <c r="C72" s="130"/>
      <c r="D72" s="130"/>
      <c r="E72" s="121" t="e">
        <f t="shared" si="10"/>
        <v>#DIV/0!</v>
      </c>
    </row>
    <row r="73" spans="1:13" x14ac:dyDescent="0.2">
      <c r="A73" s="95" t="s">
        <v>50</v>
      </c>
    </row>
  </sheetData>
  <mergeCells count="17">
    <mergeCell ref="Q6:Q7"/>
    <mergeCell ref="B36:E36"/>
    <mergeCell ref="C6:H6"/>
    <mergeCell ref="J6:K6"/>
    <mergeCell ref="F46:I46"/>
    <mergeCell ref="J57:J58"/>
    <mergeCell ref="K57:L57"/>
    <mergeCell ref="J46:M46"/>
    <mergeCell ref="F36:I36"/>
    <mergeCell ref="J36:M36"/>
    <mergeCell ref="K56:M56"/>
    <mergeCell ref="M57:M58"/>
    <mergeCell ref="A58:A59"/>
    <mergeCell ref="B58:B59"/>
    <mergeCell ref="C58:D58"/>
    <mergeCell ref="E58:E59"/>
    <mergeCell ref="I57:I5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zoomScaleNormal="100" zoomScalePageLayoutView="150" workbookViewId="0">
      <selection activeCell="V22" sqref="V22:Y23"/>
    </sheetView>
  </sheetViews>
  <sheetFormatPr defaultColWidth="8.7109375" defaultRowHeight="12.75" outlineLevelCol="3" x14ac:dyDescent="0.2"/>
  <cols>
    <col min="2" max="2" width="8.7109375" style="108"/>
    <col min="7" max="8" width="8.7109375" customWidth="1" outlineLevel="1"/>
    <col min="9" max="9" width="8.7109375" customWidth="1" outlineLevel="3"/>
    <col min="10" max="13" width="10" customWidth="1" outlineLevel="3"/>
    <col min="14" max="14" width="11.140625" customWidth="1"/>
    <col min="15" max="15" width="11.42578125" customWidth="1"/>
    <col min="16" max="16" width="12.7109375" customWidth="1"/>
    <col min="26" max="27" width="8.7109375" style="1"/>
    <col min="28" max="28" width="8.7109375" customWidth="1"/>
  </cols>
  <sheetData>
    <row r="1" spans="1:28" x14ac:dyDescent="0.2">
      <c r="A1" s="182" t="s">
        <v>56</v>
      </c>
      <c r="B1" s="182"/>
      <c r="C1" s="182"/>
      <c r="D1" s="182"/>
      <c r="E1" s="182"/>
      <c r="F1" s="182"/>
    </row>
    <row r="2" spans="1:28" ht="13.5" thickBot="1" x14ac:dyDescent="0.25">
      <c r="A2" s="4" t="s">
        <v>53</v>
      </c>
      <c r="B2" s="108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88" t="s">
        <v>16</v>
      </c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81"/>
      <c r="AA2" s="81"/>
      <c r="AB2" s="30" t="s">
        <v>0</v>
      </c>
    </row>
    <row r="3" spans="1:28" ht="22.5" customHeight="1" x14ac:dyDescent="0.2">
      <c r="A3" s="168" t="s">
        <v>62</v>
      </c>
      <c r="B3" s="171"/>
      <c r="C3" s="169" t="s">
        <v>68</v>
      </c>
      <c r="D3" s="106">
        <v>0</v>
      </c>
      <c r="E3" s="123">
        <v>5.1207000000000003</v>
      </c>
      <c r="F3" s="123">
        <v>0.36383000000000004</v>
      </c>
      <c r="H3" s="191" t="s">
        <v>39</v>
      </c>
      <c r="I3" s="191" t="s">
        <v>61</v>
      </c>
      <c r="J3" s="193" t="s">
        <v>28</v>
      </c>
      <c r="K3" s="193"/>
      <c r="L3" s="193"/>
      <c r="M3" s="44"/>
      <c r="N3" s="186" t="s">
        <v>48</v>
      </c>
      <c r="O3" s="190"/>
      <c r="P3" s="190"/>
      <c r="Q3" s="190"/>
      <c r="R3" s="187" t="s">
        <v>47</v>
      </c>
      <c r="S3" s="187"/>
      <c r="T3" s="187"/>
      <c r="U3" s="187"/>
      <c r="V3" s="186" t="s">
        <v>42</v>
      </c>
      <c r="W3" s="186"/>
      <c r="X3" s="186"/>
      <c r="Y3" s="186"/>
      <c r="Z3" s="82"/>
      <c r="AA3" s="82"/>
    </row>
    <row r="4" spans="1:28" x14ac:dyDescent="0.2">
      <c r="A4" s="168" t="s">
        <v>62</v>
      </c>
      <c r="B4" s="172"/>
      <c r="C4" s="169" t="s">
        <v>68</v>
      </c>
      <c r="D4" s="106">
        <v>21</v>
      </c>
      <c r="E4" s="123">
        <v>8.8758999999999997</v>
      </c>
      <c r="F4" s="123">
        <v>0.28059000000000006</v>
      </c>
      <c r="H4" s="191"/>
      <c r="I4" s="191"/>
      <c r="J4" s="36"/>
      <c r="K4" s="36"/>
      <c r="L4" s="36"/>
      <c r="M4" s="36"/>
      <c r="N4" s="190"/>
      <c r="O4" s="190"/>
      <c r="P4" s="190"/>
      <c r="Q4" s="190"/>
      <c r="R4" s="187"/>
      <c r="S4" s="187"/>
      <c r="T4" s="187"/>
      <c r="U4" s="187"/>
      <c r="V4" s="186"/>
      <c r="W4" s="186"/>
      <c r="X4" s="186"/>
      <c r="Y4" s="186"/>
      <c r="Z4" s="24"/>
      <c r="AA4" s="65"/>
      <c r="AB4" s="25"/>
    </row>
    <row r="5" spans="1:28" x14ac:dyDescent="0.2">
      <c r="A5" s="168" t="s">
        <v>62</v>
      </c>
      <c r="B5" s="172"/>
      <c r="C5" s="169" t="s">
        <v>68</v>
      </c>
      <c r="D5" s="106">
        <v>42</v>
      </c>
      <c r="E5" s="123">
        <v>13.017300000000001</v>
      </c>
      <c r="F5" s="123">
        <v>0.27162000000000003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5" thickBot="1" x14ac:dyDescent="0.25">
      <c r="A6" s="168" t="s">
        <v>62</v>
      </c>
      <c r="B6" s="172"/>
      <c r="C6" s="169" t="s">
        <v>68</v>
      </c>
      <c r="D6" s="106">
        <v>63</v>
      </c>
      <c r="E6" s="123">
        <v>16.514700000000001</v>
      </c>
      <c r="F6" s="123">
        <v>0.2798000000000001</v>
      </c>
      <c r="J6" s="183" t="s">
        <v>56</v>
      </c>
      <c r="K6" s="183"/>
      <c r="L6" s="183"/>
      <c r="M6" s="18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65"/>
    </row>
    <row r="7" spans="1:28" x14ac:dyDescent="0.2">
      <c r="A7" s="168" t="s">
        <v>62</v>
      </c>
      <c r="B7" s="172"/>
      <c r="C7" s="169" t="s">
        <v>69</v>
      </c>
      <c r="D7" s="106">
        <v>0</v>
      </c>
      <c r="E7" s="123">
        <v>7.9693000000000005</v>
      </c>
      <c r="F7" s="123">
        <v>0.27962000000000004</v>
      </c>
      <c r="H7" s="165" t="s">
        <v>68</v>
      </c>
      <c r="I7" s="4"/>
      <c r="J7" s="90">
        <v>23.6</v>
      </c>
      <c r="K7" s="90">
        <v>26.4</v>
      </c>
      <c r="L7" s="90">
        <v>26.7</v>
      </c>
      <c r="M7" s="90">
        <v>30.6</v>
      </c>
      <c r="N7" s="85">
        <f>F3</f>
        <v>0.36383000000000004</v>
      </c>
      <c r="O7" s="85">
        <f>F4</f>
        <v>0.28059000000000006</v>
      </c>
      <c r="P7" s="85">
        <f>F5</f>
        <v>0.27162000000000003</v>
      </c>
      <c r="Q7" s="85">
        <f>F6</f>
        <v>0.2798000000000001</v>
      </c>
      <c r="R7" s="6">
        <f>(((760*22.4)*(273+J7))/(760*273))</f>
        <v>24.336410256410257</v>
      </c>
      <c r="S7" s="6">
        <f t="shared" ref="R7:U18" si="0">(((760*22.4)*(273+K7))/(760*273))</f>
        <v>24.566153846153846</v>
      </c>
      <c r="T7" s="6">
        <f t="shared" si="0"/>
        <v>24.590769230769229</v>
      </c>
      <c r="U7" s="6">
        <f t="shared" si="0"/>
        <v>24.910769230769233</v>
      </c>
      <c r="V7" s="61">
        <f>((N7/(R7))*(0.044014))</f>
        <v>6.5801050571055297E-4</v>
      </c>
      <c r="W7" s="61">
        <f t="shared" ref="W7:Y7" si="1">((O7/(S7))*(0.044014))</f>
        <v>5.0271964986222458E-4</v>
      </c>
      <c r="X7" s="61">
        <f t="shared" si="1"/>
        <v>4.8616139527027033E-4</v>
      </c>
      <c r="Y7" s="61">
        <f t="shared" si="1"/>
        <v>4.9436920578063259E-4</v>
      </c>
      <c r="AA7" s="90">
        <v>23.6</v>
      </c>
    </row>
    <row r="8" spans="1:28" x14ac:dyDescent="0.2">
      <c r="A8" s="168" t="s">
        <v>62</v>
      </c>
      <c r="B8" s="172"/>
      <c r="C8" s="169" t="s">
        <v>69</v>
      </c>
      <c r="D8" s="106">
        <v>21</v>
      </c>
      <c r="E8" s="123">
        <v>14.789100000000001</v>
      </c>
      <c r="F8" s="123">
        <v>0.29710000000000009</v>
      </c>
      <c r="H8" s="166" t="s">
        <v>69</v>
      </c>
      <c r="I8" s="4"/>
      <c r="J8" s="90">
        <v>23.5</v>
      </c>
      <c r="K8" s="90">
        <v>25.4</v>
      </c>
      <c r="L8" s="90">
        <v>25.3</v>
      </c>
      <c r="M8" s="90">
        <v>26.8</v>
      </c>
      <c r="N8" s="85">
        <f>F7</f>
        <v>0.27962000000000004</v>
      </c>
      <c r="O8" s="85">
        <f>F8</f>
        <v>0.29710000000000009</v>
      </c>
      <c r="P8" s="85">
        <f>F9</f>
        <v>0.30943000000000004</v>
      </c>
      <c r="Q8" s="85">
        <f>F10</f>
        <v>0.31843000000000005</v>
      </c>
      <c r="R8" s="6">
        <f>(((760*22.4)*(273+J8))/(760*273))</f>
        <v>24.328205128205127</v>
      </c>
      <c r="S8" s="6">
        <f t="shared" si="0"/>
        <v>24.484102564102564</v>
      </c>
      <c r="T8" s="6">
        <f t="shared" si="0"/>
        <v>24.475897435897437</v>
      </c>
      <c r="U8" s="6">
        <f t="shared" si="0"/>
        <v>24.59897435897436</v>
      </c>
      <c r="V8" s="61">
        <f t="shared" ref="V8:V9" si="2">((N8/(R8))*(0.044014))</f>
        <v>5.0588173747892083E-4</v>
      </c>
      <c r="W8" s="61">
        <f t="shared" ref="W8:W18" si="3">((O8/(S8))*(0.044014))</f>
        <v>5.3408367187500016E-4</v>
      </c>
      <c r="X8" s="61">
        <f t="shared" ref="X8:X18" si="4">((P8/(T8))*(0.044014))</f>
        <v>5.564352463752933E-4</v>
      </c>
      <c r="Y8" s="61">
        <f t="shared" ref="Y8:Y18" si="5">((Q8/(U8))*(0.044014))</f>
        <v>5.6975456844146101E-4</v>
      </c>
      <c r="AA8" s="90">
        <v>26.4</v>
      </c>
    </row>
    <row r="9" spans="1:28" x14ac:dyDescent="0.2">
      <c r="A9" s="168" t="s">
        <v>62</v>
      </c>
      <c r="B9" s="172"/>
      <c r="C9" s="169" t="s">
        <v>69</v>
      </c>
      <c r="D9" s="106">
        <v>42</v>
      </c>
      <c r="E9" s="123">
        <v>22.117699999999999</v>
      </c>
      <c r="F9" s="123">
        <v>0.30943000000000004</v>
      </c>
      <c r="H9" s="166" t="s">
        <v>70</v>
      </c>
      <c r="I9" s="4"/>
      <c r="J9" s="90">
        <v>23.4</v>
      </c>
      <c r="K9" s="90">
        <v>25.7</v>
      </c>
      <c r="L9" s="90">
        <v>25.9</v>
      </c>
      <c r="M9" s="90">
        <v>28.5</v>
      </c>
      <c r="N9" s="85">
        <f>F11</f>
        <v>0.28034000000000009</v>
      </c>
      <c r="O9" s="85">
        <f>F12</f>
        <v>0.28405000000000008</v>
      </c>
      <c r="P9" s="85">
        <f>F13</f>
        <v>0.27581000000000006</v>
      </c>
      <c r="Q9" s="85">
        <f>F14</f>
        <v>0.28051000000000009</v>
      </c>
      <c r="R9" s="6">
        <f t="shared" si="0"/>
        <v>24.319999999999997</v>
      </c>
      <c r="S9" s="6">
        <f t="shared" si="0"/>
        <v>24.508717948717948</v>
      </c>
      <c r="T9" s="6">
        <f t="shared" si="0"/>
        <v>24.525128205128205</v>
      </c>
      <c r="U9" s="6">
        <f t="shared" si="0"/>
        <v>24.738461538461539</v>
      </c>
      <c r="V9" s="61">
        <f t="shared" si="2"/>
        <v>5.0735545888157913E-4</v>
      </c>
      <c r="W9" s="61">
        <f t="shared" si="3"/>
        <v>5.1011141121945112E-4</v>
      </c>
      <c r="X9" s="61">
        <f t="shared" si="4"/>
        <v>4.9498217658497834E-4</v>
      </c>
      <c r="Y9" s="61">
        <f t="shared" si="5"/>
        <v>4.9907578613184091E-4</v>
      </c>
      <c r="AA9" s="90">
        <v>26.7</v>
      </c>
    </row>
    <row r="10" spans="1:28" x14ac:dyDescent="0.2">
      <c r="A10" s="168" t="s">
        <v>62</v>
      </c>
      <c r="B10" s="172"/>
      <c r="C10" s="169" t="s">
        <v>69</v>
      </c>
      <c r="D10" s="106">
        <v>63</v>
      </c>
      <c r="E10" s="123">
        <v>28.665300000000002</v>
      </c>
      <c r="F10" s="123">
        <v>0.31843000000000005</v>
      </c>
      <c r="H10" s="166" t="s">
        <v>71</v>
      </c>
      <c r="I10" s="4"/>
      <c r="J10" s="90">
        <v>25.2</v>
      </c>
      <c r="K10" s="90">
        <v>26.9</v>
      </c>
      <c r="L10" s="90">
        <v>28</v>
      </c>
      <c r="M10" s="90">
        <v>28.1</v>
      </c>
      <c r="N10" s="85">
        <f>F15</f>
        <v>0.35015000000000002</v>
      </c>
      <c r="O10" s="85">
        <f>F16</f>
        <v>0.31940000000000007</v>
      </c>
      <c r="P10" s="85">
        <f>F17</f>
        <v>0.31498000000000009</v>
      </c>
      <c r="Q10" s="85">
        <f>F18</f>
        <v>0.29629000000000011</v>
      </c>
      <c r="R10" s="6">
        <f t="shared" si="0"/>
        <v>24.467692307692307</v>
      </c>
      <c r="S10" s="6">
        <f t="shared" si="0"/>
        <v>24.607179487179486</v>
      </c>
      <c r="T10" s="6">
        <f t="shared" si="0"/>
        <v>24.697435897435899</v>
      </c>
      <c r="U10" s="6">
        <f t="shared" si="0"/>
        <v>24.705641025641029</v>
      </c>
      <c r="V10" s="61">
        <f>((N10/(R10))*(0.044014))</f>
        <v>6.2987150182344071E-4</v>
      </c>
      <c r="W10" s="61">
        <f t="shared" si="3"/>
        <v>5.7129959194731586E-4</v>
      </c>
      <c r="X10" s="61">
        <f t="shared" si="4"/>
        <v>5.6133477894518291E-4</v>
      </c>
      <c r="Y10" s="61">
        <f t="shared" si="5"/>
        <v>5.2785143467701766E-4</v>
      </c>
      <c r="AA10" s="90">
        <v>30.6</v>
      </c>
    </row>
    <row r="11" spans="1:28" s="1" customFormat="1" x14ac:dyDescent="0.2">
      <c r="A11" s="168" t="s">
        <v>62</v>
      </c>
      <c r="B11" s="172"/>
      <c r="C11" s="169" t="s">
        <v>70</v>
      </c>
      <c r="D11" s="106">
        <v>0</v>
      </c>
      <c r="E11" s="123">
        <v>3.8829000000000002</v>
      </c>
      <c r="F11" s="123">
        <v>0.28034000000000009</v>
      </c>
      <c r="H11" s="166" t="s">
        <v>72</v>
      </c>
      <c r="I11" s="4"/>
      <c r="J11" s="90">
        <v>24.6</v>
      </c>
      <c r="K11" s="90">
        <v>27.5</v>
      </c>
      <c r="L11" s="90">
        <v>28.2</v>
      </c>
      <c r="M11" s="90">
        <v>28.7</v>
      </c>
      <c r="N11" s="85">
        <f>F19</f>
        <v>0.28828000000000004</v>
      </c>
      <c r="O11" s="85">
        <f>F20</f>
        <v>0.28586000000000006</v>
      </c>
      <c r="P11" s="85">
        <f>F21</f>
        <v>0.33887000000000006</v>
      </c>
      <c r="Q11" s="85">
        <f>F22</f>
        <v>0.30455000000000004</v>
      </c>
      <c r="R11" s="6">
        <f t="shared" si="0"/>
        <v>24.418461538461539</v>
      </c>
      <c r="S11" s="6">
        <f t="shared" si="0"/>
        <v>24.656410256410258</v>
      </c>
      <c r="T11" s="6">
        <f t="shared" si="0"/>
        <v>24.713846153846152</v>
      </c>
      <c r="U11" s="6">
        <f t="shared" si="0"/>
        <v>24.754871794871793</v>
      </c>
      <c r="V11" s="61">
        <f t="shared" ref="V11:V18" si="6">((N11/(R11))*(0.044014))</f>
        <v>5.1962143069556456E-4</v>
      </c>
      <c r="W11" s="61">
        <f t="shared" si="3"/>
        <v>5.102868547836939E-4</v>
      </c>
      <c r="X11" s="61">
        <f t="shared" si="4"/>
        <v>6.0350882202440254E-4</v>
      </c>
      <c r="Y11" s="61">
        <f>((Q11/(U11))*(0.044014))</f>
        <v>5.4148790634322183E-4</v>
      </c>
      <c r="AA11" s="90">
        <v>23.5</v>
      </c>
    </row>
    <row r="12" spans="1:28" s="1" customFormat="1" x14ac:dyDescent="0.2">
      <c r="A12" s="168" t="s">
        <v>62</v>
      </c>
      <c r="B12" s="172"/>
      <c r="C12" s="169" t="s">
        <v>70</v>
      </c>
      <c r="D12" s="106">
        <v>21</v>
      </c>
      <c r="E12" s="123">
        <v>5.1920999999999999</v>
      </c>
      <c r="F12" s="123">
        <v>0.28405000000000008</v>
      </c>
      <c r="H12" s="166" t="s">
        <v>73</v>
      </c>
      <c r="I12" s="4"/>
      <c r="J12" s="90">
        <v>29.5</v>
      </c>
      <c r="K12" s="90">
        <v>29.5</v>
      </c>
      <c r="L12" s="90">
        <v>30.8</v>
      </c>
      <c r="M12" s="90">
        <v>30.7</v>
      </c>
      <c r="N12" s="85">
        <f>F23</f>
        <v>0.27328000000000002</v>
      </c>
      <c r="O12" s="85">
        <f>F24</f>
        <v>0.28710000000000008</v>
      </c>
      <c r="P12" s="85">
        <f>F25</f>
        <v>0.2781900000000001</v>
      </c>
      <c r="Q12" s="85">
        <f>F26</f>
        <v>0.28128000000000003</v>
      </c>
      <c r="R12" s="6">
        <f t="shared" si="0"/>
        <v>24.820512820512821</v>
      </c>
      <c r="S12" s="6">
        <f t="shared" si="0"/>
        <v>24.820512820512821</v>
      </c>
      <c r="T12" s="6">
        <f t="shared" si="0"/>
        <v>24.927179487179487</v>
      </c>
      <c r="U12" s="6">
        <f t="shared" si="0"/>
        <v>24.918974358974356</v>
      </c>
      <c r="V12" s="61">
        <f t="shared" si="6"/>
        <v>4.8460505256198351E-4</v>
      </c>
      <c r="W12" s="61">
        <f t="shared" si="3"/>
        <v>5.0911193863636365E-4</v>
      </c>
      <c r="X12" s="61">
        <f t="shared" si="4"/>
        <v>4.9120096665158008E-4</v>
      </c>
      <c r="Y12" s="61">
        <f t="shared" si="5"/>
        <v>4.9682052486005942E-4</v>
      </c>
      <c r="Z12" s="5"/>
      <c r="AA12" s="90">
        <v>25.4</v>
      </c>
    </row>
    <row r="13" spans="1:28" s="53" customFormat="1" ht="13.15" customHeight="1" x14ac:dyDescent="0.2">
      <c r="A13" s="168" t="s">
        <v>62</v>
      </c>
      <c r="B13" s="172"/>
      <c r="C13" s="169" t="s">
        <v>70</v>
      </c>
      <c r="D13" s="106">
        <v>42</v>
      </c>
      <c r="E13" s="123">
        <v>6.2621000000000002</v>
      </c>
      <c r="F13" s="123">
        <v>0.27581000000000006</v>
      </c>
      <c r="H13" s="166" t="s">
        <v>74</v>
      </c>
      <c r="I13" s="4"/>
      <c r="J13" s="90">
        <v>30.5</v>
      </c>
      <c r="K13" s="90">
        <v>28.5</v>
      </c>
      <c r="L13" s="90">
        <v>29</v>
      </c>
      <c r="M13" s="90">
        <v>30</v>
      </c>
      <c r="N13" s="85">
        <f>F27</f>
        <v>0.28236000000000011</v>
      </c>
      <c r="O13" s="85">
        <f>F28</f>
        <v>0.30011000000000004</v>
      </c>
      <c r="P13" s="85">
        <f>F29</f>
        <v>0.30820000000000008</v>
      </c>
      <c r="Q13" s="85">
        <f>F30</f>
        <v>0.33410000000000012</v>
      </c>
      <c r="R13" s="6">
        <f t="shared" si="0"/>
        <v>24.902564102564103</v>
      </c>
      <c r="S13" s="6">
        <f t="shared" si="0"/>
        <v>24.738461538461539</v>
      </c>
      <c r="T13" s="6">
        <f t="shared" si="0"/>
        <v>24.77948717948718</v>
      </c>
      <c r="U13" s="6">
        <f t="shared" si="0"/>
        <v>24.861538461538462</v>
      </c>
      <c r="V13" s="61">
        <f t="shared" si="6"/>
        <v>4.9905676334431647E-4</v>
      </c>
      <c r="W13" s="61">
        <f t="shared" si="3"/>
        <v>5.3394757468905481E-4</v>
      </c>
      <c r="X13" s="61">
        <f t="shared" si="4"/>
        <v>5.4743323385761595E-4</v>
      </c>
      <c r="Y13" s="61">
        <f t="shared" si="5"/>
        <v>5.914789795792081E-4</v>
      </c>
      <c r="AA13" s="90">
        <v>25.3</v>
      </c>
    </row>
    <row r="14" spans="1:28" s="33" customFormat="1" ht="13.5" thickBot="1" x14ac:dyDescent="0.25">
      <c r="A14" s="168" t="s">
        <v>62</v>
      </c>
      <c r="B14" s="172"/>
      <c r="C14" s="169" t="s">
        <v>70</v>
      </c>
      <c r="D14" s="106">
        <v>63</v>
      </c>
      <c r="E14" s="123">
        <v>7.2343000000000002</v>
      </c>
      <c r="F14" s="123">
        <v>0.28051000000000009</v>
      </c>
      <c r="H14" s="167" t="s">
        <v>75</v>
      </c>
      <c r="I14" s="4"/>
      <c r="J14" s="90">
        <v>30.5</v>
      </c>
      <c r="K14" s="53">
        <v>30.8</v>
      </c>
      <c r="L14" s="53">
        <v>30.2</v>
      </c>
      <c r="M14" s="53">
        <v>31.2</v>
      </c>
      <c r="N14" s="85">
        <f>F31</f>
        <v>0.28545000000000004</v>
      </c>
      <c r="O14" s="85">
        <f>F32</f>
        <v>0.28983000000000009</v>
      </c>
      <c r="P14" s="85">
        <f>F33</f>
        <v>0.29999000000000003</v>
      </c>
      <c r="Q14" s="85">
        <f>F34</f>
        <v>0.29041000000000011</v>
      </c>
      <c r="R14" s="6">
        <f t="shared" si="0"/>
        <v>24.902564102564103</v>
      </c>
      <c r="S14" s="6">
        <f t="shared" si="0"/>
        <v>24.927179487179487</v>
      </c>
      <c r="T14" s="6">
        <f t="shared" si="0"/>
        <v>24.877948717948716</v>
      </c>
      <c r="U14" s="6">
        <f t="shared" si="0"/>
        <v>24.96</v>
      </c>
      <c r="V14" s="61">
        <f t="shared" si="6"/>
        <v>5.0451817926276774E-4</v>
      </c>
      <c r="W14" s="61">
        <f t="shared" si="3"/>
        <v>5.1175375162524706E-4</v>
      </c>
      <c r="X14" s="61">
        <f t="shared" si="4"/>
        <v>5.3074150162846321E-4</v>
      </c>
      <c r="Y14" s="61">
        <f t="shared" si="5"/>
        <v>5.121035953525642E-4</v>
      </c>
      <c r="Z14" s="24"/>
      <c r="AA14" s="90">
        <v>26.8</v>
      </c>
    </row>
    <row r="15" spans="1:28" s="53" customFormat="1" x14ac:dyDescent="0.2">
      <c r="A15" s="168" t="s">
        <v>62</v>
      </c>
      <c r="B15" s="172"/>
      <c r="C15" s="169" t="s">
        <v>71</v>
      </c>
      <c r="D15" s="106">
        <v>0</v>
      </c>
      <c r="E15" s="123">
        <v>3.1749000000000001</v>
      </c>
      <c r="F15" s="123">
        <v>0.35015000000000002</v>
      </c>
      <c r="H15" s="12"/>
      <c r="I15" s="4"/>
      <c r="J15" s="90"/>
      <c r="K15" s="105"/>
      <c r="L15" s="105"/>
      <c r="M15" s="105"/>
      <c r="N15" s="85">
        <f>F35</f>
        <v>0</v>
      </c>
      <c r="O15" s="85">
        <f>F36</f>
        <v>0</v>
      </c>
      <c r="P15" s="85">
        <f>F37</f>
        <v>0</v>
      </c>
      <c r="Q15" s="85">
        <f>F38</f>
        <v>0</v>
      </c>
      <c r="R15" s="6">
        <f t="shared" si="0"/>
        <v>22.4</v>
      </c>
      <c r="S15" s="6">
        <f t="shared" si="0"/>
        <v>22.4</v>
      </c>
      <c r="T15" s="6">
        <f t="shared" si="0"/>
        <v>22.4</v>
      </c>
      <c r="U15" s="6">
        <f t="shared" si="0"/>
        <v>22.4</v>
      </c>
      <c r="V15" s="61">
        <f t="shared" si="6"/>
        <v>0</v>
      </c>
      <c r="W15" s="61">
        <f t="shared" si="3"/>
        <v>0</v>
      </c>
      <c r="X15" s="61">
        <f t="shared" si="4"/>
        <v>0</v>
      </c>
      <c r="Y15" s="61">
        <f t="shared" si="5"/>
        <v>0</v>
      </c>
      <c r="Z15" s="24"/>
      <c r="AA15" s="90">
        <v>23.4</v>
      </c>
    </row>
    <row r="16" spans="1:28" s="53" customFormat="1" x14ac:dyDescent="0.2">
      <c r="A16" s="168" t="s">
        <v>62</v>
      </c>
      <c r="B16" s="172"/>
      <c r="C16" s="169" t="s">
        <v>71</v>
      </c>
      <c r="D16" s="106">
        <v>21</v>
      </c>
      <c r="E16" s="123">
        <v>42.241300000000003</v>
      </c>
      <c r="F16" s="123">
        <v>0.31940000000000007</v>
      </c>
      <c r="H16" s="142" t="s">
        <v>66</v>
      </c>
      <c r="I16" s="4"/>
      <c r="J16" s="90"/>
      <c r="K16" s="105"/>
      <c r="L16" s="105"/>
      <c r="M16" s="105"/>
      <c r="N16" s="85">
        <f>F39</f>
        <v>0</v>
      </c>
      <c r="O16" s="85">
        <f>F40</f>
        <v>0</v>
      </c>
      <c r="P16" s="85">
        <f>F41</f>
        <v>0</v>
      </c>
      <c r="Q16" s="85">
        <f>F42</f>
        <v>0</v>
      </c>
      <c r="R16" s="6">
        <f t="shared" si="0"/>
        <v>22.4</v>
      </c>
      <c r="S16" s="6">
        <f t="shared" si="0"/>
        <v>22.4</v>
      </c>
      <c r="T16" s="6">
        <f t="shared" si="0"/>
        <v>22.4</v>
      </c>
      <c r="U16" s="6">
        <f t="shared" si="0"/>
        <v>22.4</v>
      </c>
      <c r="V16" s="61">
        <f t="shared" si="6"/>
        <v>0</v>
      </c>
      <c r="W16" s="61">
        <f t="shared" si="3"/>
        <v>0</v>
      </c>
      <c r="X16" s="61">
        <f t="shared" si="4"/>
        <v>0</v>
      </c>
      <c r="Y16" s="61">
        <f t="shared" si="5"/>
        <v>0</v>
      </c>
      <c r="Z16" s="34"/>
      <c r="AA16" s="90">
        <v>25.7</v>
      </c>
      <c r="AB16" s="34"/>
    </row>
    <row r="17" spans="1:28" s="53" customFormat="1" x14ac:dyDescent="0.2">
      <c r="A17" s="168" t="s">
        <v>62</v>
      </c>
      <c r="B17" s="172"/>
      <c r="C17" s="169" t="s">
        <v>71</v>
      </c>
      <c r="D17" s="106">
        <v>42</v>
      </c>
      <c r="E17" s="123">
        <v>59.455300000000008</v>
      </c>
      <c r="F17" s="123">
        <v>0.31498000000000009</v>
      </c>
      <c r="H17" s="142" t="s">
        <v>66</v>
      </c>
      <c r="I17" s="4"/>
      <c r="J17" s="90"/>
      <c r="K17" s="105"/>
      <c r="L17" s="105"/>
      <c r="M17" s="105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90">
        <v>25.9</v>
      </c>
      <c r="AB17" s="34"/>
    </row>
    <row r="18" spans="1:28" s="33" customFormat="1" x14ac:dyDescent="0.2">
      <c r="A18" s="168" t="s">
        <v>62</v>
      </c>
      <c r="B18" s="172"/>
      <c r="C18" s="169" t="s">
        <v>71</v>
      </c>
      <c r="D18" s="106">
        <v>63</v>
      </c>
      <c r="E18" s="123">
        <v>83.043700000000001</v>
      </c>
      <c r="F18" s="123">
        <v>0.29629000000000011</v>
      </c>
      <c r="H18" s="142" t="s">
        <v>66</v>
      </c>
      <c r="I18" s="4"/>
      <c r="J18" s="90"/>
      <c r="K18" s="104"/>
      <c r="L18" s="104"/>
      <c r="M18" s="104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90">
        <v>28.5</v>
      </c>
    </row>
    <row r="19" spans="1:28" s="33" customFormat="1" x14ac:dyDescent="0.2">
      <c r="A19" s="168" t="s">
        <v>62</v>
      </c>
      <c r="B19" s="172"/>
      <c r="C19" s="169" t="s">
        <v>72</v>
      </c>
      <c r="D19" s="106">
        <v>0</v>
      </c>
      <c r="E19" s="123">
        <v>5.8957000000000006</v>
      </c>
      <c r="F19" s="123">
        <v>0.28828000000000004</v>
      </c>
      <c r="H19" s="15"/>
      <c r="Z19" s="53"/>
      <c r="AA19" s="90">
        <v>25.2</v>
      </c>
    </row>
    <row r="20" spans="1:28" s="33" customFormat="1" x14ac:dyDescent="0.2">
      <c r="A20" s="168" t="s">
        <v>62</v>
      </c>
      <c r="B20" s="172"/>
      <c r="C20" s="169" t="s">
        <v>72</v>
      </c>
      <c r="D20" s="106">
        <v>21</v>
      </c>
      <c r="E20" s="123">
        <v>14.700900000000001</v>
      </c>
      <c r="F20" s="123">
        <v>0.28586000000000006</v>
      </c>
      <c r="M20" s="107"/>
      <c r="Z20" s="53"/>
      <c r="AA20" s="90">
        <v>26.9</v>
      </c>
    </row>
    <row r="21" spans="1:28" s="33" customFormat="1" x14ac:dyDescent="0.2">
      <c r="A21" s="168" t="s">
        <v>62</v>
      </c>
      <c r="B21" s="172"/>
      <c r="C21" s="169" t="s">
        <v>72</v>
      </c>
      <c r="D21" s="106">
        <v>42</v>
      </c>
      <c r="E21" s="123">
        <v>13.1951</v>
      </c>
      <c r="F21" s="123">
        <v>0.33887000000000006</v>
      </c>
      <c r="H21" s="189" t="s">
        <v>15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53"/>
      <c r="AA21" s="90">
        <v>28</v>
      </c>
    </row>
    <row r="22" spans="1:28" s="33" customFormat="1" x14ac:dyDescent="0.2">
      <c r="A22" s="168" t="s">
        <v>62</v>
      </c>
      <c r="B22" s="172"/>
      <c r="C22" s="169" t="s">
        <v>72</v>
      </c>
      <c r="D22" s="106">
        <v>63</v>
      </c>
      <c r="E22" s="123">
        <v>34.112100000000005</v>
      </c>
      <c r="F22" s="123">
        <v>0.30455000000000004</v>
      </c>
      <c r="H22" s="194" t="s">
        <v>39</v>
      </c>
      <c r="I22" s="194" t="s">
        <v>61</v>
      </c>
      <c r="J22" s="192" t="s">
        <v>28</v>
      </c>
      <c r="K22" s="192"/>
      <c r="L22" s="192"/>
      <c r="M22" s="87"/>
      <c r="N22" s="184" t="s">
        <v>48</v>
      </c>
      <c r="O22" s="195"/>
      <c r="P22" s="195"/>
      <c r="Q22" s="195"/>
      <c r="R22" s="185" t="s">
        <v>47</v>
      </c>
      <c r="S22" s="185"/>
      <c r="T22" s="185"/>
      <c r="U22" s="185"/>
      <c r="V22" s="184" t="s">
        <v>43</v>
      </c>
      <c r="W22" s="184"/>
      <c r="X22" s="184"/>
      <c r="Y22" s="184"/>
      <c r="Z22" s="53"/>
      <c r="AA22" s="90">
        <v>28.1</v>
      </c>
    </row>
    <row r="23" spans="1:28" s="33" customFormat="1" x14ac:dyDescent="0.2">
      <c r="A23" s="168" t="s">
        <v>62</v>
      </c>
      <c r="B23" s="172"/>
      <c r="C23" s="169" t="s">
        <v>73</v>
      </c>
      <c r="D23" s="106">
        <v>0</v>
      </c>
      <c r="E23" s="123">
        <v>4.8048999999999999</v>
      </c>
      <c r="F23" s="123">
        <v>0.27328000000000002</v>
      </c>
      <c r="H23" s="194"/>
      <c r="I23" s="194"/>
      <c r="J23" s="88"/>
      <c r="K23" s="88"/>
      <c r="L23" s="88"/>
      <c r="M23" s="88"/>
      <c r="N23" s="195"/>
      <c r="O23" s="195"/>
      <c r="P23" s="195"/>
      <c r="Q23" s="195"/>
      <c r="R23" s="185"/>
      <c r="S23" s="185"/>
      <c r="T23" s="185"/>
      <c r="U23" s="185"/>
      <c r="V23" s="184"/>
      <c r="W23" s="184"/>
      <c r="X23" s="184"/>
      <c r="Y23" s="184"/>
      <c r="Z23" s="53"/>
      <c r="AA23" s="90">
        <v>24.6</v>
      </c>
    </row>
    <row r="24" spans="1:28" s="33" customFormat="1" x14ac:dyDescent="0.2">
      <c r="A24" s="168" t="s">
        <v>62</v>
      </c>
      <c r="B24" s="172"/>
      <c r="C24" s="169" t="s">
        <v>73</v>
      </c>
      <c r="D24" s="106">
        <v>21</v>
      </c>
      <c r="E24" s="123">
        <v>7.8254999999999999</v>
      </c>
      <c r="F24" s="123">
        <v>0.28710000000000008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90">
        <v>27.5</v>
      </c>
    </row>
    <row r="25" spans="1:28" s="33" customFormat="1" ht="13.5" thickBot="1" x14ac:dyDescent="0.25">
      <c r="A25" s="168" t="s">
        <v>62</v>
      </c>
      <c r="B25" s="172"/>
      <c r="C25" s="169" t="s">
        <v>73</v>
      </c>
      <c r="D25" s="106">
        <v>42</v>
      </c>
      <c r="E25" s="123">
        <v>10.904300000000001</v>
      </c>
      <c r="F25" s="123">
        <v>0.2781900000000001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90">
        <v>28.2</v>
      </c>
    </row>
    <row r="26" spans="1:28" s="33" customFormat="1" x14ac:dyDescent="0.2">
      <c r="A26" s="168" t="s">
        <v>62</v>
      </c>
      <c r="B26" s="172"/>
      <c r="C26" s="169" t="s">
        <v>73</v>
      </c>
      <c r="D26" s="106">
        <v>63</v>
      </c>
      <c r="E26" s="123">
        <v>13.1897</v>
      </c>
      <c r="F26" s="123">
        <v>0.28128000000000003</v>
      </c>
      <c r="H26" s="165" t="s">
        <v>68</v>
      </c>
      <c r="I26" s="4"/>
      <c r="J26" s="90">
        <f t="shared" ref="J26:M29" si="7">J7</f>
        <v>23.6</v>
      </c>
      <c r="K26" s="90">
        <f t="shared" si="7"/>
        <v>26.4</v>
      </c>
      <c r="L26" s="90">
        <f t="shared" si="7"/>
        <v>26.7</v>
      </c>
      <c r="M26" s="90">
        <f t="shared" si="7"/>
        <v>30.6</v>
      </c>
      <c r="N26" s="85">
        <f>E3</f>
        <v>5.1207000000000003</v>
      </c>
      <c r="O26" s="85">
        <f>E4</f>
        <v>8.8758999999999997</v>
      </c>
      <c r="P26" s="85">
        <f>E5</f>
        <v>13.017300000000001</v>
      </c>
      <c r="Q26" s="85">
        <f>E6</f>
        <v>16.514700000000001</v>
      </c>
      <c r="R26" s="6">
        <f t="shared" ref="R26:U37" si="8">(((760*22.4)*(273+J26))/(760*273))</f>
        <v>24.336410256410257</v>
      </c>
      <c r="S26" s="6">
        <f t="shared" si="8"/>
        <v>24.566153846153846</v>
      </c>
      <c r="T26" s="6">
        <f t="shared" si="8"/>
        <v>24.590769230769229</v>
      </c>
      <c r="U26" s="6">
        <f t="shared" si="8"/>
        <v>24.910769230769233</v>
      </c>
      <c r="V26" s="61">
        <f>((N26/(R26))*(0.016043))</f>
        <v>3.3756576764792652E-3</v>
      </c>
      <c r="W26" s="61">
        <f t="shared" ref="W26:Y37" si="9">((O26/(S26))*(0.016043))</f>
        <v>5.7964329537199405E-3</v>
      </c>
      <c r="X26" s="61">
        <f t="shared" si="9"/>
        <v>8.4924770730105126E-3</v>
      </c>
      <c r="Y26" s="61">
        <f t="shared" si="9"/>
        <v>1.0635774818737649E-2</v>
      </c>
      <c r="Z26" s="53"/>
      <c r="AA26" s="90">
        <v>28.7</v>
      </c>
    </row>
    <row r="27" spans="1:28" s="33" customFormat="1" x14ac:dyDescent="0.2">
      <c r="A27" s="168" t="s">
        <v>62</v>
      </c>
      <c r="B27" s="172"/>
      <c r="C27" s="169" t="s">
        <v>74</v>
      </c>
      <c r="D27" s="106">
        <v>0</v>
      </c>
      <c r="E27" s="123">
        <v>4.4390999999999998</v>
      </c>
      <c r="F27" s="123">
        <v>0.28236000000000011</v>
      </c>
      <c r="H27" s="166" t="s">
        <v>69</v>
      </c>
      <c r="I27" s="4"/>
      <c r="J27" s="90">
        <f t="shared" si="7"/>
        <v>23.5</v>
      </c>
      <c r="K27" s="90">
        <f t="shared" si="7"/>
        <v>25.4</v>
      </c>
      <c r="L27" s="90">
        <f t="shared" si="7"/>
        <v>25.3</v>
      </c>
      <c r="M27" s="90">
        <f t="shared" si="7"/>
        <v>26.8</v>
      </c>
      <c r="N27" s="85">
        <f>E7</f>
        <v>7.9693000000000005</v>
      </c>
      <c r="O27" s="85">
        <f>E8</f>
        <v>14.789100000000001</v>
      </c>
      <c r="P27" s="85">
        <f>E9</f>
        <v>22.117699999999999</v>
      </c>
      <c r="Q27" s="85">
        <f>E10</f>
        <v>28.665300000000002</v>
      </c>
      <c r="R27" s="6">
        <f t="shared" si="8"/>
        <v>24.328205128205127</v>
      </c>
      <c r="S27" s="6">
        <f t="shared" si="8"/>
        <v>24.484102564102564</v>
      </c>
      <c r="T27" s="6">
        <f t="shared" si="8"/>
        <v>24.475897435897437</v>
      </c>
      <c r="U27" s="6">
        <f t="shared" si="8"/>
        <v>24.59897435897436</v>
      </c>
      <c r="V27" s="61">
        <f t="shared" ref="V27:V37" si="10">((N27/(R27))*(0.016043))</f>
        <v>5.2552779469856679E-3</v>
      </c>
      <c r="W27" s="61">
        <f t="shared" si="9"/>
        <v>9.6904320131325425E-3</v>
      </c>
      <c r="X27" s="61">
        <f t="shared" si="9"/>
        <v>1.4497293185237178E-2</v>
      </c>
      <c r="Y27" s="61">
        <f t="shared" si="9"/>
        <v>1.869498301794947E-2</v>
      </c>
      <c r="Z27" s="53"/>
      <c r="AA27" s="90">
        <v>29.5</v>
      </c>
    </row>
    <row r="28" spans="1:28" s="33" customFormat="1" x14ac:dyDescent="0.2">
      <c r="A28" s="168" t="s">
        <v>62</v>
      </c>
      <c r="B28" s="172"/>
      <c r="C28" s="169" t="s">
        <v>74</v>
      </c>
      <c r="D28" s="106">
        <v>21</v>
      </c>
      <c r="E28" s="123">
        <v>7.3565000000000005</v>
      </c>
      <c r="F28" s="123">
        <v>0.30011000000000004</v>
      </c>
      <c r="H28" s="166" t="s">
        <v>70</v>
      </c>
      <c r="I28" s="4"/>
      <c r="J28" s="90">
        <f t="shared" si="7"/>
        <v>23.4</v>
      </c>
      <c r="K28" s="90">
        <f t="shared" si="7"/>
        <v>25.7</v>
      </c>
      <c r="L28" s="90">
        <f t="shared" si="7"/>
        <v>25.9</v>
      </c>
      <c r="M28" s="90">
        <f t="shared" si="7"/>
        <v>28.5</v>
      </c>
      <c r="N28" s="85">
        <f>E11</f>
        <v>3.8829000000000002</v>
      </c>
      <c r="O28" s="85">
        <f>E12</f>
        <v>5.1920999999999999</v>
      </c>
      <c r="P28" s="85">
        <f>E13</f>
        <v>6.2621000000000002</v>
      </c>
      <c r="Q28" s="85">
        <f>E14</f>
        <v>7.2343000000000002</v>
      </c>
      <c r="R28" s="6">
        <f t="shared" si="8"/>
        <v>24.319999999999997</v>
      </c>
      <c r="S28" s="6">
        <f t="shared" si="8"/>
        <v>24.508717948717948</v>
      </c>
      <c r="T28" s="6">
        <f t="shared" si="8"/>
        <v>24.525128205128205</v>
      </c>
      <c r="U28" s="6">
        <f t="shared" si="8"/>
        <v>24.738461538461539</v>
      </c>
      <c r="V28" s="61">
        <f t="shared" si="10"/>
        <v>2.5614047985197375E-3</v>
      </c>
      <c r="W28" s="61">
        <f t="shared" si="9"/>
        <v>3.3986624871317379E-3</v>
      </c>
      <c r="X28" s="61">
        <f t="shared" si="9"/>
        <v>4.0963239604591851E-3</v>
      </c>
      <c r="Y28" s="61">
        <f t="shared" si="9"/>
        <v>4.6914750425995034E-3</v>
      </c>
      <c r="Z28" s="53"/>
      <c r="AA28" s="90">
        <v>29.5</v>
      </c>
    </row>
    <row r="29" spans="1:28" s="33" customFormat="1" x14ac:dyDescent="0.2">
      <c r="A29" s="168" t="s">
        <v>62</v>
      </c>
      <c r="B29" s="172"/>
      <c r="C29" s="169" t="s">
        <v>74</v>
      </c>
      <c r="D29" s="106">
        <v>42</v>
      </c>
      <c r="E29" s="123">
        <v>9.7873000000000001</v>
      </c>
      <c r="F29" s="123">
        <v>0.30820000000000008</v>
      </c>
      <c r="H29" s="166" t="s">
        <v>71</v>
      </c>
      <c r="I29" s="4"/>
      <c r="J29" s="90">
        <f t="shared" si="7"/>
        <v>25.2</v>
      </c>
      <c r="K29" s="90">
        <f t="shared" si="7"/>
        <v>26.9</v>
      </c>
      <c r="L29" s="90">
        <f t="shared" si="7"/>
        <v>28</v>
      </c>
      <c r="M29" s="90">
        <f t="shared" si="7"/>
        <v>28.1</v>
      </c>
      <c r="N29" s="85">
        <f>E15</f>
        <v>3.1749000000000001</v>
      </c>
      <c r="O29" s="85">
        <f>E16</f>
        <v>42.241300000000003</v>
      </c>
      <c r="P29" s="85">
        <f>E17</f>
        <v>59.455300000000008</v>
      </c>
      <c r="Q29" s="85">
        <f>E18</f>
        <v>83.043700000000001</v>
      </c>
      <c r="R29" s="6">
        <f t="shared" si="8"/>
        <v>24.467692307692307</v>
      </c>
      <c r="S29" s="6">
        <f t="shared" si="8"/>
        <v>24.607179487179486</v>
      </c>
      <c r="T29" s="6">
        <f t="shared" si="8"/>
        <v>24.697435897435899</v>
      </c>
      <c r="U29" s="6">
        <f t="shared" si="8"/>
        <v>24.705641025641029</v>
      </c>
      <c r="V29" s="61">
        <f t="shared" si="10"/>
        <v>2.0817214823314893E-3</v>
      </c>
      <c r="W29" s="61">
        <f t="shared" si="9"/>
        <v>2.753981520934062E-2</v>
      </c>
      <c r="X29" s="61">
        <f t="shared" si="9"/>
        <v>3.8621069080253333E-2</v>
      </c>
      <c r="Y29" s="61">
        <f t="shared" si="9"/>
        <v>5.3925744234577383E-2</v>
      </c>
      <c r="Z29" s="53"/>
      <c r="AA29" s="90">
        <v>30.8</v>
      </c>
    </row>
    <row r="30" spans="1:28" s="33" customFormat="1" x14ac:dyDescent="0.2">
      <c r="A30" s="168" t="s">
        <v>62</v>
      </c>
      <c r="B30" s="172"/>
      <c r="C30" s="169" t="s">
        <v>74</v>
      </c>
      <c r="D30" s="106">
        <v>63</v>
      </c>
      <c r="E30" s="123">
        <v>10.819900000000001</v>
      </c>
      <c r="F30" s="123">
        <v>0.33410000000000012</v>
      </c>
      <c r="H30" s="166" t="s">
        <v>72</v>
      </c>
      <c r="I30" s="4"/>
      <c r="J30" s="90">
        <f t="shared" ref="J30:M30" si="11">J11</f>
        <v>24.6</v>
      </c>
      <c r="K30" s="90">
        <f t="shared" si="11"/>
        <v>27.5</v>
      </c>
      <c r="L30" s="90">
        <f t="shared" si="11"/>
        <v>28.2</v>
      </c>
      <c r="M30" s="90">
        <f t="shared" si="11"/>
        <v>28.7</v>
      </c>
      <c r="N30" s="85">
        <f>E19</f>
        <v>5.8957000000000006</v>
      </c>
      <c r="O30" s="85">
        <f>E20</f>
        <v>14.700900000000001</v>
      </c>
      <c r="P30" s="85">
        <f>E21</f>
        <v>13.1951</v>
      </c>
      <c r="Q30" s="85">
        <f>E22</f>
        <v>34.112100000000005</v>
      </c>
      <c r="R30" s="6">
        <f t="shared" si="8"/>
        <v>24.418461538461539</v>
      </c>
      <c r="S30" s="6">
        <f t="shared" si="8"/>
        <v>24.656410256410258</v>
      </c>
      <c r="T30" s="6">
        <f t="shared" si="8"/>
        <v>24.713846153846152</v>
      </c>
      <c r="U30" s="6">
        <f t="shared" si="8"/>
        <v>24.754871794871793</v>
      </c>
      <c r="V30" s="61">
        <f t="shared" si="10"/>
        <v>3.8734919868321578E-3</v>
      </c>
      <c r="W30" s="61">
        <f t="shared" si="9"/>
        <v>9.5653234289725473E-3</v>
      </c>
      <c r="X30" s="61">
        <f t="shared" si="9"/>
        <v>8.5656027791957186E-3</v>
      </c>
      <c r="Y30" s="61">
        <f t="shared" si="9"/>
        <v>2.2107180551561988E-2</v>
      </c>
      <c r="Z30" s="53"/>
      <c r="AA30" s="90">
        <v>30.7</v>
      </c>
    </row>
    <row r="31" spans="1:28" s="33" customFormat="1" x14ac:dyDescent="0.2">
      <c r="A31" s="168" t="s">
        <v>62</v>
      </c>
      <c r="B31" s="172"/>
      <c r="C31" s="169" t="s">
        <v>75</v>
      </c>
      <c r="D31" s="106">
        <v>0</v>
      </c>
      <c r="E31" s="123">
        <v>4.5160999999999998</v>
      </c>
      <c r="F31" s="123">
        <v>0.28545000000000004</v>
      </c>
      <c r="H31" s="166" t="s">
        <v>73</v>
      </c>
      <c r="I31" s="4"/>
      <c r="J31" s="90">
        <f t="shared" ref="J31:M31" si="12">J12</f>
        <v>29.5</v>
      </c>
      <c r="K31" s="90">
        <f t="shared" si="12"/>
        <v>29.5</v>
      </c>
      <c r="L31" s="90">
        <f t="shared" si="12"/>
        <v>30.8</v>
      </c>
      <c r="M31" s="90">
        <f t="shared" si="12"/>
        <v>30.7</v>
      </c>
      <c r="N31" s="85">
        <f>E23</f>
        <v>4.8048999999999999</v>
      </c>
      <c r="O31" s="85">
        <f>E24</f>
        <v>7.8254999999999999</v>
      </c>
      <c r="P31" s="85">
        <f>E25</f>
        <v>10.904300000000001</v>
      </c>
      <c r="Q31" s="85">
        <f>E26</f>
        <v>13.1897</v>
      </c>
      <c r="R31" s="6">
        <f t="shared" si="8"/>
        <v>24.820512820512821</v>
      </c>
      <c r="S31" s="6">
        <f t="shared" si="8"/>
        <v>24.820512820512821</v>
      </c>
      <c r="T31" s="6">
        <f t="shared" si="8"/>
        <v>24.927179487179487</v>
      </c>
      <c r="U31" s="6">
        <f t="shared" si="8"/>
        <v>24.918974358974356</v>
      </c>
      <c r="V31" s="61">
        <f t="shared" si="10"/>
        <v>3.1056977451446284E-3</v>
      </c>
      <c r="W31" s="61">
        <f t="shared" si="9"/>
        <v>5.0580943837809922E-3</v>
      </c>
      <c r="X31" s="61">
        <f t="shared" si="9"/>
        <v>7.0179494230373611E-3</v>
      </c>
      <c r="Y31" s="61">
        <f t="shared" si="9"/>
        <v>8.4916158286343444E-3</v>
      </c>
      <c r="Z31" s="53"/>
      <c r="AA31" s="90">
        <v>30.5</v>
      </c>
    </row>
    <row r="32" spans="1:28" s="33" customFormat="1" x14ac:dyDescent="0.2">
      <c r="A32" s="168" t="s">
        <v>62</v>
      </c>
      <c r="B32" s="172"/>
      <c r="C32" s="169" t="s">
        <v>75</v>
      </c>
      <c r="D32" s="106">
        <v>21</v>
      </c>
      <c r="E32" s="123">
        <v>6.7366999999999999</v>
      </c>
      <c r="F32" s="123">
        <v>0.28983000000000009</v>
      </c>
      <c r="H32" s="166" t="s">
        <v>74</v>
      </c>
      <c r="I32" s="4"/>
      <c r="J32" s="90">
        <f t="shared" ref="J32:L32" si="13">J13</f>
        <v>30.5</v>
      </c>
      <c r="K32" s="90">
        <f t="shared" si="13"/>
        <v>28.5</v>
      </c>
      <c r="L32" s="90">
        <f t="shared" si="13"/>
        <v>29</v>
      </c>
      <c r="M32" s="90">
        <f>M13</f>
        <v>30</v>
      </c>
      <c r="N32" s="85">
        <f>E27</f>
        <v>4.4390999999999998</v>
      </c>
      <c r="O32" s="85">
        <f>E28</f>
        <v>7.3565000000000005</v>
      </c>
      <c r="P32" s="85">
        <f>E29</f>
        <v>9.7873000000000001</v>
      </c>
      <c r="Q32" s="85">
        <f>E30</f>
        <v>10.819900000000001</v>
      </c>
      <c r="R32" s="6">
        <f t="shared" si="8"/>
        <v>24.902564102564103</v>
      </c>
      <c r="S32" s="6">
        <f t="shared" si="8"/>
        <v>24.738461538461539</v>
      </c>
      <c r="T32" s="6">
        <f t="shared" si="8"/>
        <v>24.77948717948718</v>
      </c>
      <c r="U32" s="6">
        <f t="shared" si="8"/>
        <v>24.861538461538462</v>
      </c>
      <c r="V32" s="61">
        <f t="shared" si="10"/>
        <v>2.8598051592874795E-3</v>
      </c>
      <c r="W32" s="61">
        <f t="shared" si="9"/>
        <v>4.7707222745646772E-3</v>
      </c>
      <c r="X32" s="61">
        <f t="shared" si="9"/>
        <v>6.3365982016763247E-3</v>
      </c>
      <c r="Y32" s="61">
        <f t="shared" si="9"/>
        <v>6.9820158542698027E-3</v>
      </c>
      <c r="Z32" s="53"/>
      <c r="AA32" s="90">
        <v>28.5</v>
      </c>
    </row>
    <row r="33" spans="1:27" s="33" customFormat="1" ht="13.5" thickBot="1" x14ac:dyDescent="0.25">
      <c r="A33" s="168" t="s">
        <v>62</v>
      </c>
      <c r="B33" s="172"/>
      <c r="C33" s="169" t="s">
        <v>75</v>
      </c>
      <c r="D33" s="106">
        <v>42</v>
      </c>
      <c r="E33" s="123">
        <v>8.6329000000000011</v>
      </c>
      <c r="F33" s="123">
        <v>0.29999000000000003</v>
      </c>
      <c r="H33" s="167" t="s">
        <v>75</v>
      </c>
      <c r="I33" s="4"/>
      <c r="J33" s="90">
        <f t="shared" ref="J33:M33" si="14">J14</f>
        <v>30.5</v>
      </c>
      <c r="K33" s="90">
        <f t="shared" si="14"/>
        <v>30.8</v>
      </c>
      <c r="L33" s="90">
        <f t="shared" si="14"/>
        <v>30.2</v>
      </c>
      <c r="M33" s="90">
        <f t="shared" si="14"/>
        <v>31.2</v>
      </c>
      <c r="N33" s="85">
        <f>E31</f>
        <v>4.5160999999999998</v>
      </c>
      <c r="O33" s="85">
        <f>E32</f>
        <v>6.7366999999999999</v>
      </c>
      <c r="P33" s="85">
        <f>E33</f>
        <v>8.6329000000000011</v>
      </c>
      <c r="Q33" s="85">
        <f>E34</f>
        <v>10.4093</v>
      </c>
      <c r="R33" s="6">
        <f t="shared" si="8"/>
        <v>24.902564102564103</v>
      </c>
      <c r="S33" s="6">
        <f t="shared" si="8"/>
        <v>24.927179487179487</v>
      </c>
      <c r="T33" s="6">
        <f t="shared" si="8"/>
        <v>24.877948717948716</v>
      </c>
      <c r="U33" s="6">
        <f t="shared" si="8"/>
        <v>24.96</v>
      </c>
      <c r="V33" s="61">
        <f t="shared" si="10"/>
        <v>2.9094109346169687E-3</v>
      </c>
      <c r="W33" s="61">
        <f t="shared" si="9"/>
        <v>4.3357042522835752E-3</v>
      </c>
      <c r="X33" s="61">
        <f t="shared" si="9"/>
        <v>5.5670833745258925E-3</v>
      </c>
      <c r="Y33" s="61">
        <f t="shared" si="9"/>
        <v>6.6905608934294874E-3</v>
      </c>
      <c r="Z33" s="53"/>
      <c r="AA33" s="90">
        <v>29</v>
      </c>
    </row>
    <row r="34" spans="1:27" s="33" customFormat="1" ht="13.5" thickBot="1" x14ac:dyDescent="0.25">
      <c r="A34" s="168" t="s">
        <v>62</v>
      </c>
      <c r="B34" s="173"/>
      <c r="C34" s="169" t="s">
        <v>75</v>
      </c>
      <c r="D34" s="106">
        <v>63</v>
      </c>
      <c r="E34" s="123">
        <v>10.4093</v>
      </c>
      <c r="F34" s="123">
        <v>0.29041000000000011</v>
      </c>
      <c r="H34" s="12"/>
      <c r="I34" s="4"/>
      <c r="J34" s="90">
        <f t="shared" ref="J34:M34" si="15">J15</f>
        <v>0</v>
      </c>
      <c r="K34" s="90">
        <f t="shared" si="15"/>
        <v>0</v>
      </c>
      <c r="L34" s="90">
        <f t="shared" si="15"/>
        <v>0</v>
      </c>
      <c r="M34" s="90">
        <f t="shared" si="15"/>
        <v>0</v>
      </c>
      <c r="N34" s="85">
        <f>E35</f>
        <v>0</v>
      </c>
      <c r="O34" s="85">
        <f>E36</f>
        <v>0</v>
      </c>
      <c r="P34" s="85">
        <f>E37</f>
        <v>0</v>
      </c>
      <c r="Q34" s="85">
        <f>E38</f>
        <v>0</v>
      </c>
      <c r="R34" s="6">
        <f t="shared" si="8"/>
        <v>22.4</v>
      </c>
      <c r="S34" s="6">
        <f t="shared" si="8"/>
        <v>22.4</v>
      </c>
      <c r="T34" s="6">
        <f t="shared" si="8"/>
        <v>22.4</v>
      </c>
      <c r="U34" s="6">
        <f t="shared" si="8"/>
        <v>22.4</v>
      </c>
      <c r="V34" s="61">
        <f t="shared" si="10"/>
        <v>0</v>
      </c>
      <c r="W34" s="61">
        <f t="shared" si="9"/>
        <v>0</v>
      </c>
      <c r="X34" s="61">
        <f t="shared" si="9"/>
        <v>0</v>
      </c>
      <c r="Y34" s="61">
        <f t="shared" si="9"/>
        <v>0</v>
      </c>
      <c r="Z34" s="53"/>
      <c r="AA34" s="90">
        <v>30</v>
      </c>
    </row>
    <row r="35" spans="1:27" s="33" customFormat="1" x14ac:dyDescent="0.2">
      <c r="A35" s="122" t="s">
        <v>62</v>
      </c>
      <c r="B35" s="170"/>
      <c r="C35" s="126"/>
      <c r="D35" s="106">
        <v>0</v>
      </c>
      <c r="E35" s="123"/>
      <c r="F35" s="123"/>
      <c r="H35" s="142" t="s">
        <v>66</v>
      </c>
      <c r="I35" s="4"/>
      <c r="J35" s="90">
        <f t="shared" ref="J35:M35" si="16">J16</f>
        <v>0</v>
      </c>
      <c r="K35" s="90">
        <f t="shared" si="16"/>
        <v>0</v>
      </c>
      <c r="L35" s="90">
        <f t="shared" si="16"/>
        <v>0</v>
      </c>
      <c r="M35" s="90">
        <f t="shared" si="16"/>
        <v>0</v>
      </c>
      <c r="N35" s="85">
        <f>E39</f>
        <v>0</v>
      </c>
      <c r="O35" s="85">
        <f>E40</f>
        <v>0</v>
      </c>
      <c r="P35" s="85">
        <f>E41</f>
        <v>0</v>
      </c>
      <c r="Q35" s="85">
        <f>E42</f>
        <v>0</v>
      </c>
      <c r="R35" s="6">
        <f t="shared" si="8"/>
        <v>22.4</v>
      </c>
      <c r="S35" s="6">
        <f t="shared" si="8"/>
        <v>22.4</v>
      </c>
      <c r="T35" s="6">
        <f t="shared" si="8"/>
        <v>22.4</v>
      </c>
      <c r="U35" s="6">
        <f t="shared" si="8"/>
        <v>22.4</v>
      </c>
      <c r="V35" s="61">
        <f t="shared" si="10"/>
        <v>0</v>
      </c>
      <c r="W35" s="61">
        <f t="shared" si="9"/>
        <v>0</v>
      </c>
      <c r="X35" s="61">
        <f t="shared" si="9"/>
        <v>0</v>
      </c>
      <c r="Y35" s="61">
        <f t="shared" si="9"/>
        <v>0</v>
      </c>
      <c r="Z35" s="53"/>
      <c r="AA35" s="90">
        <v>30.5</v>
      </c>
    </row>
    <row r="36" spans="1:27" s="33" customFormat="1" x14ac:dyDescent="0.2">
      <c r="A36" s="122" t="s">
        <v>62</v>
      </c>
      <c r="B36" s="109"/>
      <c r="C36" s="126"/>
      <c r="D36" s="106">
        <v>21</v>
      </c>
      <c r="E36" s="123"/>
      <c r="F36" s="123"/>
      <c r="H36" s="142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53">
        <v>30.8</v>
      </c>
    </row>
    <row r="37" spans="1:27" s="33" customFormat="1" x14ac:dyDescent="0.2">
      <c r="A37" s="122" t="s">
        <v>62</v>
      </c>
      <c r="B37" s="109"/>
      <c r="C37" s="126"/>
      <c r="D37" s="106">
        <v>42</v>
      </c>
      <c r="E37" s="123"/>
      <c r="F37" s="123"/>
      <c r="H37" s="142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53">
        <v>30.2</v>
      </c>
    </row>
    <row r="38" spans="1:27" s="33" customFormat="1" x14ac:dyDescent="0.2">
      <c r="A38" s="122" t="s">
        <v>62</v>
      </c>
      <c r="B38" s="109"/>
      <c r="C38" s="126"/>
      <c r="D38" s="106">
        <v>63</v>
      </c>
      <c r="E38" s="123"/>
      <c r="F38" s="123"/>
      <c r="Z38" s="53"/>
      <c r="AA38" s="53">
        <v>31.2</v>
      </c>
    </row>
    <row r="39" spans="1:27" s="33" customFormat="1" x14ac:dyDescent="0.2">
      <c r="A39" s="122" t="s">
        <v>62</v>
      </c>
      <c r="B39" s="109"/>
      <c r="C39" s="126" t="s">
        <v>66</v>
      </c>
      <c r="D39" s="106">
        <v>0</v>
      </c>
      <c r="E39" s="123"/>
      <c r="F39" s="123"/>
      <c r="Z39" s="53"/>
      <c r="AA39" s="53"/>
    </row>
    <row r="40" spans="1:27" s="33" customFormat="1" x14ac:dyDescent="0.2">
      <c r="A40" s="122" t="s">
        <v>62</v>
      </c>
      <c r="B40" s="109"/>
      <c r="C40" s="126" t="s">
        <v>66</v>
      </c>
      <c r="D40" s="106">
        <v>21</v>
      </c>
      <c r="E40" s="123"/>
      <c r="F40" s="123"/>
      <c r="Z40" s="53"/>
      <c r="AA40" s="53"/>
    </row>
    <row r="41" spans="1:27" s="33" customFormat="1" x14ac:dyDescent="0.2">
      <c r="A41" s="122" t="s">
        <v>62</v>
      </c>
      <c r="B41" s="109"/>
      <c r="C41" s="126" t="s">
        <v>66</v>
      </c>
      <c r="D41" s="106">
        <v>42</v>
      </c>
      <c r="E41" s="123"/>
      <c r="F41" s="123"/>
      <c r="Z41" s="53"/>
      <c r="AA41" s="53"/>
    </row>
    <row r="42" spans="1:27" s="33" customFormat="1" x14ac:dyDescent="0.2">
      <c r="A42" s="122" t="s">
        <v>62</v>
      </c>
      <c r="B42" s="109"/>
      <c r="C42" s="126" t="s">
        <v>66</v>
      </c>
      <c r="D42" s="106">
        <v>63</v>
      </c>
      <c r="E42" s="123"/>
      <c r="F42" s="123"/>
      <c r="Z42" s="53"/>
      <c r="AA42" s="53"/>
    </row>
    <row r="43" spans="1:27" s="33" customFormat="1" x14ac:dyDescent="0.2">
      <c r="A43" s="122" t="s">
        <v>62</v>
      </c>
      <c r="B43" s="124"/>
      <c r="C43" s="126" t="s">
        <v>66</v>
      </c>
      <c r="D43" s="106">
        <v>0</v>
      </c>
      <c r="E43" s="125"/>
      <c r="F43" s="125"/>
      <c r="Z43" s="53"/>
      <c r="AA43" s="53"/>
    </row>
    <row r="44" spans="1:27" s="33" customFormat="1" x14ac:dyDescent="0.2">
      <c r="A44" s="122" t="s">
        <v>62</v>
      </c>
      <c r="B44" s="124"/>
      <c r="C44" s="126" t="s">
        <v>66</v>
      </c>
      <c r="D44" s="106">
        <v>21</v>
      </c>
      <c r="E44" s="125"/>
      <c r="F44" s="125"/>
      <c r="Z44" s="53"/>
      <c r="AA44" s="53"/>
    </row>
    <row r="45" spans="1:27" s="33" customFormat="1" x14ac:dyDescent="0.2">
      <c r="A45" s="122" t="s">
        <v>62</v>
      </c>
      <c r="B45" s="124"/>
      <c r="C45" s="126" t="s">
        <v>66</v>
      </c>
      <c r="D45" s="106">
        <v>42</v>
      </c>
      <c r="E45" s="125"/>
      <c r="F45" s="125"/>
      <c r="Z45" s="53"/>
      <c r="AA45" s="53"/>
    </row>
    <row r="46" spans="1:27" s="33" customFormat="1" x14ac:dyDescent="0.2">
      <c r="A46" s="122" t="s">
        <v>62</v>
      </c>
      <c r="B46" s="124"/>
      <c r="C46" s="126" t="s">
        <v>66</v>
      </c>
      <c r="D46" s="106">
        <v>63</v>
      </c>
      <c r="E46" s="125"/>
      <c r="F46" s="125"/>
      <c r="Z46" s="53"/>
      <c r="AA46" s="53"/>
    </row>
    <row r="47" spans="1:27" s="33" customFormat="1" x14ac:dyDescent="0.2">
      <c r="A47" s="122" t="s">
        <v>62</v>
      </c>
      <c r="B47" s="124"/>
      <c r="C47" s="126" t="s">
        <v>66</v>
      </c>
      <c r="D47" s="106">
        <v>0</v>
      </c>
      <c r="E47" s="125"/>
      <c r="F47" s="125"/>
      <c r="Z47" s="53"/>
      <c r="AA47" s="53"/>
    </row>
    <row r="48" spans="1:27" s="33" customFormat="1" x14ac:dyDescent="0.2">
      <c r="A48" s="122" t="s">
        <v>62</v>
      </c>
      <c r="B48" s="124"/>
      <c r="C48" s="126" t="s">
        <v>66</v>
      </c>
      <c r="D48" s="106">
        <v>21</v>
      </c>
      <c r="E48" s="125"/>
      <c r="F48" s="125"/>
      <c r="Z48" s="53"/>
      <c r="AA48" s="53"/>
    </row>
    <row r="49" spans="1:27" s="33" customFormat="1" x14ac:dyDescent="0.2">
      <c r="A49" s="122" t="s">
        <v>62</v>
      </c>
      <c r="B49" s="124"/>
      <c r="C49" s="126" t="s">
        <v>66</v>
      </c>
      <c r="D49" s="106">
        <v>42</v>
      </c>
      <c r="E49" s="125"/>
      <c r="F49" s="125"/>
      <c r="Z49" s="53"/>
      <c r="AA49" s="53"/>
    </row>
    <row r="50" spans="1:27" s="33" customFormat="1" x14ac:dyDescent="0.2">
      <c r="A50" s="122" t="s">
        <v>62</v>
      </c>
      <c r="B50" s="124"/>
      <c r="C50" s="126" t="s">
        <v>66</v>
      </c>
      <c r="D50" s="106">
        <v>63</v>
      </c>
      <c r="E50" s="125"/>
      <c r="F50" s="125"/>
      <c r="Z50" s="53"/>
      <c r="AA50" s="53"/>
    </row>
    <row r="51" spans="1:27" s="33" customFormat="1" x14ac:dyDescent="0.2">
      <c r="B51" s="110"/>
      <c r="Z51" s="53"/>
      <c r="AA51" s="53"/>
    </row>
    <row r="52" spans="1:27" s="33" customFormat="1" x14ac:dyDescent="0.2">
      <c r="B52" s="110"/>
      <c r="Z52" s="53"/>
      <c r="AA52" s="53"/>
    </row>
    <row r="53" spans="1:27" s="33" customFormat="1" x14ac:dyDescent="0.2">
      <c r="B53" s="110"/>
      <c r="Z53" s="53"/>
      <c r="AA53" s="53"/>
    </row>
    <row r="54" spans="1:27" s="33" customFormat="1" x14ac:dyDescent="0.2">
      <c r="B54" s="110"/>
      <c r="Z54" s="53"/>
      <c r="AA54" s="53"/>
    </row>
    <row r="55" spans="1:27" s="33" customFormat="1" x14ac:dyDescent="0.2">
      <c r="B55" s="110"/>
      <c r="Z55" s="53"/>
      <c r="AA55" s="53"/>
    </row>
    <row r="56" spans="1:27" s="33" customFormat="1" x14ac:dyDescent="0.2">
      <c r="B56" s="110"/>
      <c r="Z56" s="53"/>
      <c r="AA56" s="53"/>
    </row>
    <row r="57" spans="1:27" s="33" customFormat="1" x14ac:dyDescent="0.2">
      <c r="B57" s="110"/>
      <c r="Z57" s="53"/>
      <c r="AA57" s="53"/>
    </row>
    <row r="58" spans="1:27" s="33" customFormat="1" x14ac:dyDescent="0.2">
      <c r="B58" s="110"/>
      <c r="Z58" s="53"/>
      <c r="AA58" s="53"/>
    </row>
    <row r="59" spans="1:27" s="33" customFormat="1" x14ac:dyDescent="0.2">
      <c r="B59" s="110"/>
      <c r="Z59" s="53"/>
      <c r="AA59" s="53"/>
    </row>
    <row r="60" spans="1:27" s="33" customFormat="1" x14ac:dyDescent="0.2">
      <c r="B60" s="110"/>
      <c r="Z60" s="53"/>
      <c r="AA60" s="53"/>
    </row>
    <row r="61" spans="1:27" s="33" customFormat="1" x14ac:dyDescent="0.2">
      <c r="B61" s="110"/>
      <c r="Z61" s="53"/>
      <c r="AA61" s="53"/>
    </row>
    <row r="62" spans="1:27" s="33" customFormat="1" x14ac:dyDescent="0.2">
      <c r="B62" s="110"/>
      <c r="Z62" s="53"/>
      <c r="AA62" s="53"/>
    </row>
    <row r="63" spans="1:27" s="33" customFormat="1" x14ac:dyDescent="0.2">
      <c r="B63" s="110"/>
      <c r="Z63" s="53"/>
      <c r="AA63" s="53"/>
    </row>
    <row r="64" spans="1:27" s="33" customFormat="1" x14ac:dyDescent="0.2">
      <c r="B64" s="110"/>
      <c r="Z64" s="53"/>
      <c r="AA64" s="53"/>
    </row>
    <row r="65" spans="2:27" s="33" customFormat="1" x14ac:dyDescent="0.2">
      <c r="B65" s="110"/>
      <c r="Z65" s="53"/>
      <c r="AA65" s="53"/>
    </row>
    <row r="66" spans="2:27" s="33" customFormat="1" x14ac:dyDescent="0.2">
      <c r="B66" s="110"/>
      <c r="Z66" s="53"/>
      <c r="AA66" s="53"/>
    </row>
    <row r="67" spans="2:27" s="33" customFormat="1" x14ac:dyDescent="0.2">
      <c r="B67" s="110"/>
      <c r="Z67" s="53"/>
      <c r="AA67" s="53"/>
    </row>
    <row r="68" spans="2:27" s="33" customFormat="1" x14ac:dyDescent="0.2">
      <c r="B68" s="110"/>
      <c r="Z68" s="53"/>
      <c r="AA68" s="53"/>
    </row>
    <row r="69" spans="2:27" s="33" customFormat="1" x14ac:dyDescent="0.2">
      <c r="B69" s="110"/>
      <c r="Z69" s="53"/>
      <c r="AA69" s="53"/>
    </row>
    <row r="70" spans="2:27" s="33" customFormat="1" x14ac:dyDescent="0.2">
      <c r="B70" s="110"/>
      <c r="Z70" s="53"/>
      <c r="AA70" s="53"/>
    </row>
    <row r="71" spans="2:27" s="33" customFormat="1" x14ac:dyDescent="0.2">
      <c r="B71" s="110"/>
      <c r="Z71" s="53"/>
      <c r="AA71" s="53"/>
    </row>
    <row r="72" spans="2:27" s="33" customFormat="1" x14ac:dyDescent="0.2">
      <c r="B72" s="110"/>
      <c r="Z72" s="53"/>
      <c r="AA72" s="53"/>
    </row>
    <row r="73" spans="2:27" s="33" customFormat="1" x14ac:dyDescent="0.2">
      <c r="B73" s="110"/>
      <c r="Z73" s="53"/>
      <c r="AA73" s="53"/>
    </row>
    <row r="74" spans="2:27" s="33" customFormat="1" x14ac:dyDescent="0.2">
      <c r="B74" s="110"/>
      <c r="Z74" s="53"/>
      <c r="AA74" s="53"/>
    </row>
    <row r="75" spans="2:27" s="33" customFormat="1" x14ac:dyDescent="0.2">
      <c r="B75" s="110"/>
      <c r="Z75" s="53"/>
      <c r="AA75" s="53"/>
    </row>
    <row r="76" spans="2:27" s="33" customFormat="1" x14ac:dyDescent="0.2">
      <c r="B76" s="110"/>
      <c r="Z76" s="53"/>
      <c r="AA76" s="53"/>
    </row>
    <row r="77" spans="2:27" s="33" customFormat="1" x14ac:dyDescent="0.2">
      <c r="B77" s="110"/>
      <c r="Z77" s="53"/>
      <c r="AA77" s="53"/>
    </row>
    <row r="78" spans="2:27" s="33" customFormat="1" x14ac:dyDescent="0.2">
      <c r="B78" s="110"/>
      <c r="Z78" s="53"/>
      <c r="AA78" s="53"/>
    </row>
    <row r="79" spans="2:27" s="33" customFormat="1" x14ac:dyDescent="0.2">
      <c r="B79" s="110"/>
      <c r="Z79" s="53"/>
      <c r="AA79" s="53"/>
    </row>
    <row r="80" spans="2:27" s="33" customFormat="1" x14ac:dyDescent="0.2">
      <c r="B80" s="110"/>
      <c r="Z80" s="53"/>
      <c r="AA80" s="53"/>
    </row>
    <row r="81" spans="2:27" s="33" customFormat="1" x14ac:dyDescent="0.2">
      <c r="B81" s="110"/>
      <c r="Z81" s="53"/>
      <c r="AA81" s="53"/>
    </row>
    <row r="82" spans="2:27" s="33" customFormat="1" x14ac:dyDescent="0.2">
      <c r="B82" s="110"/>
      <c r="Z82" s="53"/>
      <c r="AA82" s="53"/>
    </row>
    <row r="83" spans="2:27" s="33" customFormat="1" x14ac:dyDescent="0.2">
      <c r="B83" s="110"/>
      <c r="Z83" s="53"/>
      <c r="AA83" s="53"/>
    </row>
    <row r="84" spans="2:27" s="33" customFormat="1" x14ac:dyDescent="0.2">
      <c r="B84" s="110"/>
      <c r="Z84" s="53"/>
      <c r="AA84" s="53"/>
    </row>
    <row r="85" spans="2:27" s="33" customFormat="1" x14ac:dyDescent="0.2">
      <c r="B85" s="110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abSelected="1" topLeftCell="A11" zoomScale="115" zoomScaleNormal="115" zoomScalePageLayoutView="150" workbookViewId="0">
      <selection activeCell="Q32" sqref="Q32"/>
    </sheetView>
  </sheetViews>
  <sheetFormatPr defaultColWidth="8.7109375" defaultRowHeight="12.75" x14ac:dyDescent="0.2"/>
  <cols>
    <col min="7" max="8" width="12.42578125" customWidth="1"/>
    <col min="9" max="9" width="15.140625" customWidth="1"/>
    <col min="11" max="11" width="9.7109375" customWidth="1"/>
    <col min="13" max="13" width="13.42578125" customWidth="1"/>
    <col min="14" max="14" width="11.42578125" customWidth="1"/>
    <col min="15" max="15" width="13.7109375" customWidth="1"/>
  </cols>
  <sheetData>
    <row r="1" spans="1:15" ht="12.75" customHeight="1" x14ac:dyDescent="0.2">
      <c r="C1" s="205" t="s">
        <v>20</v>
      </c>
      <c r="D1" s="205"/>
      <c r="E1" s="205"/>
      <c r="F1" s="205"/>
    </row>
    <row r="2" spans="1:15" x14ac:dyDescent="0.2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">
      <c r="A3" s="188" t="s">
        <v>16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s="1" customFormat="1" ht="14.25" customHeight="1" x14ac:dyDescent="0.2">
      <c r="A4" s="29"/>
      <c r="B4" s="29"/>
      <c r="C4" s="204" t="s">
        <v>34</v>
      </c>
      <c r="D4" s="204"/>
      <c r="E4" s="204"/>
      <c r="F4" s="204"/>
      <c r="G4" s="207" t="s">
        <v>36</v>
      </c>
      <c r="H4" s="72" t="s">
        <v>35</v>
      </c>
      <c r="I4" s="206" t="s">
        <v>44</v>
      </c>
      <c r="J4" s="206" t="s">
        <v>21</v>
      </c>
      <c r="K4" s="209" t="s">
        <v>23</v>
      </c>
      <c r="L4" s="210" t="s">
        <v>31</v>
      </c>
      <c r="M4" s="29"/>
      <c r="N4" s="31"/>
      <c r="O4" s="31"/>
    </row>
    <row r="5" spans="1:15" ht="12.75" customHeight="1" x14ac:dyDescent="0.2">
      <c r="A5" s="191" t="s">
        <v>39</v>
      </c>
      <c r="B5" s="111"/>
      <c r="C5" s="204"/>
      <c r="D5" s="204"/>
      <c r="E5" s="204"/>
      <c r="F5" s="204"/>
      <c r="G5" s="207"/>
      <c r="H5" s="72"/>
      <c r="I5" s="206"/>
      <c r="J5" s="206"/>
      <c r="K5" s="209"/>
      <c r="L5" s="210"/>
      <c r="M5" s="208" t="s">
        <v>22</v>
      </c>
      <c r="N5" s="208"/>
      <c r="O5" s="208"/>
    </row>
    <row r="6" spans="1:15" ht="16.5" customHeight="1" x14ac:dyDescent="0.2">
      <c r="A6" s="191"/>
      <c r="B6" s="111" t="s">
        <v>61</v>
      </c>
      <c r="C6" s="116">
        <v>0</v>
      </c>
      <c r="D6" s="116">
        <v>21</v>
      </c>
      <c r="E6" s="116">
        <v>42</v>
      </c>
      <c r="F6" s="116">
        <v>63</v>
      </c>
      <c r="G6" s="63"/>
      <c r="H6" s="72"/>
      <c r="I6" s="71"/>
      <c r="J6" s="50"/>
      <c r="K6" s="209"/>
      <c r="L6" s="210"/>
      <c r="M6" s="32" t="s">
        <v>29</v>
      </c>
      <c r="N6" s="32" t="s">
        <v>30</v>
      </c>
      <c r="O6" s="32" t="s">
        <v>38</v>
      </c>
    </row>
    <row r="7" spans="1:15" s="64" customFormat="1" ht="13.5" thickBot="1" x14ac:dyDescent="0.25"/>
    <row r="8" spans="1:15" x14ac:dyDescent="0.2">
      <c r="A8" s="165" t="s">
        <v>68</v>
      </c>
      <c r="B8" s="103"/>
      <c r="C8" s="68">
        <f>'GC rawdata'!V7</f>
        <v>6.5801050571055297E-4</v>
      </c>
      <c r="D8" s="68">
        <f>'GC rawdata'!W7</f>
        <v>5.0271964986222458E-4</v>
      </c>
      <c r="E8" s="68">
        <f>'GC rawdata'!X7</f>
        <v>4.8616139527027033E-4</v>
      </c>
      <c r="F8" s="68">
        <f>'GC rawdata'!Y7</f>
        <v>4.9436920578063259E-4</v>
      </c>
      <c r="G8" s="84" t="str">
        <f>+IF((ABS(F8-C8))&gt;0.000183,"PASS","FAIL")</f>
        <v>FAIL</v>
      </c>
      <c r="H8" s="26">
        <f>+RSQ(C8:F8,$C$2:$F$2)</f>
        <v>0.63717794772401226</v>
      </c>
      <c r="I8" s="84" t="str">
        <f>IF(H8&gt;0.845,"LIN","MISS")</f>
        <v>MISS</v>
      </c>
      <c r="J8" s="84" t="str">
        <f>IF(G8="FAIL","0",IF(I8="LIN",+SLOPE(C8:F8,$C$2:$F$2),"MISS"))</f>
        <v>0</v>
      </c>
      <c r="K8" s="27">
        <f>'Field data'!K10</f>
        <v>22.657784721701756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">
      <c r="A9" s="166" t="s">
        <v>69</v>
      </c>
      <c r="B9" s="103"/>
      <c r="C9" s="68">
        <f>'GC rawdata'!V8</f>
        <v>5.0588173747892083E-4</v>
      </c>
      <c r="D9" s="68">
        <f>'GC rawdata'!W8</f>
        <v>5.3408367187500016E-4</v>
      </c>
      <c r="E9" s="68">
        <f>'GC rawdata'!X8</f>
        <v>5.564352463752933E-4</v>
      </c>
      <c r="F9" s="68">
        <f>'GC rawdata'!Y8</f>
        <v>5.6975456844146101E-4</v>
      </c>
      <c r="G9" s="84" t="str">
        <f t="shared" ref="G9:G19" si="0">+IF((ABS(F9-C9))&gt;0.000183,"PASS","FAIL")</f>
        <v>FAIL</v>
      </c>
      <c r="H9" s="26">
        <f t="shared" ref="H9:H19" si="1">+RSQ(C9:F9,$C$2:$F$2)</f>
        <v>0.97617128521481822</v>
      </c>
      <c r="I9" s="84" t="str">
        <f t="shared" ref="I9:I19" si="2">IF(H9&gt;0.845,"LIN","MISS")</f>
        <v>LIN</v>
      </c>
      <c r="J9" s="84" t="str">
        <f t="shared" ref="J9:J19" si="3">IF(G9="FAIL","0",IF(I9="LIN",+SLOPE(C9:F9,$C$2:$F$2),"MISS"))</f>
        <v>0</v>
      </c>
      <c r="K9" s="27">
        <f>'Field data'!K11</f>
        <v>22.86283254723752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">
      <c r="A10" s="166" t="s">
        <v>70</v>
      </c>
      <c r="B10" s="103"/>
      <c r="C10" s="68">
        <f>'GC rawdata'!V9</f>
        <v>5.0735545888157913E-4</v>
      </c>
      <c r="D10" s="68">
        <f>'GC rawdata'!W9</f>
        <v>5.1011141121945112E-4</v>
      </c>
      <c r="E10" s="68">
        <f>'GC rawdata'!X9</f>
        <v>4.9498217658497834E-4</v>
      </c>
      <c r="F10" s="68">
        <f>'GC rawdata'!Y9</f>
        <v>4.9907578613184091E-4</v>
      </c>
      <c r="G10" s="84" t="str">
        <f t="shared" si="0"/>
        <v>FAIL</v>
      </c>
      <c r="H10" s="26">
        <f t="shared" si="1"/>
        <v>0.53544741681057229</v>
      </c>
      <c r="I10" s="84" t="str">
        <f t="shared" si="2"/>
        <v>MISS</v>
      </c>
      <c r="J10" s="84" t="str">
        <f t="shared" si="3"/>
        <v>0</v>
      </c>
      <c r="K10" s="27">
        <f>'Field data'!K12</f>
        <v>21.769244144380121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">
      <c r="A11" s="166" t="s">
        <v>71</v>
      </c>
      <c r="B11" s="103"/>
      <c r="C11" s="68">
        <f>'GC rawdata'!V10</f>
        <v>6.2987150182344071E-4</v>
      </c>
      <c r="D11" s="68">
        <f>'GC rawdata'!W10</f>
        <v>5.7129959194731586E-4</v>
      </c>
      <c r="E11" s="68">
        <f>'GC rawdata'!X10</f>
        <v>5.6133477894518291E-4</v>
      </c>
      <c r="F11" s="68">
        <f>'GC rawdata'!Y10</f>
        <v>5.2785143467701766E-4</v>
      </c>
      <c r="G11" s="84" t="str">
        <f t="shared" si="0"/>
        <v>FAIL</v>
      </c>
      <c r="H11" s="26">
        <f t="shared" si="1"/>
        <v>0.92284972969629331</v>
      </c>
      <c r="I11" s="84" t="str">
        <f t="shared" si="2"/>
        <v>LIN</v>
      </c>
      <c r="J11" s="86" t="str">
        <f t="shared" si="3"/>
        <v>0</v>
      </c>
      <c r="K11" s="27">
        <f>'Field data'!K13</f>
        <v>21.871768057148003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">
      <c r="A12" s="166" t="s">
        <v>72</v>
      </c>
      <c r="B12" s="103"/>
      <c r="C12" s="68">
        <f>'GC rawdata'!V11</f>
        <v>5.1962143069556456E-4</v>
      </c>
      <c r="D12" s="68">
        <f>'GC rawdata'!W11</f>
        <v>5.102868547836939E-4</v>
      </c>
      <c r="E12" s="68">
        <f>'GC rawdata'!X11</f>
        <v>6.0350882202440254E-4</v>
      </c>
      <c r="F12" s="68">
        <f>'GC rawdata'!Y11</f>
        <v>5.4148790634322183E-4</v>
      </c>
      <c r="G12" s="84" t="str">
        <f t="shared" si="0"/>
        <v>FAIL</v>
      </c>
      <c r="H12" s="26">
        <f t="shared" si="1"/>
        <v>0.23894725252109014</v>
      </c>
      <c r="I12" s="84" t="str">
        <f t="shared" si="2"/>
        <v>MISS</v>
      </c>
      <c r="J12" s="86" t="str">
        <f t="shared" si="3"/>
        <v>0</v>
      </c>
      <c r="K12" s="27">
        <f>'Field data'!K14</f>
        <v>22.572348127728521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">
      <c r="A13" s="166" t="s">
        <v>73</v>
      </c>
      <c r="B13" s="103"/>
      <c r="C13" s="68">
        <f>'GC rawdata'!V12</f>
        <v>4.8460505256198351E-4</v>
      </c>
      <c r="D13" s="68">
        <f>'GC rawdata'!W12</f>
        <v>5.0911193863636365E-4</v>
      </c>
      <c r="E13" s="68">
        <f>'GC rawdata'!X12</f>
        <v>4.9120096665158008E-4</v>
      </c>
      <c r="F13" s="68">
        <f>'GC rawdata'!Y12</f>
        <v>4.9682052486005942E-4</v>
      </c>
      <c r="G13" s="84" t="str">
        <f t="shared" si="0"/>
        <v>FAIL</v>
      </c>
      <c r="H13" s="26">
        <f t="shared" si="1"/>
        <v>5.4137004246879998E-2</v>
      </c>
      <c r="I13" s="84" t="str">
        <f t="shared" si="2"/>
        <v>MISS</v>
      </c>
      <c r="J13" s="86" t="str">
        <f t="shared" si="3"/>
        <v>0</v>
      </c>
      <c r="K13" s="27">
        <f>'Field data'!K15</f>
        <v>22.43564957737135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">
      <c r="A14" s="166" t="s">
        <v>74</v>
      </c>
      <c r="B14" s="163"/>
      <c r="C14" s="68">
        <f>'GC rawdata'!V13</f>
        <v>4.9905676334431647E-4</v>
      </c>
      <c r="D14" s="68">
        <f>'GC rawdata'!W13</f>
        <v>5.3394757468905481E-4</v>
      </c>
      <c r="E14" s="68">
        <f>'GC rawdata'!X13</f>
        <v>5.4743323385761595E-4</v>
      </c>
      <c r="F14" s="68">
        <f>'GC rawdata'!Y13</f>
        <v>5.914789795792081E-4</v>
      </c>
      <c r="G14" s="84" t="str">
        <f t="shared" si="0"/>
        <v>FAIL</v>
      </c>
      <c r="H14" s="26">
        <f t="shared" si="1"/>
        <v>0.96441273237354885</v>
      </c>
      <c r="I14" s="84" t="str">
        <f t="shared" si="2"/>
        <v>LIN</v>
      </c>
      <c r="J14" s="86" t="str">
        <f t="shared" si="3"/>
        <v>0</v>
      </c>
      <c r="K14" s="26">
        <f>'Field data'!K16</f>
        <v>22.589435446523169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ht="13.5" thickBot="1" x14ac:dyDescent="0.25">
      <c r="A15" s="167" t="s">
        <v>75</v>
      </c>
      <c r="B15" s="163"/>
      <c r="C15" s="68">
        <f>'GC rawdata'!V14</f>
        <v>5.0451817926276774E-4</v>
      </c>
      <c r="D15" s="68">
        <f>'GC rawdata'!W14</f>
        <v>5.1175375162524706E-4</v>
      </c>
      <c r="E15" s="68">
        <f>'GC rawdata'!X14</f>
        <v>5.3074150162846321E-4</v>
      </c>
      <c r="F15" s="68">
        <f>'GC rawdata'!Y14</f>
        <v>5.121035953525642E-4</v>
      </c>
      <c r="G15" s="84" t="str">
        <f t="shared" si="0"/>
        <v>FAIL</v>
      </c>
      <c r="H15" s="26">
        <f t="shared" si="1"/>
        <v>0.23147990875062358</v>
      </c>
      <c r="I15" s="84" t="str">
        <f t="shared" si="2"/>
        <v>MISS</v>
      </c>
      <c r="J15" s="86" t="str">
        <f t="shared" si="3"/>
        <v>0</v>
      </c>
      <c r="K15" s="26">
        <f>'Field data'!K17</f>
        <v>22.623610084112464</v>
      </c>
      <c r="L15" s="26">
        <f>'Field data'!L17*0.0001</f>
        <v>6.8349275178587507E-2</v>
      </c>
      <c r="M15" s="6">
        <f t="shared" si="4"/>
        <v>0</v>
      </c>
      <c r="N15" s="6">
        <f t="shared" si="5"/>
        <v>0</v>
      </c>
      <c r="O15" s="6">
        <f t="shared" si="6"/>
        <v>0</v>
      </c>
    </row>
    <row r="16" spans="1:15" s="1" customFormat="1" x14ac:dyDescent="0.2">
      <c r="A16" s="102"/>
      <c r="B16" s="163"/>
      <c r="C16" s="68">
        <f>'GC rawdata'!V15</f>
        <v>0</v>
      </c>
      <c r="D16" s="68">
        <f>'GC rawdata'!W15</f>
        <v>0</v>
      </c>
      <c r="E16" s="68">
        <f>'GC rawdata'!X15</f>
        <v>0</v>
      </c>
      <c r="F16" s="68">
        <f>'GC rawdata'!Y15</f>
        <v>0</v>
      </c>
      <c r="G16" s="84" t="str">
        <f t="shared" si="0"/>
        <v>FAIL</v>
      </c>
      <c r="H16" s="26" t="e">
        <f t="shared" si="1"/>
        <v>#DIV/0!</v>
      </c>
      <c r="I16" s="84" t="e">
        <f t="shared" si="2"/>
        <v>#DIV/0!</v>
      </c>
      <c r="J16" s="86" t="str">
        <f t="shared" si="3"/>
        <v>0</v>
      </c>
      <c r="K16" s="26" t="e">
        <f>'Field data'!K18</f>
        <v>#DIV/0!</v>
      </c>
      <c r="L16" s="26">
        <f>'Field data'!L18*0.0001</f>
        <v>6.8349275178587507E-2</v>
      </c>
      <c r="M16" s="6" t="e">
        <f t="shared" si="4"/>
        <v>#DIV/0!</v>
      </c>
      <c r="N16" s="6" t="e">
        <f t="shared" si="5"/>
        <v>#DIV/0!</v>
      </c>
      <c r="O16" s="6" t="e">
        <f t="shared" si="6"/>
        <v>#DIV/0!</v>
      </c>
    </row>
    <row r="17" spans="1:15" s="141" customFormat="1" x14ac:dyDescent="0.2">
      <c r="A17" s="134" t="s">
        <v>66</v>
      </c>
      <c r="B17" s="135"/>
      <c r="C17" s="136">
        <f>'GC rawdata'!V16</f>
        <v>0</v>
      </c>
      <c r="D17" s="136">
        <f>'GC rawdata'!W16</f>
        <v>0</v>
      </c>
      <c r="E17" s="136">
        <f>'GC rawdata'!X16</f>
        <v>0</v>
      </c>
      <c r="F17" s="136">
        <f>'GC rawdata'!Y16</f>
        <v>0</v>
      </c>
      <c r="G17" s="137" t="str">
        <f t="shared" si="0"/>
        <v>FAIL</v>
      </c>
      <c r="H17" s="138" t="e">
        <f t="shared" si="1"/>
        <v>#DIV/0!</v>
      </c>
      <c r="I17" s="137" t="e">
        <f t="shared" si="2"/>
        <v>#DIV/0!</v>
      </c>
      <c r="J17" s="139" t="str">
        <f t="shared" si="3"/>
        <v>0</v>
      </c>
      <c r="K17" s="138" t="e">
        <f>'Field data'!K19</f>
        <v>#DIV/0!</v>
      </c>
      <c r="L17" s="138">
        <f>'Field data'!L19*0.0001</f>
        <v>6.8349275178587507E-2</v>
      </c>
      <c r="M17" s="140" t="e">
        <f t="shared" si="4"/>
        <v>#DIV/0!</v>
      </c>
      <c r="N17" s="140" t="e">
        <f t="shared" si="5"/>
        <v>#DIV/0!</v>
      </c>
      <c r="O17" s="140" t="e">
        <f t="shared" si="6"/>
        <v>#DIV/0!</v>
      </c>
    </row>
    <row r="18" spans="1:15" s="141" customFormat="1" x14ac:dyDescent="0.2">
      <c r="A18" s="134" t="s">
        <v>66</v>
      </c>
      <c r="B18" s="135"/>
      <c r="C18" s="136">
        <f>'GC rawdata'!V17</f>
        <v>0</v>
      </c>
      <c r="D18" s="136">
        <f>'GC rawdata'!W17</f>
        <v>0</v>
      </c>
      <c r="E18" s="136">
        <f>'GC rawdata'!X17</f>
        <v>0</v>
      </c>
      <c r="F18" s="136">
        <f>'GC rawdata'!Y17</f>
        <v>0</v>
      </c>
      <c r="G18" s="137" t="str">
        <f t="shared" si="0"/>
        <v>FAIL</v>
      </c>
      <c r="H18" s="138" t="e">
        <f t="shared" si="1"/>
        <v>#DIV/0!</v>
      </c>
      <c r="I18" s="137" t="e">
        <f t="shared" si="2"/>
        <v>#DIV/0!</v>
      </c>
      <c r="J18" s="139" t="str">
        <f t="shared" si="3"/>
        <v>0</v>
      </c>
      <c r="K18" s="138" t="e">
        <f>'Field data'!K20</f>
        <v>#DIV/0!</v>
      </c>
      <c r="L18" s="138">
        <f>'Field data'!L20*0.0001</f>
        <v>6.8349275178587507E-2</v>
      </c>
      <c r="M18" s="140" t="e">
        <f t="shared" si="4"/>
        <v>#DIV/0!</v>
      </c>
      <c r="N18" s="140" t="e">
        <f t="shared" si="5"/>
        <v>#DIV/0!</v>
      </c>
      <c r="O18" s="140" t="e">
        <f t="shared" si="6"/>
        <v>#DIV/0!</v>
      </c>
    </row>
    <row r="19" spans="1:15" s="141" customFormat="1" x14ac:dyDescent="0.2">
      <c r="A19" s="134" t="s">
        <v>66</v>
      </c>
      <c r="B19" s="135"/>
      <c r="C19" s="136">
        <f>'GC rawdata'!V18</f>
        <v>0</v>
      </c>
      <c r="D19" s="136">
        <f>'GC rawdata'!W18</f>
        <v>0</v>
      </c>
      <c r="E19" s="136">
        <f>'GC rawdata'!X18</f>
        <v>0</v>
      </c>
      <c r="F19" s="136">
        <f>'GC rawdata'!Y18</f>
        <v>0</v>
      </c>
      <c r="G19" s="137" t="str">
        <f t="shared" si="0"/>
        <v>FAIL</v>
      </c>
      <c r="H19" s="138" t="e">
        <f t="shared" si="1"/>
        <v>#DIV/0!</v>
      </c>
      <c r="I19" s="137" t="e">
        <f t="shared" si="2"/>
        <v>#DIV/0!</v>
      </c>
      <c r="J19" s="139" t="str">
        <f t="shared" si="3"/>
        <v>0</v>
      </c>
      <c r="K19" s="138" t="e">
        <f>'Field data'!K21</f>
        <v>#DIV/0!</v>
      </c>
      <c r="L19" s="138">
        <f>'Field data'!L21*0.0001</f>
        <v>6.8349275178587507E-2</v>
      </c>
      <c r="M19" s="140" t="e">
        <f t="shared" si="4"/>
        <v>#DIV/0!</v>
      </c>
      <c r="N19" s="140" t="e">
        <f t="shared" si="5"/>
        <v>#DIV/0!</v>
      </c>
      <c r="O19" s="140" t="e">
        <f t="shared" si="6"/>
        <v>#DIV/0!</v>
      </c>
    </row>
    <row r="22" spans="1:15" x14ac:dyDescent="0.2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15" x14ac:dyDescent="0.2">
      <c r="A23" s="196" t="s">
        <v>15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</row>
    <row r="24" spans="1:15" x14ac:dyDescent="0.2">
      <c r="A24" s="46"/>
      <c r="B24" s="46"/>
      <c r="C24" s="197" t="s">
        <v>45</v>
      </c>
      <c r="D24" s="197"/>
      <c r="E24" s="197"/>
      <c r="F24" s="197"/>
      <c r="G24" s="198" t="s">
        <v>36</v>
      </c>
      <c r="H24" s="48" t="s">
        <v>35</v>
      </c>
      <c r="I24" s="199" t="s">
        <v>44</v>
      </c>
      <c r="J24" s="199" t="s">
        <v>21</v>
      </c>
      <c r="K24" s="200" t="s">
        <v>23</v>
      </c>
      <c r="L24" s="201" t="s">
        <v>31</v>
      </c>
      <c r="M24" s="46"/>
      <c r="N24" s="47"/>
      <c r="O24" s="47"/>
    </row>
    <row r="25" spans="1:15" x14ac:dyDescent="0.2">
      <c r="A25" s="202" t="s">
        <v>39</v>
      </c>
      <c r="B25" s="112"/>
      <c r="C25" s="197"/>
      <c r="D25" s="197"/>
      <c r="E25" s="197"/>
      <c r="F25" s="197"/>
      <c r="G25" s="198"/>
      <c r="H25" s="48"/>
      <c r="I25" s="199"/>
      <c r="J25" s="199"/>
      <c r="K25" s="200"/>
      <c r="L25" s="201"/>
      <c r="M25" s="203" t="s">
        <v>46</v>
      </c>
      <c r="N25" s="203"/>
      <c r="O25" s="203"/>
    </row>
    <row r="26" spans="1:15" ht="22.5" x14ac:dyDescent="0.2">
      <c r="A26" s="202"/>
      <c r="B26" s="112" t="s">
        <v>61</v>
      </c>
      <c r="C26" s="117">
        <v>0</v>
      </c>
      <c r="D26" s="117">
        <v>21</v>
      </c>
      <c r="E26" s="117">
        <v>42</v>
      </c>
      <c r="F26" s="117">
        <v>63</v>
      </c>
      <c r="G26" s="73"/>
      <c r="H26" s="48"/>
      <c r="I26" s="73"/>
      <c r="J26" s="66"/>
      <c r="K26" s="200"/>
      <c r="L26" s="201"/>
      <c r="M26" s="49" t="s">
        <v>29</v>
      </c>
      <c r="N26" s="49" t="s">
        <v>30</v>
      </c>
      <c r="O26" s="49" t="s">
        <v>38</v>
      </c>
    </row>
    <row r="27" spans="1:15" ht="13.5" thickBo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2">
      <c r="A28" s="165" t="s">
        <v>68</v>
      </c>
      <c r="B28" s="103"/>
      <c r="C28" s="68">
        <f>'GC rawdata'!V26</f>
        <v>3.3756576764792652E-3</v>
      </c>
      <c r="D28" s="68">
        <f>'GC rawdata'!W26</f>
        <v>5.7964329537199405E-3</v>
      </c>
      <c r="E28" s="68">
        <f>'GC rawdata'!X26</f>
        <v>8.4924770730105126E-3</v>
      </c>
      <c r="F28" s="68">
        <f>'GC rawdata'!Y26</f>
        <v>1.0635774818737649E-2</v>
      </c>
      <c r="G28" s="84" t="str">
        <f>+IF((ABS(F28-C28))&gt;0.000183,"PASS","FAIL")</f>
        <v>PASS</v>
      </c>
      <c r="H28" s="26">
        <f>+RSQ(C28:F28,$C$2:$F$2)</f>
        <v>0.99821619227830405</v>
      </c>
      <c r="I28" s="84" t="str">
        <f>IF(H28&gt;0.845,"LIN","MISS")</f>
        <v>LIN</v>
      </c>
      <c r="J28" s="86">
        <f>IF(G28="FAIL","0",IF(I28="LIN",+SLOPE(C28:F28,$C$2:$F$2),"MISS"))</f>
        <v>1.1655426450507489E-4</v>
      </c>
      <c r="K28" s="27">
        <f>'Field data'!K10</f>
        <v>22.657784721701756</v>
      </c>
      <c r="L28" s="27">
        <f>'Field data'!L10*0.0001</f>
        <v>6.8349275178587507E-2</v>
      </c>
      <c r="M28" s="28">
        <f>IF(J28="MISS","MISS",((K28/L28)*J28))</f>
        <v>3.8637738683432316E-2</v>
      </c>
      <c r="N28" s="28">
        <f>IF(M28="MISS","MISS",M28*60)</f>
        <v>2.3182643210059388</v>
      </c>
      <c r="O28" s="28">
        <f>IF(N28="MISS","MISS",N28*240)</f>
        <v>556.38343704142528</v>
      </c>
    </row>
    <row r="29" spans="1:15" x14ac:dyDescent="0.2">
      <c r="A29" s="166" t="s">
        <v>69</v>
      </c>
      <c r="B29" s="103"/>
      <c r="C29" s="68">
        <f>'GC rawdata'!V27</f>
        <v>5.2552779469856679E-3</v>
      </c>
      <c r="D29" s="68">
        <f>'GC rawdata'!W27</f>
        <v>9.6904320131325425E-3</v>
      </c>
      <c r="E29" s="68">
        <f>'GC rawdata'!X27</f>
        <v>1.4497293185237178E-2</v>
      </c>
      <c r="F29" s="68">
        <f>'GC rawdata'!Y27</f>
        <v>1.869498301794947E-2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0.99938944337931046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2.1488560183331449E-4</v>
      </c>
      <c r="K29" s="27">
        <f>'Field data'!K11</f>
        <v>22.86283254723752</v>
      </c>
      <c r="L29" s="27">
        <f>'Field data'!L11*0.0001</f>
        <v>6.8349275178587507E-2</v>
      </c>
      <c r="M29" s="28">
        <f t="shared" ref="M29:M39" si="11">IF(J29="MISS","MISS",((K29/L29)*J29))</f>
        <v>7.1879233813243695E-2</v>
      </c>
      <c r="N29" s="28">
        <f t="shared" ref="N29:N39" si="12">IF(M29="MISS","MISS",M29*60)</f>
        <v>4.3127540287946218</v>
      </c>
      <c r="O29" s="28">
        <f t="shared" ref="O29" si="13">IF(N29="MISS","MISS",N29*240)</f>
        <v>1035.0609669107093</v>
      </c>
    </row>
    <row r="30" spans="1:15" x14ac:dyDescent="0.2">
      <c r="A30" s="166" t="s">
        <v>70</v>
      </c>
      <c r="B30" s="103"/>
      <c r="C30" s="68">
        <f>'GC rawdata'!V28</f>
        <v>2.5614047985197375E-3</v>
      </c>
      <c r="D30" s="68">
        <f>'GC rawdata'!W28</f>
        <v>3.3986624871317379E-3</v>
      </c>
      <c r="E30" s="68">
        <f>'GC rawdata'!X28</f>
        <v>4.0963239604591851E-3</v>
      </c>
      <c r="F30" s="68">
        <f>'GC rawdata'!Y28</f>
        <v>4.6914750425995034E-3</v>
      </c>
      <c r="G30" s="84" t="str">
        <f t="shared" si="7"/>
        <v>PASS</v>
      </c>
      <c r="H30" s="26">
        <f t="shared" si="8"/>
        <v>0.99417297643594804</v>
      </c>
      <c r="I30" s="84" t="str">
        <f t="shared" si="9"/>
        <v>LIN</v>
      </c>
      <c r="J30" s="86">
        <f t="shared" si="10"/>
        <v>3.3751772407460694E-5</v>
      </c>
      <c r="K30" s="27">
        <f>'Field data'!K12</f>
        <v>21.769244144380121</v>
      </c>
      <c r="L30" s="27">
        <f>'Field data'!L12*0.0001</f>
        <v>6.8349275178587507E-2</v>
      </c>
      <c r="M30" s="28">
        <f t="shared" si="11"/>
        <v>1.0749939511776231E-2</v>
      </c>
      <c r="N30" s="28">
        <f t="shared" si="12"/>
        <v>0.6449963707065739</v>
      </c>
      <c r="O30" s="28">
        <f t="shared" ref="O30" si="14">IF(N30="MISS","MISS",N30*240)</f>
        <v>154.79912896957774</v>
      </c>
    </row>
    <row r="31" spans="1:15" x14ac:dyDescent="0.2">
      <c r="A31" s="166" t="s">
        <v>71</v>
      </c>
      <c r="B31" s="103"/>
      <c r="C31" s="68">
        <f>'GC rawdata'!V29</f>
        <v>2.0817214823314893E-3</v>
      </c>
      <c r="D31" s="68">
        <f>'GC rawdata'!W29</f>
        <v>2.753981520934062E-2</v>
      </c>
      <c r="E31" s="68">
        <f>'GC rawdata'!X29</f>
        <v>3.8621069080253333E-2</v>
      </c>
      <c r="F31" s="68">
        <f>'GC rawdata'!Y29</f>
        <v>5.3925744234577383E-2</v>
      </c>
      <c r="G31" s="84" t="str">
        <f t="shared" si="7"/>
        <v>PASS</v>
      </c>
      <c r="H31" s="26">
        <f>+RSQ(C31:F31,$C$2:$F$2)</f>
        <v>0.96990264612479093</v>
      </c>
      <c r="I31" s="84" t="str">
        <f t="shared" si="9"/>
        <v>LIN</v>
      </c>
      <c r="J31" s="86">
        <f t="shared" si="10"/>
        <v>7.9339677203643048E-4</v>
      </c>
      <c r="K31" s="27">
        <f>'Field data'!K13</f>
        <v>21.871768057148003</v>
      </c>
      <c r="L31" s="27">
        <f>'Field data'!L13*0.0001</f>
        <v>6.8349275178587507E-2</v>
      </c>
      <c r="M31" s="28">
        <f t="shared" si="11"/>
        <v>0.25388696705165775</v>
      </c>
      <c r="N31" s="28">
        <f t="shared" si="12"/>
        <v>15.233218023099464</v>
      </c>
      <c r="O31" s="28">
        <f t="shared" ref="O31:O39" si="15">IF(N31="MISS","MISS",N31*240)</f>
        <v>3655.9723255438716</v>
      </c>
    </row>
    <row r="32" spans="1:15" x14ac:dyDescent="0.2">
      <c r="A32" s="166" t="s">
        <v>72</v>
      </c>
      <c r="B32" s="103"/>
      <c r="C32" s="68">
        <f>'GC rawdata'!V30</f>
        <v>3.8734919868321578E-3</v>
      </c>
      <c r="D32" s="68">
        <f>'GC rawdata'!W30</f>
        <v>9.5653234289725473E-3</v>
      </c>
      <c r="E32" s="68"/>
      <c r="F32" s="68">
        <f>'GC rawdata'!Y30</f>
        <v>2.2107180551561988E-2</v>
      </c>
      <c r="G32" s="84" t="str">
        <f t="shared" si="7"/>
        <v>PASS</v>
      </c>
      <c r="H32" s="26">
        <f t="shared" ref="H32:H39" si="16">+RSQ(C32:F32,$C$2:$F$2)</f>
        <v>0.99944950887667439</v>
      </c>
      <c r="I32" s="84" t="str">
        <f t="shared" si="9"/>
        <v>LIN</v>
      </c>
      <c r="J32" s="86">
        <f t="shared" si="10"/>
        <v>2.9073677340649238E-4</v>
      </c>
      <c r="K32" s="27">
        <f>'Field data'!K14</f>
        <v>22.572348127728521</v>
      </c>
      <c r="L32" s="27">
        <f>'Field data'!L14*0.0001</f>
        <v>6.8349275178587507E-2</v>
      </c>
      <c r="M32" s="28">
        <f t="shared" si="11"/>
        <v>9.6015819417494097E-2</v>
      </c>
      <c r="N32" s="28">
        <f t="shared" si="12"/>
        <v>5.760949165049646</v>
      </c>
      <c r="O32" s="28">
        <f t="shared" si="15"/>
        <v>1382.627799611915</v>
      </c>
    </row>
    <row r="33" spans="1:15" x14ac:dyDescent="0.2">
      <c r="A33" s="166" t="s">
        <v>73</v>
      </c>
      <c r="B33" s="103"/>
      <c r="C33" s="68">
        <f>'GC rawdata'!V31</f>
        <v>3.1056977451446284E-3</v>
      </c>
      <c r="D33" s="68">
        <f>'GC rawdata'!W31</f>
        <v>5.0580943837809922E-3</v>
      </c>
      <c r="E33" s="68">
        <f>'GC rawdata'!X31</f>
        <v>7.0179494230373611E-3</v>
      </c>
      <c r="F33" s="68">
        <f>'GC rawdata'!Y31</f>
        <v>8.4916158286343444E-3</v>
      </c>
      <c r="G33" s="84" t="str">
        <f t="shared" si="7"/>
        <v>PASS</v>
      </c>
      <c r="H33" s="26">
        <f t="shared" si="16"/>
        <v>0.99578445675791816</v>
      </c>
      <c r="I33" s="84" t="str">
        <f t="shared" si="9"/>
        <v>LIN</v>
      </c>
      <c r="J33" s="86">
        <f t="shared" si="10"/>
        <v>8.627432995107389E-5</v>
      </c>
      <c r="K33" s="27">
        <f>'Field data'!K15</f>
        <v>22.43564957737135</v>
      </c>
      <c r="L33" s="27">
        <f>'Field data'!L15*0.0001</f>
        <v>6.8349275178587507E-2</v>
      </c>
      <c r="M33" s="28">
        <f t="shared" si="11"/>
        <v>2.8319548806440005E-2</v>
      </c>
      <c r="N33" s="28">
        <f t="shared" si="12"/>
        <v>1.6991729283864003</v>
      </c>
      <c r="O33" s="28">
        <f t="shared" si="15"/>
        <v>407.80150281273609</v>
      </c>
    </row>
    <row r="34" spans="1:15" s="1" customFormat="1" x14ac:dyDescent="0.2">
      <c r="A34" s="166" t="s">
        <v>74</v>
      </c>
      <c r="B34" s="163"/>
      <c r="C34" s="68">
        <f>'GC rawdata'!V32</f>
        <v>2.8598051592874795E-3</v>
      </c>
      <c r="D34" s="68">
        <f>'GC rawdata'!W32</f>
        <v>4.7707222745646772E-3</v>
      </c>
      <c r="E34" s="68">
        <f>'GC rawdata'!X32</f>
        <v>6.3365982016763247E-3</v>
      </c>
      <c r="F34" s="68">
        <f>'GC rawdata'!Y32</f>
        <v>6.9820158542698027E-3</v>
      </c>
      <c r="G34" s="84" t="str">
        <f t="shared" si="7"/>
        <v>PASS</v>
      </c>
      <c r="H34" s="26">
        <f t="shared" si="16"/>
        <v>0.95881248619721238</v>
      </c>
      <c r="I34" s="84" t="str">
        <f t="shared" si="9"/>
        <v>LIN</v>
      </c>
      <c r="J34" s="86">
        <f t="shared" si="10"/>
        <v>6.6345276247898176E-5</v>
      </c>
      <c r="K34" s="26">
        <f>'Field data'!K16</f>
        <v>22.589435446523169</v>
      </c>
      <c r="L34" s="26">
        <f>'Field data'!L16*0.0001</f>
        <v>6.8349275178587507E-2</v>
      </c>
      <c r="M34" s="6">
        <f t="shared" si="11"/>
        <v>2.1927113799930342E-2</v>
      </c>
      <c r="N34" s="6">
        <f t="shared" si="12"/>
        <v>1.3156268279958205</v>
      </c>
      <c r="O34" s="6">
        <f t="shared" si="15"/>
        <v>315.75043871899692</v>
      </c>
    </row>
    <row r="35" spans="1:15" s="1" customFormat="1" ht="13.5" thickBot="1" x14ac:dyDescent="0.25">
      <c r="A35" s="167" t="s">
        <v>75</v>
      </c>
      <c r="B35" s="163"/>
      <c r="C35" s="68">
        <f>'GC rawdata'!V33</f>
        <v>2.9094109346169687E-3</v>
      </c>
      <c r="D35" s="68">
        <f>'GC rawdata'!W33</f>
        <v>4.3357042522835752E-3</v>
      </c>
      <c r="E35" s="68">
        <f>'GC rawdata'!X33</f>
        <v>5.5670833745258925E-3</v>
      </c>
      <c r="F35" s="68">
        <f>'GC rawdata'!Y33</f>
        <v>6.6905608934294874E-3</v>
      </c>
      <c r="G35" s="84" t="str">
        <f t="shared" si="7"/>
        <v>PASS</v>
      </c>
      <c r="H35" s="26">
        <f t="shared" si="16"/>
        <v>0.99706128236734703</v>
      </c>
      <c r="I35" s="84" t="str">
        <f t="shared" si="9"/>
        <v>LIN</v>
      </c>
      <c r="J35" s="86">
        <f t="shared" si="10"/>
        <v>5.9880138088951775E-5</v>
      </c>
      <c r="K35" s="26">
        <f>'Field data'!K17</f>
        <v>22.623610084112464</v>
      </c>
      <c r="L35" s="26">
        <f>'Field data'!L17*0.0001</f>
        <v>6.8349275178587507E-2</v>
      </c>
      <c r="M35" s="6">
        <f t="shared" si="11"/>
        <v>1.9820325707443038E-2</v>
      </c>
      <c r="N35" s="6">
        <f t="shared" si="12"/>
        <v>1.1892195424465823</v>
      </c>
      <c r="O35" s="6">
        <f t="shared" si="15"/>
        <v>285.41269018717975</v>
      </c>
    </row>
    <row r="36" spans="1:15" s="1" customFormat="1" x14ac:dyDescent="0.2">
      <c r="A36" s="102"/>
      <c r="B36" s="163"/>
      <c r="C36" s="68">
        <f>'GC rawdata'!V34</f>
        <v>0</v>
      </c>
      <c r="D36" s="68">
        <f>'GC rawdata'!W34</f>
        <v>0</v>
      </c>
      <c r="E36" s="68">
        <f>'GC rawdata'!X34</f>
        <v>0</v>
      </c>
      <c r="F36" s="68">
        <f>'GC rawdata'!Y34</f>
        <v>0</v>
      </c>
      <c r="G36" s="84" t="str">
        <f t="shared" si="7"/>
        <v>FAIL</v>
      </c>
      <c r="H36" s="26" t="e">
        <f t="shared" si="16"/>
        <v>#DIV/0!</v>
      </c>
      <c r="I36" s="84" t="e">
        <f t="shared" si="9"/>
        <v>#DIV/0!</v>
      </c>
      <c r="J36" s="86" t="str">
        <f t="shared" si="10"/>
        <v>0</v>
      </c>
      <c r="K36" s="26" t="e">
        <f>'Field data'!K18</f>
        <v>#DIV/0!</v>
      </c>
      <c r="L36" s="26">
        <f>'Field data'!L18*0.0001</f>
        <v>6.8349275178587507E-2</v>
      </c>
      <c r="M36" s="6" t="e">
        <f t="shared" si="11"/>
        <v>#DIV/0!</v>
      </c>
      <c r="N36" s="6" t="e">
        <f t="shared" si="12"/>
        <v>#DIV/0!</v>
      </c>
      <c r="O36" s="6" t="e">
        <f t="shared" si="15"/>
        <v>#DIV/0!</v>
      </c>
    </row>
    <row r="37" spans="1:15" s="141" customFormat="1" x14ac:dyDescent="0.2">
      <c r="A37" s="134" t="s">
        <v>66</v>
      </c>
      <c r="B37" s="135"/>
      <c r="C37" s="136">
        <f>'GC rawdata'!V35</f>
        <v>0</v>
      </c>
      <c r="D37" s="136">
        <f>'GC rawdata'!W35</f>
        <v>0</v>
      </c>
      <c r="E37" s="136">
        <f>'GC rawdata'!X35</f>
        <v>0</v>
      </c>
      <c r="F37" s="136">
        <f>'GC rawdata'!Y35</f>
        <v>0</v>
      </c>
      <c r="G37" s="137" t="str">
        <f t="shared" si="7"/>
        <v>FAIL</v>
      </c>
      <c r="H37" s="138" t="e">
        <f t="shared" si="16"/>
        <v>#DIV/0!</v>
      </c>
      <c r="I37" s="137" t="e">
        <f t="shared" si="9"/>
        <v>#DIV/0!</v>
      </c>
      <c r="J37" s="139" t="str">
        <f t="shared" si="10"/>
        <v>0</v>
      </c>
      <c r="K37" s="138" t="e">
        <f>'Field data'!K19</f>
        <v>#DIV/0!</v>
      </c>
      <c r="L37" s="138">
        <f>'Field data'!L19*0.0001</f>
        <v>6.8349275178587507E-2</v>
      </c>
      <c r="M37" s="140" t="e">
        <f t="shared" si="11"/>
        <v>#DIV/0!</v>
      </c>
      <c r="N37" s="140" t="e">
        <f t="shared" si="12"/>
        <v>#DIV/0!</v>
      </c>
      <c r="O37" s="140" t="e">
        <f t="shared" si="15"/>
        <v>#DIV/0!</v>
      </c>
    </row>
    <row r="38" spans="1:15" s="141" customFormat="1" x14ac:dyDescent="0.2">
      <c r="A38" s="134" t="s">
        <v>66</v>
      </c>
      <c r="B38" s="135"/>
      <c r="C38" s="136">
        <f>'GC rawdata'!V36</f>
        <v>0</v>
      </c>
      <c r="D38" s="136">
        <f>'GC rawdata'!W36</f>
        <v>0</v>
      </c>
      <c r="E38" s="136">
        <f>'GC rawdata'!X36</f>
        <v>0</v>
      </c>
      <c r="F38" s="136">
        <f>'GC rawdata'!Y36</f>
        <v>0</v>
      </c>
      <c r="G38" s="137" t="str">
        <f t="shared" si="7"/>
        <v>FAIL</v>
      </c>
      <c r="H38" s="138" t="e">
        <f t="shared" si="16"/>
        <v>#DIV/0!</v>
      </c>
      <c r="I38" s="137" t="e">
        <f t="shared" si="9"/>
        <v>#DIV/0!</v>
      </c>
      <c r="J38" s="139" t="str">
        <f t="shared" si="10"/>
        <v>0</v>
      </c>
      <c r="K38" s="138" t="e">
        <f>'Field data'!K20</f>
        <v>#DIV/0!</v>
      </c>
      <c r="L38" s="138">
        <f>'Field data'!L20*0.0001</f>
        <v>6.8349275178587507E-2</v>
      </c>
      <c r="M38" s="140" t="e">
        <f t="shared" si="11"/>
        <v>#DIV/0!</v>
      </c>
      <c r="N38" s="140" t="e">
        <f t="shared" si="12"/>
        <v>#DIV/0!</v>
      </c>
      <c r="O38" s="140" t="e">
        <f t="shared" si="15"/>
        <v>#DIV/0!</v>
      </c>
    </row>
    <row r="39" spans="1:15" s="141" customFormat="1" x14ac:dyDescent="0.2">
      <c r="A39" s="134" t="s">
        <v>66</v>
      </c>
      <c r="B39" s="135"/>
      <c r="C39" s="136">
        <f>'GC rawdata'!V37</f>
        <v>0</v>
      </c>
      <c r="D39" s="136">
        <f>'GC rawdata'!W37</f>
        <v>0</v>
      </c>
      <c r="E39" s="136">
        <f>'GC rawdata'!X37</f>
        <v>0</v>
      </c>
      <c r="F39" s="136">
        <f>'GC rawdata'!Y37</f>
        <v>0</v>
      </c>
      <c r="G39" s="137" t="str">
        <f t="shared" si="7"/>
        <v>FAIL</v>
      </c>
      <c r="H39" s="138" t="e">
        <f t="shared" si="16"/>
        <v>#DIV/0!</v>
      </c>
      <c r="I39" s="137" t="e">
        <f t="shared" si="9"/>
        <v>#DIV/0!</v>
      </c>
      <c r="J39" s="139" t="str">
        <f t="shared" si="10"/>
        <v>0</v>
      </c>
      <c r="K39" s="138" t="e">
        <f>'Field data'!K21</f>
        <v>#DIV/0!</v>
      </c>
      <c r="L39" s="138">
        <f>'Field data'!L21*0.0001</f>
        <v>6.8349275178587507E-2</v>
      </c>
      <c r="M39" s="140" t="e">
        <f t="shared" si="11"/>
        <v>#DIV/0!</v>
      </c>
      <c r="N39" s="140" t="e">
        <f t="shared" si="12"/>
        <v>#DIV/0!</v>
      </c>
      <c r="O39" s="140" t="e">
        <f t="shared" si="15"/>
        <v>#DIV/0!</v>
      </c>
    </row>
  </sheetData>
  <sheetProtection selectLockedCells="1" selectUnlockedCells="1"/>
  <mergeCells count="19"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2024-01-20T19:52:29Z</dcterms:modified>
  <cp:category/>
</cp:coreProperties>
</file>