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codeName="ThisWorkbook" autoCompressPictures="0"/>
  <bookViews>
    <workbookView xWindow="0" yWindow="0" windowWidth="25600" windowHeight="14220" activeTab="1"/>
  </bookViews>
  <sheets>
    <sheet name="ﾄｯﾌﾟ" sheetId="3" r:id="rId1"/>
    <sheet name="誕生日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" i="4" l="1"/>
  <c r="C27" i="4"/>
  <c r="C70" i="4"/>
  <c r="C35" i="4"/>
  <c r="B4" i="4"/>
  <c r="C53" i="4"/>
  <c r="C42" i="4"/>
  <c r="C37" i="4"/>
  <c r="E37" i="4"/>
  <c r="C55" i="4"/>
  <c r="I55" i="4"/>
  <c r="C59" i="4"/>
  <c r="C60" i="4"/>
  <c r="J53" i="4"/>
  <c r="H37" i="4"/>
  <c r="F37" i="4"/>
  <c r="C41" i="4"/>
  <c r="C38" i="4"/>
  <c r="F38" i="4"/>
  <c r="C36" i="4"/>
  <c r="I36" i="4"/>
  <c r="K16" i="4"/>
  <c r="F53" i="4"/>
  <c r="E53" i="4"/>
  <c r="I53" i="4"/>
  <c r="H53" i="4"/>
  <c r="G53" i="4"/>
  <c r="C73" i="4"/>
  <c r="C71" i="4"/>
  <c r="E71" i="4"/>
  <c r="C72" i="4"/>
  <c r="C74" i="4"/>
  <c r="D99" i="4"/>
  <c r="H55" i="4"/>
  <c r="G36" i="4"/>
  <c r="S36" i="4"/>
  <c r="K17" i="4"/>
  <c r="C54" i="4"/>
  <c r="C57" i="4"/>
  <c r="C58" i="4"/>
  <c r="F36" i="4"/>
  <c r="C56" i="4"/>
  <c r="E38" i="4"/>
  <c r="C40" i="4"/>
  <c r="C39" i="4"/>
  <c r="G37" i="4"/>
  <c r="N36" i="4"/>
  <c r="K12" i="4"/>
  <c r="R36" i="4"/>
  <c r="D17" i="4"/>
  <c r="O36" i="4"/>
  <c r="D14" i="4"/>
  <c r="C46" i="4"/>
  <c r="K58" i="4"/>
  <c r="K62" i="4"/>
  <c r="K66" i="4"/>
  <c r="F55" i="4"/>
  <c r="E55" i="4"/>
  <c r="G55" i="4"/>
  <c r="K36" i="4"/>
  <c r="K11" i="4"/>
  <c r="G38" i="4"/>
  <c r="H38" i="4"/>
  <c r="J38" i="4"/>
  <c r="K9" i="4"/>
  <c r="J36" i="4"/>
  <c r="K8" i="4"/>
  <c r="Q36" i="4"/>
  <c r="D16" i="4"/>
  <c r="E36" i="4"/>
  <c r="H36" i="4"/>
  <c r="P52" i="4"/>
  <c r="B20" i="4"/>
  <c r="L40" i="4"/>
  <c r="L41" i="4"/>
  <c r="L42" i="4"/>
  <c r="L46" i="4"/>
  <c r="L50" i="4"/>
  <c r="L47" i="4"/>
  <c r="L45" i="4"/>
  <c r="L43" i="4"/>
  <c r="L44" i="4"/>
  <c r="L48" i="4"/>
  <c r="L49" i="4"/>
  <c r="K4" i="4"/>
  <c r="K57" i="4"/>
  <c r="K61" i="4"/>
  <c r="K65" i="4"/>
  <c r="K55" i="4"/>
  <c r="E72" i="4"/>
  <c r="G71" i="4"/>
  <c r="J71" i="4"/>
  <c r="F71" i="4"/>
  <c r="I71" i="4"/>
  <c r="H71" i="4"/>
  <c r="K71" i="4"/>
  <c r="K7" i="4"/>
  <c r="C44" i="4"/>
  <c r="K15" i="4"/>
  <c r="K14" i="4"/>
  <c r="C43" i="4"/>
  <c r="D100" i="4"/>
  <c r="P53" i="4"/>
  <c r="C21" i="4"/>
  <c r="K59" i="4"/>
  <c r="K63" i="4"/>
  <c r="K67" i="4"/>
  <c r="K56" i="4"/>
  <c r="K60" i="4"/>
  <c r="K64" i="4"/>
  <c r="K6" i="4"/>
  <c r="L36" i="4"/>
  <c r="D101" i="4"/>
  <c r="C6" i="4"/>
  <c r="F6" i="4"/>
  <c r="B6" i="4"/>
  <c r="E6" i="4"/>
  <c r="H6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C9" i="4"/>
  <c r="D9" i="4"/>
  <c r="E9" i="4"/>
  <c r="F9" i="4"/>
  <c r="G9" i="4"/>
  <c r="H9" i="4"/>
  <c r="B10" i="4"/>
  <c r="C10" i="4"/>
  <c r="D10" i="4"/>
  <c r="E10" i="4"/>
  <c r="F10" i="4"/>
  <c r="G10" i="4"/>
  <c r="H10" i="4"/>
  <c r="B11" i="4"/>
  <c r="C11" i="4"/>
  <c r="D6" i="4"/>
  <c r="G6" i="4"/>
  <c r="F72" i="4"/>
  <c r="I72" i="4"/>
  <c r="H72" i="4"/>
  <c r="K72" i="4"/>
  <c r="G72" i="4"/>
  <c r="J72" i="4"/>
  <c r="E73" i="4"/>
  <c r="O54" i="4"/>
  <c r="O53" i="4"/>
  <c r="M54" i="4"/>
  <c r="M53" i="4"/>
  <c r="L54" i="4"/>
  <c r="L53" i="4"/>
  <c r="N54" i="4"/>
  <c r="N53" i="4"/>
  <c r="M36" i="4"/>
  <c r="K10" i="4"/>
  <c r="P36" i="4"/>
  <c r="D15" i="4"/>
  <c r="P54" i="4"/>
  <c r="C22" i="4"/>
  <c r="G73" i="4"/>
  <c r="J73" i="4"/>
  <c r="E74" i="4"/>
  <c r="F73" i="4"/>
  <c r="I73" i="4"/>
  <c r="H73" i="4"/>
  <c r="K73" i="4"/>
  <c r="F74" i="4"/>
  <c r="I74" i="4"/>
  <c r="H74" i="4"/>
  <c r="K74" i="4"/>
  <c r="G74" i="4"/>
  <c r="J74" i="4"/>
  <c r="E75" i="4"/>
  <c r="F75" i="4"/>
  <c r="I75" i="4"/>
  <c r="H75" i="4"/>
  <c r="K75" i="4"/>
  <c r="E76" i="4"/>
  <c r="G75" i="4"/>
  <c r="J75" i="4"/>
  <c r="F76" i="4"/>
  <c r="I76" i="4"/>
  <c r="H76" i="4"/>
  <c r="K76" i="4"/>
  <c r="G76" i="4"/>
  <c r="J76" i="4"/>
  <c r="E77" i="4"/>
  <c r="F77" i="4"/>
  <c r="I77" i="4"/>
  <c r="H77" i="4"/>
  <c r="K77" i="4"/>
  <c r="E78" i="4"/>
  <c r="G77" i="4"/>
  <c r="J77" i="4"/>
  <c r="F78" i="4"/>
  <c r="I78" i="4"/>
  <c r="E79" i="4"/>
  <c r="G78" i="4"/>
  <c r="J78" i="4"/>
  <c r="H78" i="4"/>
  <c r="K78" i="4"/>
  <c r="F79" i="4"/>
  <c r="I79" i="4"/>
  <c r="H79" i="4"/>
  <c r="K79" i="4"/>
  <c r="E80" i="4"/>
  <c r="G79" i="4"/>
  <c r="J79" i="4"/>
  <c r="F80" i="4"/>
  <c r="I80" i="4"/>
  <c r="E81" i="4"/>
  <c r="G80" i="4"/>
  <c r="J80" i="4"/>
  <c r="H80" i="4"/>
  <c r="K80" i="4"/>
  <c r="F81" i="4"/>
  <c r="I81" i="4"/>
  <c r="H81" i="4"/>
  <c r="K81" i="4"/>
  <c r="E82" i="4"/>
  <c r="G81" i="4"/>
  <c r="J81" i="4"/>
  <c r="F82" i="4"/>
  <c r="I82" i="4"/>
  <c r="E83" i="4"/>
  <c r="G82" i="4"/>
  <c r="J82" i="4"/>
  <c r="H82" i="4"/>
  <c r="K82" i="4"/>
  <c r="F83" i="4"/>
  <c r="I83" i="4"/>
  <c r="H83" i="4"/>
  <c r="K83" i="4"/>
  <c r="E84" i="4"/>
  <c r="G83" i="4"/>
  <c r="J83" i="4"/>
  <c r="G84" i="4"/>
  <c r="J84" i="4"/>
  <c r="H84" i="4"/>
  <c r="K84" i="4"/>
  <c r="F84" i="4"/>
  <c r="I84" i="4"/>
  <c r="E85" i="4"/>
  <c r="F85" i="4"/>
  <c r="I85" i="4"/>
  <c r="H85" i="4"/>
  <c r="K85" i="4"/>
  <c r="E86" i="4"/>
  <c r="G85" i="4"/>
  <c r="J85" i="4"/>
  <c r="F86" i="4"/>
  <c r="I86" i="4"/>
  <c r="H86" i="4"/>
  <c r="K86" i="4"/>
  <c r="G86" i="4"/>
  <c r="J86" i="4"/>
  <c r="E87" i="4"/>
  <c r="F87" i="4"/>
  <c r="I87" i="4"/>
  <c r="H87" i="4"/>
  <c r="K87" i="4"/>
  <c r="E88" i="4"/>
  <c r="G87" i="4"/>
  <c r="J87" i="4"/>
  <c r="G88" i="4"/>
  <c r="J88" i="4"/>
  <c r="E89" i="4"/>
  <c r="F88" i="4"/>
  <c r="I88" i="4"/>
  <c r="H88" i="4"/>
  <c r="K88" i="4"/>
  <c r="F89" i="4"/>
  <c r="I89" i="4"/>
  <c r="H89" i="4"/>
  <c r="K89" i="4"/>
  <c r="E90" i="4"/>
  <c r="G89" i="4"/>
  <c r="J89" i="4"/>
  <c r="F90" i="4"/>
  <c r="I90" i="4"/>
  <c r="H90" i="4"/>
  <c r="K90" i="4"/>
  <c r="E91" i="4"/>
  <c r="G90" i="4"/>
  <c r="J90" i="4"/>
  <c r="F91" i="4"/>
  <c r="I91" i="4"/>
  <c r="H91" i="4"/>
  <c r="K91" i="4"/>
  <c r="E92" i="4"/>
  <c r="G91" i="4"/>
  <c r="J91" i="4"/>
  <c r="G92" i="4"/>
  <c r="J92" i="4"/>
  <c r="F92" i="4"/>
  <c r="I92" i="4"/>
  <c r="H92" i="4"/>
  <c r="K92" i="4"/>
  <c r="E93" i="4"/>
  <c r="F93" i="4"/>
  <c r="I93" i="4"/>
  <c r="H93" i="4"/>
  <c r="K93" i="4"/>
  <c r="E94" i="4"/>
  <c r="G93" i="4"/>
  <c r="J93" i="4"/>
  <c r="F94" i="4"/>
  <c r="I94" i="4"/>
  <c r="H94" i="4"/>
  <c r="K94" i="4"/>
  <c r="G94" i="4"/>
  <c r="J94" i="4"/>
  <c r="E95" i="4"/>
  <c r="F95" i="4"/>
  <c r="I95" i="4"/>
  <c r="H95" i="4"/>
  <c r="K95" i="4"/>
  <c r="E96" i="4"/>
  <c r="G95" i="4"/>
  <c r="J95" i="4"/>
  <c r="G96" i="4"/>
  <c r="J96" i="4"/>
  <c r="H96" i="4"/>
  <c r="K96" i="4"/>
  <c r="F96" i="4"/>
  <c r="I96" i="4"/>
  <c r="E97" i="4"/>
  <c r="F97" i="4"/>
  <c r="I97" i="4"/>
  <c r="H97" i="4"/>
  <c r="K97" i="4"/>
  <c r="E98" i="4"/>
  <c r="G97" i="4"/>
  <c r="J97" i="4"/>
  <c r="H98" i="4"/>
  <c r="K98" i="4"/>
  <c r="F98" i="4"/>
  <c r="I98" i="4"/>
  <c r="E99" i="4"/>
  <c r="G98" i="4"/>
  <c r="J98" i="4"/>
  <c r="G99" i="4"/>
  <c r="J99" i="4"/>
  <c r="E100" i="4"/>
  <c r="H99" i="4"/>
  <c r="K99" i="4"/>
  <c r="F99" i="4"/>
  <c r="I99" i="4"/>
  <c r="H100" i="4"/>
  <c r="K100" i="4"/>
  <c r="F100" i="4"/>
  <c r="I100" i="4"/>
  <c r="G100" i="4"/>
  <c r="J100" i="4"/>
  <c r="E101" i="4"/>
  <c r="G101" i="4"/>
  <c r="J101" i="4"/>
  <c r="J102" i="4"/>
  <c r="C31" i="4"/>
  <c r="H101" i="4"/>
  <c r="K101" i="4"/>
  <c r="K102" i="4"/>
  <c r="C32" i="4"/>
  <c r="F101" i="4"/>
  <c r="I101" i="4"/>
  <c r="I102" i="4"/>
  <c r="C30" i="4"/>
</calcChain>
</file>

<file path=xl/sharedStrings.xml><?xml version="1.0" encoding="utf-8"?>
<sst xmlns="http://schemas.openxmlformats.org/spreadsheetml/2006/main" count="343" uniqueCount="227">
  <si>
    <t>火</t>
  </si>
  <si>
    <t>水</t>
  </si>
  <si>
    <t>木</t>
  </si>
  <si>
    <t>金</t>
  </si>
  <si>
    <t>土</t>
  </si>
  <si>
    <t>ｵﾝ･ﾊﾞｻﾗ･ﾀﾞﾗﾏ･ｷﾘｸ</t>
  </si>
  <si>
    <t>ｵﾝ･ﾊﾞｻﾗ･ｱﾗﾀﾝﾉｳ･ｿﾜｶ</t>
  </si>
  <si>
    <t>八白土星</t>
  </si>
  <si>
    <t>ｵﾝ･ｻﾝﾏﾔｻﾄﾊﾞﾝ</t>
  </si>
  <si>
    <t>ｵﾝ･ｻﾝ･ｻﾞﾝ･ｻﾞﾝｻｸ･ｿﾜｶ</t>
  </si>
  <si>
    <t>ﾅｳﾏｸ･ｻﾏﾝﾀﾞﾎﾞﾅﾀﾞﾝ･ｱﾋﾞﾗｳﾝｹﾝ</t>
  </si>
  <si>
    <t>ﾅｳﾏｸ･ｻﾏﾝﾀﾞﾊﾞｻﾞﾗﾀﾞﾝ･ｶﾝ</t>
  </si>
  <si>
    <t>ｵﾝ･ｱﾐﾘﾀﾃｲｾﾞｲ･ｶﾗ･ｳﾝ</t>
  </si>
  <si>
    <t>生年月日＝</t>
    <rPh sb="0" eb="2">
      <t>セイネン</t>
    </rPh>
    <rPh sb="2" eb="4">
      <t>ガッピ</t>
    </rPh>
    <phoneticPr fontId="2"/>
  </si>
  <si>
    <t>通算日数＝</t>
    <rPh sb="0" eb="2">
      <t>ツウサン</t>
    </rPh>
    <rPh sb="2" eb="4">
      <t>ニッスウ</t>
    </rPh>
    <phoneticPr fontId="2"/>
  </si>
  <si>
    <t>日</t>
    <rPh sb="0" eb="1">
      <t>ニチ</t>
    </rPh>
    <phoneticPr fontId="2"/>
  </si>
  <si>
    <t>月</t>
    <rPh sb="0" eb="1">
      <t>ゲツ</t>
    </rPh>
    <phoneticPr fontId="2"/>
  </si>
  <si>
    <t>干　支　＝</t>
    <rPh sb="0" eb="1">
      <t>カン</t>
    </rPh>
    <rPh sb="2" eb="3">
      <t>シ</t>
    </rPh>
    <phoneticPr fontId="2"/>
  </si>
  <si>
    <t>九　星　＝</t>
    <rPh sb="0" eb="1">
      <t>キュウ</t>
    </rPh>
    <rPh sb="2" eb="3">
      <t>ホシ</t>
    </rPh>
    <phoneticPr fontId="2"/>
  </si>
  <si>
    <t>星　座　＝</t>
    <rPh sb="0" eb="1">
      <t>ホシ</t>
    </rPh>
    <rPh sb="2" eb="3">
      <t>ザ</t>
    </rPh>
    <phoneticPr fontId="2"/>
  </si>
  <si>
    <t>*</t>
    <phoneticPr fontId="2"/>
  </si>
  <si>
    <t>天中殺　＝</t>
    <rPh sb="0" eb="1">
      <t>テン</t>
    </rPh>
    <rPh sb="1" eb="2">
      <t>チュウ</t>
    </rPh>
    <rPh sb="2" eb="3">
      <t>サツ</t>
    </rPh>
    <phoneticPr fontId="2"/>
  </si>
  <si>
    <t>暗剣殺　＝</t>
    <rPh sb="0" eb="1">
      <t>アン</t>
    </rPh>
    <rPh sb="1" eb="2">
      <t>ケン</t>
    </rPh>
    <rPh sb="2" eb="3">
      <t>サツ</t>
    </rPh>
    <phoneticPr fontId="2"/>
  </si>
  <si>
    <t>相性が良＝</t>
    <rPh sb="0" eb="2">
      <t>アイショウ</t>
    </rPh>
    <rPh sb="3" eb="4">
      <t>リョウ</t>
    </rPh>
    <phoneticPr fontId="2"/>
  </si>
  <si>
    <t>長寿祝　＝</t>
    <rPh sb="0" eb="2">
      <t>チョウジュ</t>
    </rPh>
    <rPh sb="2" eb="3">
      <t>イワ</t>
    </rPh>
    <phoneticPr fontId="2"/>
  </si>
  <si>
    <t>守本尊　＝</t>
    <rPh sb="0" eb="1">
      <t>マモ</t>
    </rPh>
    <rPh sb="1" eb="3">
      <t>ホンゾン</t>
    </rPh>
    <phoneticPr fontId="2"/>
  </si>
  <si>
    <t>　　</t>
    <phoneticPr fontId="2"/>
  </si>
  <si>
    <t>バイオリズム</t>
    <phoneticPr fontId="2"/>
  </si>
  <si>
    <t>要注意日</t>
    <rPh sb="0" eb="3">
      <t>ヨウチュウイ</t>
    </rPh>
    <rPh sb="3" eb="4">
      <t>ビ</t>
    </rPh>
    <phoneticPr fontId="2"/>
  </si>
  <si>
    <t>身体＝</t>
    <rPh sb="0" eb="2">
      <t>シンタイ</t>
    </rPh>
    <phoneticPr fontId="2"/>
  </si>
  <si>
    <t>感情＝</t>
    <rPh sb="0" eb="2">
      <t>カンジョウ</t>
    </rPh>
    <phoneticPr fontId="2"/>
  </si>
  <si>
    <t>知性＝</t>
    <rPh sb="0" eb="2">
      <t>チセイ</t>
    </rPh>
    <phoneticPr fontId="2"/>
  </si>
  <si>
    <t>１０干</t>
    <rPh sb="2" eb="3">
      <t>カン</t>
    </rPh>
    <phoneticPr fontId="2"/>
  </si>
  <si>
    <t>12支</t>
    <rPh sb="2" eb="3">
      <t>シ</t>
    </rPh>
    <phoneticPr fontId="2"/>
  </si>
  <si>
    <t>守り本尊</t>
    <rPh sb="0" eb="1">
      <t>マモ</t>
    </rPh>
    <rPh sb="2" eb="4">
      <t>ホンゾン</t>
    </rPh>
    <phoneticPr fontId="2"/>
  </si>
  <si>
    <t>９星</t>
    <rPh sb="1" eb="2">
      <t>ホシ</t>
    </rPh>
    <phoneticPr fontId="2"/>
  </si>
  <si>
    <t>天中殺</t>
    <rPh sb="0" eb="1">
      <t>テン</t>
    </rPh>
    <rPh sb="1" eb="2">
      <t>チュウ</t>
    </rPh>
    <rPh sb="2" eb="3">
      <t>サツ</t>
    </rPh>
    <phoneticPr fontId="2"/>
  </si>
  <si>
    <t>星座</t>
    <rPh sb="0" eb="2">
      <t>セイザ</t>
    </rPh>
    <phoneticPr fontId="2"/>
  </si>
  <si>
    <t>暗剣殺</t>
    <rPh sb="0" eb="1">
      <t>アン</t>
    </rPh>
    <rPh sb="1" eb="2">
      <t>ケン</t>
    </rPh>
    <rPh sb="2" eb="3">
      <t>サツ</t>
    </rPh>
    <phoneticPr fontId="2"/>
  </si>
  <si>
    <t>良相性（支）</t>
    <rPh sb="0" eb="1">
      <t>リョウ</t>
    </rPh>
    <rPh sb="1" eb="3">
      <t>アイショウ</t>
    </rPh>
    <rPh sb="4" eb="5">
      <t>シ</t>
    </rPh>
    <phoneticPr fontId="2"/>
  </si>
  <si>
    <t>良相性（星座）</t>
    <rPh sb="0" eb="1">
      <t>リョウ</t>
    </rPh>
    <rPh sb="1" eb="3">
      <t>アイショウ</t>
    </rPh>
    <rPh sb="4" eb="6">
      <t>セイザ</t>
    </rPh>
    <phoneticPr fontId="2"/>
  </si>
  <si>
    <t>良相性（九星）</t>
    <rPh sb="0" eb="1">
      <t>リョウ</t>
    </rPh>
    <rPh sb="1" eb="3">
      <t>アイショウ</t>
    </rPh>
    <rPh sb="4" eb="5">
      <t>キュウ</t>
    </rPh>
    <rPh sb="5" eb="6">
      <t>ホシ</t>
    </rPh>
    <phoneticPr fontId="2"/>
  </si>
  <si>
    <t>真言</t>
    <rPh sb="0" eb="1">
      <t>シン</t>
    </rPh>
    <rPh sb="1" eb="2">
      <t>ゲン</t>
    </rPh>
    <phoneticPr fontId="2"/>
  </si>
  <si>
    <t>通算年数</t>
    <rPh sb="0" eb="2">
      <t>ツウサン</t>
    </rPh>
    <rPh sb="2" eb="3">
      <t>ネン</t>
    </rPh>
    <rPh sb="3" eb="4">
      <t>カズ</t>
    </rPh>
    <phoneticPr fontId="2"/>
  </si>
  <si>
    <t>年</t>
    <rPh sb="0" eb="1">
      <t>ネン</t>
    </rPh>
    <phoneticPr fontId="2"/>
  </si>
  <si>
    <t>通算月数</t>
    <rPh sb="0" eb="2">
      <t>ツウサン</t>
    </rPh>
    <rPh sb="2" eb="3">
      <t>ツキ</t>
    </rPh>
    <rPh sb="3" eb="4">
      <t>カズ</t>
    </rPh>
    <phoneticPr fontId="2"/>
  </si>
  <si>
    <t>月</t>
    <rPh sb="0" eb="1">
      <t>ツキ</t>
    </rPh>
    <phoneticPr fontId="2"/>
  </si>
  <si>
    <t>通算日数</t>
    <rPh sb="0" eb="2">
      <t>ツウサン</t>
    </rPh>
    <rPh sb="2" eb="3">
      <t>ニチ</t>
    </rPh>
    <rPh sb="3" eb="4">
      <t>カズ</t>
    </rPh>
    <phoneticPr fontId="2"/>
  </si>
  <si>
    <t>月日</t>
    <rPh sb="0" eb="2">
      <t>ツキヒ</t>
    </rPh>
    <phoneticPr fontId="2"/>
  </si>
  <si>
    <t>庚</t>
    <rPh sb="0" eb="1">
      <t>カノエ</t>
    </rPh>
    <phoneticPr fontId="2"/>
  </si>
  <si>
    <t>子</t>
    <rPh sb="0" eb="1">
      <t>ネ</t>
    </rPh>
    <phoneticPr fontId="2"/>
  </si>
  <si>
    <t>（かのえ</t>
    <phoneticPr fontId="2"/>
  </si>
  <si>
    <t>ね）</t>
    <phoneticPr fontId="2"/>
  </si>
  <si>
    <t>千手観世音菩薩</t>
    <rPh sb="0" eb="1">
      <t>セン</t>
    </rPh>
    <rPh sb="1" eb="2">
      <t>テ</t>
    </rPh>
    <rPh sb="2" eb="4">
      <t>カンゼ</t>
    </rPh>
    <rPh sb="4" eb="5">
      <t>オン</t>
    </rPh>
    <rPh sb="5" eb="7">
      <t>ボサツ</t>
    </rPh>
    <phoneticPr fontId="2"/>
  </si>
  <si>
    <t>一白水星</t>
    <rPh sb="0" eb="1">
      <t>イチ</t>
    </rPh>
    <rPh sb="1" eb="2">
      <t>シロ</t>
    </rPh>
    <rPh sb="2" eb="4">
      <t>スイセイ</t>
    </rPh>
    <phoneticPr fontId="2"/>
  </si>
  <si>
    <t>戌、亥</t>
    <rPh sb="0" eb="1">
      <t>イヌ</t>
    </rPh>
    <rPh sb="2" eb="3">
      <t>イ</t>
    </rPh>
    <phoneticPr fontId="2"/>
  </si>
  <si>
    <t>山羊座(Capricornus)、土星</t>
    <rPh sb="0" eb="3">
      <t>ヤギザ</t>
    </rPh>
    <rPh sb="17" eb="19">
      <t>ドセイ</t>
    </rPh>
    <phoneticPr fontId="2"/>
  </si>
  <si>
    <t>北（方位）、三碧（時期）</t>
    <rPh sb="0" eb="1">
      <t>キタ</t>
    </rPh>
    <rPh sb="2" eb="4">
      <t>ホウイ</t>
    </rPh>
    <rPh sb="6" eb="7">
      <t>サン</t>
    </rPh>
    <rPh sb="7" eb="8">
      <t>ミドリ</t>
    </rPh>
    <rPh sb="9" eb="11">
      <t>ジキ</t>
    </rPh>
    <phoneticPr fontId="2"/>
  </si>
  <si>
    <t>寅、卯、申、酉</t>
    <rPh sb="0" eb="1">
      <t>トラ</t>
    </rPh>
    <rPh sb="2" eb="3">
      <t>ウ</t>
    </rPh>
    <rPh sb="4" eb="5">
      <t>サル</t>
    </rPh>
    <rPh sb="6" eb="7">
      <t>トリ</t>
    </rPh>
    <phoneticPr fontId="2"/>
  </si>
  <si>
    <t>山羊座、牡牛座、蟹座、乙女座</t>
    <rPh sb="0" eb="3">
      <t>ヤギザ</t>
    </rPh>
    <rPh sb="8" eb="10">
      <t>カニザ</t>
    </rPh>
    <rPh sb="11" eb="14">
      <t>オトメザ</t>
    </rPh>
    <phoneticPr fontId="2"/>
  </si>
  <si>
    <t>三碧木星、四緑木星、六白金星、</t>
    <rPh sb="0" eb="1">
      <t>サン</t>
    </rPh>
    <rPh sb="1" eb="2">
      <t>ミドリ</t>
    </rPh>
    <rPh sb="2" eb="4">
      <t>モクセイ</t>
    </rPh>
    <phoneticPr fontId="2"/>
  </si>
  <si>
    <t>七赤金星</t>
    <phoneticPr fontId="2"/>
  </si>
  <si>
    <t>辛</t>
    <rPh sb="0" eb="1">
      <t>カノト</t>
    </rPh>
    <phoneticPr fontId="2"/>
  </si>
  <si>
    <t>丑</t>
    <rPh sb="0" eb="1">
      <t>ウシ</t>
    </rPh>
    <phoneticPr fontId="2"/>
  </si>
  <si>
    <t>(かのと</t>
    <phoneticPr fontId="2"/>
  </si>
  <si>
    <t>うし）</t>
    <phoneticPr fontId="2"/>
  </si>
  <si>
    <t>虚空蔵菩薩</t>
    <rPh sb="0" eb="3">
      <t>コクゾウ</t>
    </rPh>
    <rPh sb="3" eb="5">
      <t>ボサツ</t>
    </rPh>
    <phoneticPr fontId="2"/>
  </si>
  <si>
    <t>九紫火星</t>
    <rPh sb="0" eb="1">
      <t>キュウ</t>
    </rPh>
    <rPh sb="1" eb="2">
      <t>ムラサキ</t>
    </rPh>
    <rPh sb="2" eb="4">
      <t>カセイ</t>
    </rPh>
    <phoneticPr fontId="2"/>
  </si>
  <si>
    <t>申、酉</t>
    <rPh sb="0" eb="1">
      <t>サル</t>
    </rPh>
    <rPh sb="2" eb="3">
      <t>トリ</t>
    </rPh>
    <phoneticPr fontId="2"/>
  </si>
  <si>
    <t>水瓶座(Aquqrius)、天王星</t>
    <rPh sb="0" eb="3">
      <t>ミズガメザ</t>
    </rPh>
    <rPh sb="14" eb="17">
      <t>テンノウセイ</t>
    </rPh>
    <phoneticPr fontId="2"/>
  </si>
  <si>
    <t>南（方位）、七赤（時期）</t>
    <rPh sb="0" eb="1">
      <t>ミナミ</t>
    </rPh>
    <rPh sb="2" eb="4">
      <t>ホウイ</t>
    </rPh>
    <rPh sb="6" eb="7">
      <t>シチ</t>
    </rPh>
    <rPh sb="7" eb="8">
      <t>アカ</t>
    </rPh>
    <rPh sb="9" eb="11">
      <t>ジキ</t>
    </rPh>
    <phoneticPr fontId="2"/>
  </si>
  <si>
    <t>巳、午、申、酉</t>
    <rPh sb="0" eb="1">
      <t>ミ</t>
    </rPh>
    <rPh sb="2" eb="3">
      <t>ウマ</t>
    </rPh>
    <rPh sb="4" eb="5">
      <t>サル</t>
    </rPh>
    <rPh sb="6" eb="7">
      <t>トリ</t>
    </rPh>
    <phoneticPr fontId="2"/>
  </si>
  <si>
    <t>水瓶座、双子座、獅子座、天秤座</t>
    <rPh sb="0" eb="3">
      <t>ミズガメザ</t>
    </rPh>
    <rPh sb="4" eb="7">
      <t>フタゴザ</t>
    </rPh>
    <rPh sb="8" eb="11">
      <t>シシザ</t>
    </rPh>
    <rPh sb="12" eb="15">
      <t>テンビンザ</t>
    </rPh>
    <phoneticPr fontId="2"/>
  </si>
  <si>
    <t>二黒土星、三碧木星、四緑木星、</t>
    <rPh sb="5" eb="6">
      <t>サン</t>
    </rPh>
    <rPh sb="6" eb="7">
      <t>ミドリ</t>
    </rPh>
    <rPh sb="7" eb="9">
      <t>モクセイ</t>
    </rPh>
    <phoneticPr fontId="2"/>
  </si>
  <si>
    <t>五黄土星、八白土星</t>
    <phoneticPr fontId="2"/>
  </si>
  <si>
    <t>壬</t>
    <rPh sb="0" eb="1">
      <t>ミズノエ</t>
    </rPh>
    <phoneticPr fontId="2"/>
  </si>
  <si>
    <t>寅</t>
    <rPh sb="0" eb="1">
      <t>トラ</t>
    </rPh>
    <phoneticPr fontId="2"/>
  </si>
  <si>
    <t>（みずのえ</t>
    <phoneticPr fontId="2"/>
  </si>
  <si>
    <t>とら）</t>
    <phoneticPr fontId="2"/>
  </si>
  <si>
    <t>八白土星</t>
    <rPh sb="0" eb="1">
      <t>ハチ</t>
    </rPh>
    <rPh sb="1" eb="2">
      <t>シロ</t>
    </rPh>
    <rPh sb="2" eb="4">
      <t>ドセイ</t>
    </rPh>
    <phoneticPr fontId="2"/>
  </si>
  <si>
    <t>午、未</t>
    <rPh sb="0" eb="1">
      <t>ウマ</t>
    </rPh>
    <rPh sb="2" eb="3">
      <t>ヒツジ</t>
    </rPh>
    <phoneticPr fontId="2"/>
  </si>
  <si>
    <t>魚座(Pisces)、海王星</t>
    <rPh sb="0" eb="2">
      <t>ウオザ</t>
    </rPh>
    <rPh sb="11" eb="14">
      <t>カイオウセイ</t>
    </rPh>
    <phoneticPr fontId="2"/>
  </si>
  <si>
    <t>東北（方位）、二黒（時期）</t>
    <rPh sb="0" eb="2">
      <t>トウホク</t>
    </rPh>
    <rPh sb="3" eb="5">
      <t>ホウイ</t>
    </rPh>
    <rPh sb="7" eb="8">
      <t>ニ</t>
    </rPh>
    <rPh sb="8" eb="9">
      <t>クロ</t>
    </rPh>
    <rPh sb="10" eb="12">
      <t>ジキ</t>
    </rPh>
    <phoneticPr fontId="2"/>
  </si>
  <si>
    <t>子、巳、午、亥</t>
    <rPh sb="0" eb="1">
      <t>ネ</t>
    </rPh>
    <rPh sb="2" eb="3">
      <t>ミ</t>
    </rPh>
    <rPh sb="4" eb="5">
      <t>ウマ</t>
    </rPh>
    <rPh sb="6" eb="7">
      <t>イ</t>
    </rPh>
    <phoneticPr fontId="2"/>
  </si>
  <si>
    <t>魚座、蟹座、乙女座、蠍座</t>
    <rPh sb="0" eb="2">
      <t>ウオザ</t>
    </rPh>
    <rPh sb="10" eb="12">
      <t>サソリザ</t>
    </rPh>
    <phoneticPr fontId="2"/>
  </si>
  <si>
    <t>六白金星、七赤金星、九紫火星</t>
    <rPh sb="0" eb="1">
      <t>ロク</t>
    </rPh>
    <rPh sb="1" eb="3">
      <t>ハッキン</t>
    </rPh>
    <rPh sb="3" eb="4">
      <t>ボシ</t>
    </rPh>
    <phoneticPr fontId="2"/>
  </si>
  <si>
    <t xml:space="preserve"> </t>
    <phoneticPr fontId="2"/>
  </si>
  <si>
    <t>癸</t>
    <rPh sb="0" eb="1">
      <t>ミズノト</t>
    </rPh>
    <phoneticPr fontId="2"/>
  </si>
  <si>
    <t>卯</t>
    <rPh sb="0" eb="1">
      <t>ウ</t>
    </rPh>
    <phoneticPr fontId="2"/>
  </si>
  <si>
    <t>(みずのと</t>
    <phoneticPr fontId="2"/>
  </si>
  <si>
    <t>う）</t>
    <phoneticPr fontId="2"/>
  </si>
  <si>
    <t>文殊菩薩</t>
    <rPh sb="0" eb="1">
      <t>ブン</t>
    </rPh>
    <rPh sb="1" eb="2">
      <t>コト</t>
    </rPh>
    <rPh sb="2" eb="4">
      <t>ボサツ</t>
    </rPh>
    <phoneticPr fontId="2"/>
  </si>
  <si>
    <t>七赤金星</t>
    <rPh sb="0" eb="1">
      <t>シチ</t>
    </rPh>
    <rPh sb="1" eb="2">
      <t>アカ</t>
    </rPh>
    <rPh sb="2" eb="4">
      <t>キンセイ</t>
    </rPh>
    <phoneticPr fontId="2"/>
  </si>
  <si>
    <t>辰、巳</t>
    <rPh sb="0" eb="1">
      <t>タツ</t>
    </rPh>
    <rPh sb="2" eb="3">
      <t>ミ</t>
    </rPh>
    <phoneticPr fontId="2"/>
  </si>
  <si>
    <t>牡羊座(Aries)、火星</t>
    <rPh sb="0" eb="3">
      <t>オヒツジザ</t>
    </rPh>
    <rPh sb="11" eb="13">
      <t>カセイ</t>
    </rPh>
    <phoneticPr fontId="2"/>
  </si>
  <si>
    <t>西（方位）、六白（時期）</t>
    <rPh sb="0" eb="1">
      <t>ニシ</t>
    </rPh>
    <rPh sb="2" eb="4">
      <t>ホウイ</t>
    </rPh>
    <rPh sb="6" eb="7">
      <t>ロク</t>
    </rPh>
    <rPh sb="7" eb="8">
      <t>シロ</t>
    </rPh>
    <rPh sb="9" eb="11">
      <t>ジキ</t>
    </rPh>
    <phoneticPr fontId="2"/>
  </si>
  <si>
    <t>牡羊座、獅子座、天秤座、射手座</t>
    <rPh sb="0" eb="3">
      <t>オヒツジザ</t>
    </rPh>
    <rPh sb="12" eb="15">
      <t>イテザ</t>
    </rPh>
    <phoneticPr fontId="2"/>
  </si>
  <si>
    <t>一白水星、二黒土星、五黄土星、</t>
    <rPh sb="0" eb="1">
      <t>イチ</t>
    </rPh>
    <rPh sb="1" eb="2">
      <t>シロ</t>
    </rPh>
    <rPh sb="2" eb="4">
      <t>スイセイ</t>
    </rPh>
    <phoneticPr fontId="2"/>
  </si>
  <si>
    <t>ｵﾝ･ｱﾗﾊｼｬ･ﾉｳ</t>
    <phoneticPr fontId="2"/>
  </si>
  <si>
    <t>曜日(1st)</t>
    <rPh sb="0" eb="2">
      <t>ヨウビ</t>
    </rPh>
    <phoneticPr fontId="2"/>
  </si>
  <si>
    <t>甲</t>
    <rPh sb="0" eb="1">
      <t>キノエ</t>
    </rPh>
    <phoneticPr fontId="2"/>
  </si>
  <si>
    <t>辰</t>
    <rPh sb="0" eb="1">
      <t>タツ</t>
    </rPh>
    <phoneticPr fontId="2"/>
  </si>
  <si>
    <t>（きのえ</t>
    <phoneticPr fontId="2"/>
  </si>
  <si>
    <t>たつ）</t>
    <phoneticPr fontId="2"/>
  </si>
  <si>
    <t>普賢菩薩</t>
    <rPh sb="0" eb="1">
      <t>フ</t>
    </rPh>
    <rPh sb="1" eb="2">
      <t>ケン</t>
    </rPh>
    <rPh sb="2" eb="4">
      <t>ボサツ</t>
    </rPh>
    <phoneticPr fontId="2"/>
  </si>
  <si>
    <t>六白金星</t>
    <rPh sb="0" eb="1">
      <t>ロク</t>
    </rPh>
    <rPh sb="1" eb="3">
      <t>ハッキン</t>
    </rPh>
    <rPh sb="3" eb="4">
      <t>ボシ</t>
    </rPh>
    <phoneticPr fontId="2"/>
  </si>
  <si>
    <t>寅、卯</t>
    <rPh sb="0" eb="1">
      <t>トラ</t>
    </rPh>
    <rPh sb="2" eb="3">
      <t>ウ</t>
    </rPh>
    <phoneticPr fontId="2"/>
  </si>
  <si>
    <t>牡牛座(Taurus)、金星</t>
    <rPh sb="0" eb="3">
      <t>オウシザ</t>
    </rPh>
    <rPh sb="12" eb="14">
      <t>キンセイ</t>
    </rPh>
    <phoneticPr fontId="2"/>
  </si>
  <si>
    <t>西南（方位）、一白（時期）</t>
    <rPh sb="0" eb="2">
      <t>セイナン</t>
    </rPh>
    <rPh sb="3" eb="5">
      <t>ホウイ</t>
    </rPh>
    <rPh sb="7" eb="8">
      <t>イチ</t>
    </rPh>
    <rPh sb="8" eb="9">
      <t>シロ</t>
    </rPh>
    <rPh sb="10" eb="12">
      <t>ジキ</t>
    </rPh>
    <phoneticPr fontId="2"/>
  </si>
  <si>
    <t>牡牛座、乙女座、蠍座、山羊座</t>
    <rPh sb="0" eb="3">
      <t>オウシザ</t>
    </rPh>
    <rPh sb="11" eb="14">
      <t>ヤギザ</t>
    </rPh>
    <phoneticPr fontId="2"/>
  </si>
  <si>
    <t>八白土星</t>
    <phoneticPr fontId="2"/>
  </si>
  <si>
    <t>月末日</t>
    <rPh sb="0" eb="2">
      <t>ゲツマツ</t>
    </rPh>
    <rPh sb="2" eb="3">
      <t>ビ</t>
    </rPh>
    <phoneticPr fontId="2"/>
  </si>
  <si>
    <t>乙</t>
    <rPh sb="0" eb="1">
      <t>キノト</t>
    </rPh>
    <phoneticPr fontId="2"/>
  </si>
  <si>
    <t>巳</t>
    <rPh sb="0" eb="1">
      <t>ミ</t>
    </rPh>
    <phoneticPr fontId="2"/>
  </si>
  <si>
    <t>（きのと</t>
    <phoneticPr fontId="2"/>
  </si>
  <si>
    <t>み）</t>
    <phoneticPr fontId="2"/>
  </si>
  <si>
    <t>五黄土星</t>
    <rPh sb="0" eb="2">
      <t>ゴオウ</t>
    </rPh>
    <rPh sb="2" eb="4">
      <t>ドセイ</t>
    </rPh>
    <phoneticPr fontId="2"/>
  </si>
  <si>
    <t>子、丑</t>
    <rPh sb="0" eb="1">
      <t>ネ</t>
    </rPh>
    <rPh sb="2" eb="3">
      <t>ウシ</t>
    </rPh>
    <phoneticPr fontId="2"/>
  </si>
  <si>
    <t>双子座(Gemini)、火星</t>
    <rPh sb="0" eb="3">
      <t>フタゴザ</t>
    </rPh>
    <rPh sb="12" eb="14">
      <t>カセイ</t>
    </rPh>
    <phoneticPr fontId="2"/>
  </si>
  <si>
    <t>無し</t>
    <rPh sb="0" eb="1">
      <t>ナ</t>
    </rPh>
    <phoneticPr fontId="2"/>
  </si>
  <si>
    <t>丑、寅、卯、辰、未、戌</t>
    <rPh sb="0" eb="1">
      <t>ウシ</t>
    </rPh>
    <rPh sb="2" eb="3">
      <t>トラ</t>
    </rPh>
    <rPh sb="4" eb="5">
      <t>ウ</t>
    </rPh>
    <rPh sb="6" eb="7">
      <t>タツ</t>
    </rPh>
    <rPh sb="8" eb="9">
      <t>ヒツジ</t>
    </rPh>
    <rPh sb="10" eb="11">
      <t>イヌ</t>
    </rPh>
    <phoneticPr fontId="2"/>
  </si>
  <si>
    <t>双子座、天秤座、射手座、水瓶座</t>
    <rPh sb="0" eb="3">
      <t>フタゴザ</t>
    </rPh>
    <rPh sb="12" eb="15">
      <t>ミズガメザ</t>
    </rPh>
    <phoneticPr fontId="2"/>
  </si>
  <si>
    <t>丙</t>
    <rPh sb="0" eb="1">
      <t>ヒノエ</t>
    </rPh>
    <phoneticPr fontId="2"/>
  </si>
  <si>
    <t>午</t>
    <rPh sb="0" eb="1">
      <t>ウマ</t>
    </rPh>
    <phoneticPr fontId="2"/>
  </si>
  <si>
    <t>（ひのえ</t>
    <phoneticPr fontId="2"/>
  </si>
  <si>
    <t>うま）</t>
    <phoneticPr fontId="2"/>
  </si>
  <si>
    <t>勢至菩薩</t>
    <rPh sb="0" eb="1">
      <t>セイ</t>
    </rPh>
    <rPh sb="1" eb="2">
      <t>シ</t>
    </rPh>
    <rPh sb="2" eb="4">
      <t>ボサツ</t>
    </rPh>
    <phoneticPr fontId="2"/>
  </si>
  <si>
    <t>四緑木星</t>
    <rPh sb="0" eb="1">
      <t>ヨン</t>
    </rPh>
    <rPh sb="1" eb="2">
      <t>ミドリ</t>
    </rPh>
    <rPh sb="2" eb="4">
      <t>モクセイ</t>
    </rPh>
    <phoneticPr fontId="2"/>
  </si>
  <si>
    <t>蟹座(Cancer)、月</t>
    <rPh sb="0" eb="2">
      <t>カニザ</t>
    </rPh>
    <rPh sb="11" eb="12">
      <t>ツキ</t>
    </rPh>
    <phoneticPr fontId="2"/>
  </si>
  <si>
    <t>東南（方位）、九紫（時期）</t>
    <rPh sb="0" eb="2">
      <t>トウナン</t>
    </rPh>
    <rPh sb="3" eb="5">
      <t>ホウイ</t>
    </rPh>
    <rPh sb="7" eb="8">
      <t>キュウ</t>
    </rPh>
    <rPh sb="8" eb="9">
      <t>ムラサキ</t>
    </rPh>
    <rPh sb="10" eb="12">
      <t>ジキ</t>
    </rPh>
    <phoneticPr fontId="2"/>
  </si>
  <si>
    <t>蟹座、蠍座、山羊座、魚座</t>
    <rPh sb="0" eb="2">
      <t>カニザ</t>
    </rPh>
    <rPh sb="10" eb="12">
      <t>ウオザ</t>
    </rPh>
    <phoneticPr fontId="2"/>
  </si>
  <si>
    <t>一白水星、九紫火星</t>
    <phoneticPr fontId="2"/>
  </si>
  <si>
    <t xml:space="preserve"> </t>
    <phoneticPr fontId="2"/>
  </si>
  <si>
    <t>総生存日数</t>
    <rPh sb="0" eb="1">
      <t>ソウ</t>
    </rPh>
    <rPh sb="1" eb="3">
      <t>セイゾン</t>
    </rPh>
    <rPh sb="3" eb="5">
      <t>ニッスウ</t>
    </rPh>
    <phoneticPr fontId="2"/>
  </si>
  <si>
    <t>丁</t>
    <rPh sb="0" eb="1">
      <t>ヒノト</t>
    </rPh>
    <phoneticPr fontId="2"/>
  </si>
  <si>
    <t>未</t>
    <rPh sb="0" eb="1">
      <t>ヒツジ</t>
    </rPh>
    <phoneticPr fontId="2"/>
  </si>
  <si>
    <t>（ひのと</t>
    <phoneticPr fontId="2"/>
  </si>
  <si>
    <t>ひつじ）</t>
    <phoneticPr fontId="2"/>
  </si>
  <si>
    <t>大日如来</t>
    <rPh sb="0" eb="2">
      <t>ダイニチ</t>
    </rPh>
    <rPh sb="2" eb="4">
      <t>ニョライ</t>
    </rPh>
    <phoneticPr fontId="2"/>
  </si>
  <si>
    <t>三碧木星</t>
    <rPh sb="0" eb="1">
      <t>サン</t>
    </rPh>
    <rPh sb="1" eb="2">
      <t>ミドリ</t>
    </rPh>
    <rPh sb="2" eb="4">
      <t>モクセイ</t>
    </rPh>
    <phoneticPr fontId="2"/>
  </si>
  <si>
    <t>獅子座(Leo)、太陽</t>
    <rPh sb="0" eb="3">
      <t>シシザ</t>
    </rPh>
    <rPh sb="9" eb="11">
      <t>タイヨウ</t>
    </rPh>
    <phoneticPr fontId="2"/>
  </si>
  <si>
    <t>東（方位）、四緑（時期）</t>
    <rPh sb="0" eb="1">
      <t>ヒガシ</t>
    </rPh>
    <rPh sb="2" eb="4">
      <t>ホウイ</t>
    </rPh>
    <rPh sb="6" eb="7">
      <t>ヨン</t>
    </rPh>
    <rPh sb="7" eb="8">
      <t>ミドリ</t>
    </rPh>
    <rPh sb="9" eb="11">
      <t>ジキ</t>
    </rPh>
    <phoneticPr fontId="2"/>
  </si>
  <si>
    <t>獅子座、射手座、水瓶座、牡羊座</t>
    <rPh sb="0" eb="3">
      <t>シシザ</t>
    </rPh>
    <rPh sb="12" eb="15">
      <t>オヒツジザ</t>
    </rPh>
    <phoneticPr fontId="2"/>
  </si>
  <si>
    <t>一白水星、九紫火星</t>
    <phoneticPr fontId="2"/>
  </si>
  <si>
    <t xml:space="preserve"> </t>
    <phoneticPr fontId="2"/>
  </si>
  <si>
    <t>戊</t>
    <rPh sb="0" eb="1">
      <t>ツチノエ</t>
    </rPh>
    <phoneticPr fontId="2"/>
  </si>
  <si>
    <t>申</t>
    <rPh sb="0" eb="1">
      <t>サル</t>
    </rPh>
    <phoneticPr fontId="2"/>
  </si>
  <si>
    <t>（つちのえ</t>
    <phoneticPr fontId="2"/>
  </si>
  <si>
    <t>さる）</t>
    <phoneticPr fontId="2"/>
  </si>
  <si>
    <t>二黒土星</t>
    <rPh sb="0" eb="1">
      <t>ニ</t>
    </rPh>
    <rPh sb="1" eb="3">
      <t>コクド</t>
    </rPh>
    <rPh sb="3" eb="4">
      <t>ボシ</t>
    </rPh>
    <phoneticPr fontId="2"/>
  </si>
  <si>
    <t>乙女座(Virgo)、火星</t>
    <rPh sb="0" eb="3">
      <t>オトメザ</t>
    </rPh>
    <rPh sb="11" eb="13">
      <t>カセイ</t>
    </rPh>
    <phoneticPr fontId="2"/>
  </si>
  <si>
    <t>西南（方位）、八白（時期）</t>
    <rPh sb="0" eb="2">
      <t>セイナン</t>
    </rPh>
    <rPh sb="3" eb="5">
      <t>ホウイ</t>
    </rPh>
    <rPh sb="7" eb="8">
      <t>ハチ</t>
    </rPh>
    <rPh sb="8" eb="9">
      <t>シロ</t>
    </rPh>
    <rPh sb="10" eb="12">
      <t>ジキ</t>
    </rPh>
    <phoneticPr fontId="2"/>
  </si>
  <si>
    <t>子、丑、辰、未、戌、亥</t>
    <rPh sb="0" eb="1">
      <t>ネ</t>
    </rPh>
    <rPh sb="2" eb="3">
      <t>ウシ</t>
    </rPh>
    <rPh sb="4" eb="5">
      <t>タツ</t>
    </rPh>
    <rPh sb="6" eb="7">
      <t>ヒツジ</t>
    </rPh>
    <rPh sb="8" eb="9">
      <t>イヌ</t>
    </rPh>
    <rPh sb="10" eb="11">
      <t>イ</t>
    </rPh>
    <phoneticPr fontId="2"/>
  </si>
  <si>
    <t>乙女座、山羊座、魚座、牡牛座</t>
    <rPh sb="0" eb="3">
      <t>オトメザ</t>
    </rPh>
    <rPh sb="11" eb="14">
      <t>オウシザ</t>
    </rPh>
    <phoneticPr fontId="2"/>
  </si>
  <si>
    <t>己</t>
    <rPh sb="0" eb="1">
      <t>ツチノト</t>
    </rPh>
    <phoneticPr fontId="2"/>
  </si>
  <si>
    <t>酉</t>
    <rPh sb="0" eb="1">
      <t>トリ</t>
    </rPh>
    <phoneticPr fontId="2"/>
  </si>
  <si>
    <t>（つちのと</t>
    <phoneticPr fontId="2"/>
  </si>
  <si>
    <t>とり）</t>
    <phoneticPr fontId="2"/>
  </si>
  <si>
    <t>不動明王</t>
    <rPh sb="0" eb="2">
      <t>フドウ</t>
    </rPh>
    <rPh sb="2" eb="4">
      <t>ミョウオウ</t>
    </rPh>
    <phoneticPr fontId="2"/>
  </si>
  <si>
    <t xml:space="preserve"> </t>
    <phoneticPr fontId="2"/>
  </si>
  <si>
    <t>天秤座(Libra)、金星</t>
    <rPh sb="0" eb="3">
      <t>テンビンザ</t>
    </rPh>
    <rPh sb="11" eb="13">
      <t>キンセイ</t>
    </rPh>
    <phoneticPr fontId="2"/>
  </si>
  <si>
    <t xml:space="preserve"> </t>
    <phoneticPr fontId="2"/>
  </si>
  <si>
    <t>天秤座、水瓶座、牡羊座、双子座</t>
    <rPh sb="0" eb="3">
      <t>テンビンザ</t>
    </rPh>
    <rPh sb="12" eb="15">
      <t>フタゴザ</t>
    </rPh>
    <phoneticPr fontId="2"/>
  </si>
  <si>
    <t xml:space="preserve"> </t>
    <phoneticPr fontId="2"/>
  </si>
  <si>
    <t>戌</t>
    <rPh sb="0" eb="1">
      <t>イヌ</t>
    </rPh>
    <phoneticPr fontId="2"/>
  </si>
  <si>
    <t>いぬ）</t>
    <phoneticPr fontId="2"/>
  </si>
  <si>
    <t>阿弥陀如来</t>
    <rPh sb="0" eb="3">
      <t>アミダ</t>
    </rPh>
    <rPh sb="3" eb="5">
      <t>ニョライ</t>
    </rPh>
    <phoneticPr fontId="2"/>
  </si>
  <si>
    <t xml:space="preserve"> </t>
    <phoneticPr fontId="2"/>
  </si>
  <si>
    <t>蠍座(Scorpio)、冥王星</t>
    <rPh sb="0" eb="2">
      <t>サソリザ</t>
    </rPh>
    <rPh sb="12" eb="15">
      <t>メイオウセイ</t>
    </rPh>
    <phoneticPr fontId="2"/>
  </si>
  <si>
    <t>蠍座、魚座、牡牛座、蟹座</t>
    <rPh sb="0" eb="2">
      <t>サソリザ</t>
    </rPh>
    <rPh sb="10" eb="12">
      <t>カニザ</t>
    </rPh>
    <phoneticPr fontId="2"/>
  </si>
  <si>
    <t xml:space="preserve"> </t>
    <phoneticPr fontId="2"/>
  </si>
  <si>
    <t>亥</t>
    <rPh sb="0" eb="1">
      <t>イ</t>
    </rPh>
    <phoneticPr fontId="2"/>
  </si>
  <si>
    <t>い）</t>
    <phoneticPr fontId="2"/>
  </si>
  <si>
    <t>射手座(Sagittarius)、木星</t>
    <rPh sb="0" eb="3">
      <t>イテザ</t>
    </rPh>
    <rPh sb="17" eb="19">
      <t>モクセイ</t>
    </rPh>
    <phoneticPr fontId="2"/>
  </si>
  <si>
    <t>射手座、牡羊座、双子座、獅子座</t>
    <rPh sb="0" eb="3">
      <t>イテザ</t>
    </rPh>
    <rPh sb="12" eb="15">
      <t>シシザ</t>
    </rPh>
    <phoneticPr fontId="2"/>
  </si>
  <si>
    <t>曜日</t>
    <rPh sb="0" eb="2">
      <t>ヨウビ</t>
    </rPh>
    <phoneticPr fontId="2"/>
  </si>
  <si>
    <t>金銭運は</t>
    <rPh sb="0" eb="2">
      <t>キンセン</t>
    </rPh>
    <rPh sb="2" eb="3">
      <t>キンウン</t>
    </rPh>
    <phoneticPr fontId="2"/>
  </si>
  <si>
    <t>愛情運は</t>
    <rPh sb="0" eb="2">
      <t>アイジョウ</t>
    </rPh>
    <rPh sb="2" eb="3">
      <t>レンアイウン</t>
    </rPh>
    <phoneticPr fontId="2"/>
  </si>
  <si>
    <t>仕事運は</t>
    <rPh sb="0" eb="3">
      <t>シゴトウン</t>
    </rPh>
    <phoneticPr fontId="2"/>
  </si>
  <si>
    <t>健康運は</t>
    <rPh sb="0" eb="2">
      <t>ケンコウ</t>
    </rPh>
    <rPh sb="2" eb="3">
      <t>シゴトウン</t>
    </rPh>
    <phoneticPr fontId="2"/>
  </si>
  <si>
    <t>、一白水星</t>
    <rPh sb="1" eb="2">
      <t>イチ</t>
    </rPh>
    <rPh sb="2" eb="3">
      <t>シロ</t>
    </rPh>
    <rPh sb="3" eb="5">
      <t>スイセイ</t>
    </rPh>
    <phoneticPr fontId="2"/>
  </si>
  <si>
    <t>(^^)(^^)(^^)、</t>
    <phoneticPr fontId="2"/>
  </si>
  <si>
    <t>(^^)(^^)(^^)です。</t>
    <phoneticPr fontId="2"/>
  </si>
  <si>
    <t>、九紫火星</t>
    <rPh sb="1" eb="2">
      <t>キュウ</t>
    </rPh>
    <rPh sb="2" eb="3">
      <t>ムラサキ</t>
    </rPh>
    <rPh sb="3" eb="5">
      <t>カセイ</t>
    </rPh>
    <phoneticPr fontId="2"/>
  </si>
  <si>
    <t>（日）．．．．</t>
    <rPh sb="1" eb="2">
      <t>ニチ</t>
    </rPh>
    <phoneticPr fontId="2"/>
  </si>
  <si>
    <t>(^^)(^^)、</t>
    <phoneticPr fontId="2"/>
  </si>
  <si>
    <t>(^^)(^^)です。</t>
    <phoneticPr fontId="2"/>
  </si>
  <si>
    <t>、八白土星</t>
    <rPh sb="1" eb="2">
      <t>ハチ</t>
    </rPh>
    <rPh sb="2" eb="3">
      <t>シロ</t>
    </rPh>
    <rPh sb="3" eb="5">
      <t>ドセイ</t>
    </rPh>
    <phoneticPr fontId="2"/>
  </si>
  <si>
    <t>（月）．．．．</t>
    <rPh sb="1" eb="2">
      <t>ゲツ</t>
    </rPh>
    <phoneticPr fontId="2"/>
  </si>
  <si>
    <t>(^^)、</t>
    <phoneticPr fontId="2"/>
  </si>
  <si>
    <t>(^^)です。</t>
    <phoneticPr fontId="2"/>
  </si>
  <si>
    <t>、七赤金星</t>
    <rPh sb="1" eb="2">
      <t>シチ</t>
    </rPh>
    <rPh sb="2" eb="3">
      <t>アカ</t>
    </rPh>
    <rPh sb="3" eb="5">
      <t>キンセイ</t>
    </rPh>
    <phoneticPr fontId="2"/>
  </si>
  <si>
    <t>（火）．．．．</t>
    <rPh sb="1" eb="2">
      <t>ヒ</t>
    </rPh>
    <phoneticPr fontId="2"/>
  </si>
  <si>
    <t>(--)、</t>
    <phoneticPr fontId="2"/>
  </si>
  <si>
    <t>(--)です。</t>
    <phoneticPr fontId="2"/>
  </si>
  <si>
    <t>、六白金星</t>
    <rPh sb="1" eb="2">
      <t>ロク</t>
    </rPh>
    <rPh sb="2" eb="4">
      <t>ハッキン</t>
    </rPh>
    <rPh sb="4" eb="5">
      <t>ボシ</t>
    </rPh>
    <phoneticPr fontId="2"/>
  </si>
  <si>
    <t>（水）．．．．</t>
    <rPh sb="1" eb="2">
      <t>スイ</t>
    </rPh>
    <phoneticPr fontId="2"/>
  </si>
  <si>
    <t>(__)、</t>
    <phoneticPr fontId="2"/>
  </si>
  <si>
    <t>(__)です。</t>
    <phoneticPr fontId="2"/>
  </si>
  <si>
    <t>、五黄土星</t>
    <rPh sb="1" eb="3">
      <t>ゴオウ</t>
    </rPh>
    <rPh sb="3" eb="5">
      <t>ドセイ</t>
    </rPh>
    <phoneticPr fontId="2"/>
  </si>
  <si>
    <t>（木）．．．．</t>
    <rPh sb="1" eb="2">
      <t>モク</t>
    </rPh>
    <phoneticPr fontId="2"/>
  </si>
  <si>
    <t>(__)(__)、</t>
    <phoneticPr fontId="2"/>
  </si>
  <si>
    <t>(__)(__)です。</t>
    <phoneticPr fontId="2"/>
  </si>
  <si>
    <t>、四緑木星</t>
    <rPh sb="1" eb="2">
      <t>ヨン</t>
    </rPh>
    <rPh sb="2" eb="3">
      <t>ミドリ</t>
    </rPh>
    <rPh sb="3" eb="5">
      <t>モクセイ</t>
    </rPh>
    <phoneticPr fontId="2"/>
  </si>
  <si>
    <t>（金）．．．．</t>
    <rPh sb="1" eb="2">
      <t>キン</t>
    </rPh>
    <phoneticPr fontId="2"/>
  </si>
  <si>
    <t>(__)(__)(__)、</t>
    <phoneticPr fontId="2"/>
  </si>
  <si>
    <t>(__)(__)(__)です。</t>
    <phoneticPr fontId="2"/>
  </si>
  <si>
    <t>、三碧木星</t>
    <rPh sb="1" eb="2">
      <t>サン</t>
    </rPh>
    <rPh sb="2" eb="3">
      <t>ミドリ</t>
    </rPh>
    <rPh sb="3" eb="5">
      <t>モクセイ</t>
    </rPh>
    <phoneticPr fontId="2"/>
  </si>
  <si>
    <t>（土）．．．．</t>
    <rPh sb="1" eb="2">
      <t>ド</t>
    </rPh>
    <phoneticPr fontId="2"/>
  </si>
  <si>
    <t>、二黒土星</t>
    <rPh sb="1" eb="2">
      <t>ニ</t>
    </rPh>
    <rPh sb="2" eb="4">
      <t>コクド</t>
    </rPh>
    <rPh sb="4" eb="5">
      <t>ボシ</t>
    </rPh>
    <phoneticPr fontId="2"/>
  </si>
  <si>
    <t xml:space="preserve"> </t>
    <phoneticPr fontId="2"/>
  </si>
  <si>
    <t>身体</t>
    <rPh sb="0" eb="2">
      <t>シンタイ</t>
    </rPh>
    <phoneticPr fontId="2"/>
  </si>
  <si>
    <t>感情</t>
    <rPh sb="0" eb="2">
      <t>カンジョウ</t>
    </rPh>
    <phoneticPr fontId="2"/>
  </si>
  <si>
    <t>知性</t>
    <rPh sb="0" eb="2">
      <t>チセイ</t>
    </rPh>
    <phoneticPr fontId="2"/>
  </si>
  <si>
    <t>月日</t>
    <rPh sb="0" eb="2">
      <t>ガッピ</t>
    </rPh>
    <phoneticPr fontId="2"/>
  </si>
  <si>
    <t>ｻｲｸﾙ→</t>
    <phoneticPr fontId="2"/>
  </si>
  <si>
    <t>要注意日</t>
    <rPh sb="0" eb="1">
      <t>ヨウ</t>
    </rPh>
    <rPh sb="1" eb="3">
      <t>チュウイ</t>
    </rPh>
    <rPh sb="3" eb="4">
      <t>ビ</t>
    </rPh>
    <phoneticPr fontId="2"/>
  </si>
  <si>
    <t>通算日数</t>
    <rPh sb="0" eb="2">
      <t>ツウサン</t>
    </rPh>
    <rPh sb="2" eb="4">
      <t>ニッスウ</t>
    </rPh>
    <phoneticPr fontId="2"/>
  </si>
  <si>
    <t>*</t>
    <phoneticPr fontId="2"/>
  </si>
  <si>
    <t>↓には、なーんにもありません…</t>
    <phoneticPr fontId="2"/>
  </si>
  <si>
    <t>あなたもしつこい人ですね　　　（＾＾；</t>
    <rPh sb="8" eb="9">
      <t>ヒト</t>
    </rPh>
    <phoneticPr fontId="2"/>
  </si>
  <si>
    <t>本当に何もありません…ってば</t>
    <rPh sb="0" eb="2">
      <t>ホントウ</t>
    </rPh>
    <rPh sb="3" eb="4">
      <t>ナニ</t>
    </rPh>
    <phoneticPr fontId="2"/>
  </si>
  <si>
    <t>はい！　ここまでです。　</t>
    <phoneticPr fontId="2"/>
  </si>
  <si>
    <t>私もつき合いが良い方で…</t>
    <rPh sb="0" eb="1">
      <t>ワタシ</t>
    </rPh>
    <rPh sb="4" eb="5">
      <t>ア</t>
    </rPh>
    <rPh sb="7" eb="8">
      <t>ヨ</t>
    </rPh>
    <rPh sb="9" eb="10">
      <t>ホウ</t>
    </rPh>
    <phoneticPr fontId="2"/>
  </si>
  <si>
    <t>ここまで来ていただいたのに、景品も、隠しコマンドも</t>
    <rPh sb="4" eb="5">
      <t>キ</t>
    </rPh>
    <rPh sb="14" eb="16">
      <t>ケイヒン</t>
    </rPh>
    <rPh sb="18" eb="19">
      <t>カク</t>
    </rPh>
    <phoneticPr fontId="2"/>
  </si>
  <si>
    <t>付録も何にもありません。　スミマセン  m(_ _)m</t>
    <rPh sb="0" eb="2">
      <t>フロク</t>
    </rPh>
    <rPh sb="3" eb="4">
      <t>ナン</t>
    </rPh>
    <phoneticPr fontId="2"/>
  </si>
  <si>
    <t>おつき合い、誠にありがとうございました。</t>
    <rPh sb="3" eb="4">
      <t>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</si>
</sst>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411]ggge&quot;年&quot;"/>
    <numFmt numFmtId="165" formatCode="[$-411]&quot;(&quot;ggge&quot;年)&quot;"/>
    <numFmt numFmtId="166" formatCode="0_);[Red]\(0\)"/>
    <numFmt numFmtId="167" formatCode="#,##0_ "/>
    <numFmt numFmtId="168" formatCode="0.00_ "/>
    <numFmt numFmtId="169" formatCode="00&quot;日&quot;"/>
    <numFmt numFmtId="170" formatCode="[$-411]yyyy&quot;年&quot;m&quot;月　 (&quot;ggge&quot;年)&quot;"/>
    <numFmt numFmtId="171" formatCode="\ &quot;　　今日は&quot;yyyy&quot;年&quot;m&quot;月&quot;d&quot;日です。&quot;"/>
  </numFmts>
  <fonts count="3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2"/>
      <color indexed="60"/>
      <name val="ＭＳ Ｐゴシック"/>
      <family val="3"/>
      <charset val="128"/>
    </font>
    <font>
      <sz val="12"/>
      <color indexed="52"/>
      <name val="ＭＳ Ｐゴシック"/>
      <family val="3"/>
      <charset val="128"/>
    </font>
    <font>
      <b/>
      <sz val="12"/>
      <color indexed="16"/>
      <name val="ＭＳ Ｐゴシック"/>
      <family val="3"/>
      <charset val="128"/>
    </font>
    <font>
      <sz val="12"/>
      <color indexed="16"/>
      <name val="ＭＳ Ｐゴシック"/>
      <family val="3"/>
      <charset val="128"/>
    </font>
    <font>
      <b/>
      <sz val="12"/>
      <color indexed="58"/>
      <name val="ＭＳ Ｐゴシック"/>
      <family val="3"/>
      <charset val="128"/>
    </font>
    <font>
      <b/>
      <sz val="11"/>
      <color indexed="58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b/>
      <sz val="12"/>
      <color indexed="9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22"/>
      <name val="ＭＳ Ｐゴシック"/>
      <family val="3"/>
      <charset val="128"/>
    </font>
    <font>
      <b/>
      <sz val="12"/>
      <color indexed="14"/>
      <name val="ＭＳ Ｐゴシック"/>
      <family val="3"/>
      <charset val="128"/>
    </font>
    <font>
      <sz val="12"/>
      <color indexed="14"/>
      <name val="ＭＳ Ｐゴシック"/>
      <family val="3"/>
      <charset val="128"/>
    </font>
    <font>
      <b/>
      <sz val="12"/>
      <color indexed="51"/>
      <name val="ＭＳ Ｐゴシック"/>
      <family val="3"/>
      <charset val="128"/>
    </font>
    <font>
      <b/>
      <sz val="12"/>
      <color indexed="45"/>
      <name val="ＭＳ Ｐゴシック"/>
      <family val="3"/>
      <charset val="128"/>
    </font>
    <font>
      <sz val="12"/>
      <color indexed="45"/>
      <name val="ＭＳ Ｐゴシック"/>
      <family val="3"/>
      <charset val="128"/>
    </font>
    <font>
      <sz val="12"/>
      <color indexed="47"/>
      <name val="ＭＳ Ｐゴシック"/>
      <family val="3"/>
      <charset val="128"/>
    </font>
    <font>
      <b/>
      <sz val="12"/>
      <color indexed="47"/>
      <name val="ＭＳ Ｐゴシック"/>
      <family val="3"/>
      <charset val="128"/>
    </font>
    <font>
      <b/>
      <sz val="11"/>
      <color indexed="14"/>
      <name val="ＭＳ Ｐゴシック"/>
      <family val="3"/>
      <charset val="128"/>
    </font>
    <font>
      <b/>
      <sz val="11"/>
      <color indexed="51"/>
      <name val="ＭＳ Ｐゴシック"/>
      <family val="3"/>
      <charset val="128"/>
    </font>
    <font>
      <b/>
      <sz val="11"/>
      <color indexed="45"/>
      <name val="ＭＳ Ｐゴシック"/>
      <family val="3"/>
      <charset val="128"/>
    </font>
    <font>
      <b/>
      <sz val="12"/>
      <color indexed="22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2"/>
      <color indexed="22"/>
      <name val="ＭＳ Ｐゴシック"/>
      <family val="3"/>
      <charset val="128"/>
    </font>
    <font>
      <b/>
      <sz val="14"/>
      <color indexed="22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id">
        <fgColor indexed="1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hair">
        <color indexed="55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/>
      <diagonal/>
    </border>
    <border>
      <left/>
      <right style="thin">
        <color auto="1"/>
      </right>
      <top style="medium">
        <color indexed="9"/>
      </top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2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right"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  <protection hidden="1"/>
    </xf>
    <xf numFmtId="0" fontId="13" fillId="0" borderId="0" xfId="0" applyFont="1" applyFill="1" applyAlignment="1" applyProtection="1">
      <alignment horizontal="center" vertical="center"/>
    </xf>
    <xf numFmtId="0" fontId="14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0" fontId="15" fillId="0" borderId="0" xfId="0" applyFont="1" applyFill="1" applyAlignment="1" applyProtection="1">
      <alignment horizontal="left" vertical="center"/>
      <protection hidden="1"/>
    </xf>
    <xf numFmtId="0" fontId="16" fillId="0" borderId="0" xfId="0" applyFont="1" applyFill="1" applyAlignment="1" applyProtection="1">
      <alignment horizontal="center" vertical="center"/>
    </xf>
    <xf numFmtId="0" fontId="15" fillId="0" borderId="0" xfId="0" applyFont="1" applyFill="1" applyAlignment="1" applyProtection="1">
      <alignment horizontal="left" vertical="center"/>
    </xf>
    <xf numFmtId="14" fontId="20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21" fillId="0" borderId="0" xfId="0" applyFont="1" applyFill="1" applyAlignment="1" applyProtection="1">
      <alignment vertical="center"/>
    </xf>
    <xf numFmtId="14" fontId="22" fillId="0" borderId="0" xfId="0" applyNumberFormat="1" applyFont="1" applyFill="1" applyAlignment="1" applyProtection="1">
      <alignment vertical="center"/>
    </xf>
    <xf numFmtId="0" fontId="21" fillId="0" borderId="1" xfId="0" applyFont="1" applyFill="1" applyBorder="1" applyAlignment="1" applyProtection="1">
      <alignment vertical="center"/>
    </xf>
    <xf numFmtId="0" fontId="21" fillId="0" borderId="2" xfId="0" applyFont="1" applyFill="1" applyBorder="1" applyAlignment="1" applyProtection="1">
      <alignment vertical="center"/>
    </xf>
    <xf numFmtId="0" fontId="21" fillId="0" borderId="3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166" fontId="21" fillId="0" borderId="0" xfId="0" applyNumberFormat="1" applyFont="1" applyFill="1" applyAlignment="1" applyProtection="1">
      <alignment vertical="center"/>
    </xf>
    <xf numFmtId="0" fontId="21" fillId="0" borderId="4" xfId="0" applyFont="1" applyFill="1" applyBorder="1" applyAlignment="1" applyProtection="1">
      <alignment horizontal="right" vertical="center"/>
    </xf>
    <xf numFmtId="0" fontId="21" fillId="0" borderId="5" xfId="0" applyFont="1" applyFill="1" applyBorder="1" applyAlignment="1" applyProtection="1">
      <alignment vertical="center"/>
    </xf>
    <xf numFmtId="0" fontId="21" fillId="0" borderId="6" xfId="0" applyFont="1" applyFill="1" applyBorder="1" applyAlignment="1" applyProtection="1">
      <alignment vertical="center"/>
    </xf>
    <xf numFmtId="0" fontId="21" fillId="0" borderId="7" xfId="0" applyFont="1" applyFill="1" applyBorder="1" applyAlignment="1" applyProtection="1">
      <alignment vertical="center"/>
    </xf>
    <xf numFmtId="0" fontId="21" fillId="0" borderId="1" xfId="0" applyFont="1" applyFill="1" applyBorder="1" applyAlignment="1" applyProtection="1">
      <alignment horizontal="right" vertical="center"/>
    </xf>
    <xf numFmtId="0" fontId="21" fillId="0" borderId="8" xfId="0" applyFont="1" applyFill="1" applyBorder="1" applyAlignment="1" applyProtection="1">
      <alignment vertical="center"/>
    </xf>
    <xf numFmtId="0" fontId="21" fillId="0" borderId="4" xfId="0" applyFont="1" applyFill="1" applyBorder="1" applyAlignment="1" applyProtection="1">
      <alignment vertical="center"/>
    </xf>
    <xf numFmtId="0" fontId="21" fillId="0" borderId="0" xfId="0" applyFont="1" applyFill="1" applyBorder="1" applyAlignment="1" applyProtection="1">
      <alignment vertical="center"/>
    </xf>
    <xf numFmtId="164" fontId="21" fillId="0" borderId="0" xfId="0" applyNumberFormat="1" applyFont="1" applyFill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21" fillId="0" borderId="0" xfId="0" applyFont="1" applyFill="1" applyAlignment="1" applyProtection="1">
      <alignment horizontal="center" vertical="center"/>
    </xf>
    <xf numFmtId="0" fontId="21" fillId="0" borderId="0" xfId="0" applyFont="1" applyFill="1" applyBorder="1" applyAlignment="1" applyProtection="1">
      <alignment horizontal="center" vertical="center"/>
    </xf>
    <xf numFmtId="0" fontId="0" fillId="0" borderId="0" xfId="0" applyFill="1"/>
    <xf numFmtId="14" fontId="0" fillId="0" borderId="0" xfId="0" applyNumberFormat="1" applyFill="1"/>
    <xf numFmtId="166" fontId="0" fillId="0" borderId="0" xfId="0" applyNumberFormat="1" applyFill="1"/>
    <xf numFmtId="0" fontId="23" fillId="0" borderId="1" xfId="0" applyFont="1" applyFill="1" applyBorder="1" applyAlignment="1" applyProtection="1">
      <alignment vertical="center"/>
    </xf>
    <xf numFmtId="166" fontId="23" fillId="0" borderId="1" xfId="0" applyNumberFormat="1" applyFont="1" applyFill="1" applyBorder="1" applyAlignment="1" applyProtection="1">
      <alignment vertical="center"/>
    </xf>
    <xf numFmtId="0" fontId="23" fillId="0" borderId="0" xfId="0" applyFont="1" applyFill="1" applyAlignment="1" applyProtection="1">
      <alignment vertical="center"/>
    </xf>
    <xf numFmtId="166" fontId="23" fillId="0" borderId="0" xfId="0" applyNumberFormat="1" applyFont="1" applyFill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166" fontId="0" fillId="0" borderId="9" xfId="0" applyNumberFormat="1" applyFill="1" applyBorder="1"/>
    <xf numFmtId="0" fontId="0" fillId="0" borderId="10" xfId="0" applyFill="1" applyBorder="1"/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14" fontId="22" fillId="0" borderId="0" xfId="0" applyNumberFormat="1" applyFont="1" applyFill="1"/>
    <xf numFmtId="166" fontId="0" fillId="0" borderId="6" xfId="0" applyNumberFormat="1" applyFill="1" applyBorder="1"/>
    <xf numFmtId="0" fontId="0" fillId="0" borderId="4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  <xf numFmtId="0" fontId="22" fillId="0" borderId="0" xfId="0" applyFont="1" applyFill="1"/>
    <xf numFmtId="0" fontId="0" fillId="0" borderId="9" xfId="0" applyFill="1" applyBorder="1"/>
    <xf numFmtId="168" fontId="0" fillId="0" borderId="9" xfId="0" applyNumberFormat="1" applyFill="1" applyBorder="1"/>
    <xf numFmtId="168" fontId="0" fillId="0" borderId="11" xfId="0" applyNumberFormat="1" applyFill="1" applyBorder="1"/>
    <xf numFmtId="168" fontId="0" fillId="0" borderId="12" xfId="0" applyNumberFormat="1" applyFill="1" applyBorder="1"/>
    <xf numFmtId="169" fontId="0" fillId="0" borderId="9" xfId="0" applyNumberFormat="1" applyFill="1" applyBorder="1"/>
    <xf numFmtId="169" fontId="0" fillId="0" borderId="11" xfId="0" applyNumberFormat="1" applyFill="1" applyBorder="1"/>
    <xf numFmtId="169" fontId="0" fillId="0" borderId="12" xfId="0" applyNumberFormat="1" applyFill="1" applyBorder="1"/>
    <xf numFmtId="0" fontId="22" fillId="0" borderId="0" xfId="0" applyFont="1" applyFill="1" applyAlignment="1" applyProtection="1">
      <alignment horizontal="left" vertical="center"/>
    </xf>
    <xf numFmtId="166" fontId="22" fillId="0" borderId="0" xfId="0" applyNumberFormat="1" applyFont="1" applyFill="1" applyAlignment="1" applyProtection="1">
      <alignment vertical="center"/>
    </xf>
    <xf numFmtId="166" fontId="0" fillId="0" borderId="13" xfId="0" applyNumberFormat="1" applyFill="1" applyBorder="1"/>
    <xf numFmtId="168" fontId="0" fillId="0" borderId="13" xfId="0" applyNumberFormat="1" applyFill="1" applyBorder="1"/>
    <xf numFmtId="168" fontId="0" fillId="0" borderId="0" xfId="0" applyNumberFormat="1" applyFill="1" applyBorder="1"/>
    <xf numFmtId="168" fontId="0" fillId="0" borderId="14" xfId="0" applyNumberFormat="1" applyFill="1" applyBorder="1"/>
    <xf numFmtId="169" fontId="0" fillId="0" borderId="13" xfId="0" applyNumberFormat="1" applyFill="1" applyBorder="1"/>
    <xf numFmtId="169" fontId="0" fillId="0" borderId="0" xfId="0" applyNumberFormat="1" applyFill="1" applyBorder="1"/>
    <xf numFmtId="169" fontId="0" fillId="0" borderId="14" xfId="0" applyNumberFormat="1" applyFill="1" applyBorder="1"/>
    <xf numFmtId="0" fontId="0" fillId="0" borderId="6" xfId="0" applyFill="1" applyBorder="1"/>
    <xf numFmtId="168" fontId="0" fillId="0" borderId="6" xfId="0" applyNumberFormat="1" applyFill="1" applyBorder="1"/>
    <xf numFmtId="168" fontId="0" fillId="0" borderId="5" xfId="0" applyNumberFormat="1" applyFill="1" applyBorder="1"/>
    <xf numFmtId="168" fontId="0" fillId="0" borderId="7" xfId="0" applyNumberFormat="1" applyFill="1" applyBorder="1"/>
    <xf numFmtId="169" fontId="0" fillId="0" borderId="6" xfId="0" applyNumberFormat="1" applyFill="1" applyBorder="1"/>
    <xf numFmtId="169" fontId="0" fillId="0" borderId="5" xfId="0" applyNumberFormat="1" applyFill="1" applyBorder="1"/>
    <xf numFmtId="169" fontId="0" fillId="0" borderId="7" xfId="0" applyNumberFormat="1" applyFill="1" applyBorder="1"/>
    <xf numFmtId="0" fontId="3" fillId="0" borderId="3" xfId="0" applyFont="1" applyFill="1" applyBorder="1" applyAlignment="1" applyProtection="1">
      <alignment horizontal="center" vertical="center"/>
    </xf>
    <xf numFmtId="0" fontId="3" fillId="0" borderId="8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169" fontId="3" fillId="0" borderId="5" xfId="0" applyNumberFormat="1" applyFont="1" applyFill="1" applyBorder="1" applyAlignment="1" applyProtection="1">
      <alignment vertical="center"/>
    </xf>
    <xf numFmtId="0" fontId="25" fillId="0" borderId="0" xfId="0" applyFont="1" applyFill="1" applyBorder="1" applyAlignment="1" applyProtection="1">
      <alignment horizontal="right" vertical="center"/>
    </xf>
    <xf numFmtId="165" fontId="25" fillId="0" borderId="0" xfId="0" applyNumberFormat="1" applyFont="1" applyFill="1" applyBorder="1" applyAlignment="1" applyProtection="1">
      <alignment horizontal="left" vertical="center"/>
      <protection hidden="1"/>
    </xf>
    <xf numFmtId="0" fontId="26" fillId="0" borderId="0" xfId="0" applyFont="1" applyFill="1" applyAlignment="1" applyProtection="1">
      <alignment horizontal="right" vertical="center"/>
    </xf>
    <xf numFmtId="0" fontId="25" fillId="0" borderId="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horizontal="center" vertical="center"/>
    </xf>
    <xf numFmtId="0" fontId="25" fillId="0" borderId="0" xfId="0" applyFont="1" applyFill="1" applyAlignment="1" applyProtection="1">
      <alignment horizontal="left" vertical="center"/>
      <protection hidden="1"/>
    </xf>
    <xf numFmtId="0" fontId="25" fillId="0" borderId="0" xfId="0" applyFont="1" applyFill="1" applyBorder="1" applyAlignment="1" applyProtection="1">
      <alignment horizontal="left" vertical="center"/>
      <protection hidden="1"/>
    </xf>
    <xf numFmtId="0" fontId="27" fillId="0" borderId="0" xfId="0" applyFont="1" applyFill="1" applyBorder="1" applyAlignment="1" applyProtection="1">
      <alignment horizontal="right" vertical="center"/>
    </xf>
    <xf numFmtId="0" fontId="27" fillId="0" borderId="0" xfId="0" applyFont="1" applyFill="1" applyBorder="1" applyAlignment="1" applyProtection="1">
      <alignment vertical="center"/>
      <protection hidden="1"/>
    </xf>
    <xf numFmtId="0" fontId="28" fillId="0" borderId="0" xfId="0" applyFont="1" applyFill="1" applyBorder="1" applyAlignment="1" applyProtection="1">
      <alignment horizontal="right" vertical="center"/>
    </xf>
    <xf numFmtId="0" fontId="28" fillId="0" borderId="0" xfId="0" applyFont="1" applyFill="1" applyBorder="1" applyAlignment="1" applyProtection="1">
      <alignment horizontal="left" vertical="center"/>
      <protection hidden="1"/>
    </xf>
    <xf numFmtId="0" fontId="29" fillId="0" borderId="0" xfId="0" applyFont="1" applyFill="1" applyAlignment="1" applyProtection="1">
      <alignment horizontal="center" vertical="center"/>
    </xf>
    <xf numFmtId="0" fontId="28" fillId="0" borderId="0" xfId="0" applyFont="1" applyFill="1" applyAlignment="1" applyProtection="1">
      <alignment horizontal="left" vertical="center"/>
      <protection hidden="1"/>
    </xf>
    <xf numFmtId="0" fontId="30" fillId="0" borderId="0" xfId="0" applyFont="1" applyFill="1" applyAlignment="1" applyProtection="1">
      <alignment horizontal="center" vertical="center"/>
    </xf>
    <xf numFmtId="0" fontId="31" fillId="0" borderId="0" xfId="0" applyFont="1" applyFill="1" applyAlignment="1" applyProtection="1">
      <alignment horizontal="right" vertical="center"/>
    </xf>
    <xf numFmtId="0" fontId="31" fillId="0" borderId="0" xfId="0" applyFont="1" applyFill="1" applyAlignment="1" applyProtection="1">
      <alignment horizontal="left" vertical="center"/>
      <protection hidden="1"/>
    </xf>
    <xf numFmtId="0" fontId="25" fillId="0" borderId="0" xfId="0" applyFont="1" applyFill="1" applyAlignment="1" applyProtection="1">
      <alignment horizontal="right" vertical="center"/>
    </xf>
    <xf numFmtId="169" fontId="32" fillId="0" borderId="0" xfId="0" applyNumberFormat="1" applyFont="1" applyFill="1" applyAlignment="1" applyProtection="1">
      <alignment horizontal="left" vertical="center"/>
      <protection hidden="1"/>
    </xf>
    <xf numFmtId="0" fontId="27" fillId="0" borderId="0" xfId="0" applyFont="1" applyFill="1" applyAlignment="1" applyProtection="1">
      <alignment horizontal="right" vertical="center"/>
    </xf>
    <xf numFmtId="169" fontId="33" fillId="0" borderId="0" xfId="0" applyNumberFormat="1" applyFont="1" applyFill="1" applyAlignment="1" applyProtection="1">
      <alignment horizontal="left" vertical="center"/>
      <protection hidden="1"/>
    </xf>
    <xf numFmtId="0" fontId="28" fillId="0" borderId="0" xfId="0" applyFont="1" applyFill="1" applyAlignment="1" applyProtection="1">
      <alignment horizontal="right" vertical="center"/>
    </xf>
    <xf numFmtId="169" fontId="34" fillId="0" borderId="0" xfId="0" applyNumberFormat="1" applyFont="1" applyFill="1" applyAlignment="1" applyProtection="1">
      <alignment horizontal="left" vertical="center"/>
      <protection hidden="1"/>
    </xf>
    <xf numFmtId="0" fontId="11" fillId="2" borderId="0" xfId="0" applyFont="1" applyFill="1" applyBorder="1" applyAlignment="1" applyProtection="1">
      <alignment horizontal="center" vertical="center"/>
      <protection hidden="1"/>
    </xf>
    <xf numFmtId="0" fontId="12" fillId="2" borderId="0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</xf>
    <xf numFmtId="0" fontId="24" fillId="2" borderId="0" xfId="0" applyFont="1" applyFill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right" vertical="center"/>
    </xf>
    <xf numFmtId="0" fontId="37" fillId="0" borderId="0" xfId="0" applyFont="1" applyFill="1" applyAlignment="1" applyProtection="1">
      <alignment horizontal="center" vertical="center"/>
    </xf>
    <xf numFmtId="167" fontId="35" fillId="0" borderId="0" xfId="0" applyNumberFormat="1" applyFont="1" applyFill="1" applyBorder="1" applyAlignment="1" applyProtection="1">
      <alignment horizontal="left" vertical="center"/>
      <protection hidden="1"/>
    </xf>
    <xf numFmtId="0" fontId="35" fillId="0" borderId="0" xfId="0" applyFont="1" applyFill="1" applyAlignment="1" applyProtection="1">
      <alignment horizontal="left" vertical="center"/>
    </xf>
    <xf numFmtId="0" fontId="35" fillId="0" borderId="0" xfId="0" applyFont="1" applyFill="1" applyAlignment="1" applyProtection="1">
      <alignment horizontal="center" vertical="center"/>
    </xf>
    <xf numFmtId="0" fontId="8" fillId="2" borderId="15" xfId="0" applyFont="1" applyFill="1" applyBorder="1" applyAlignment="1" applyProtection="1">
      <alignment horizontal="center" vertical="center"/>
    </xf>
    <xf numFmtId="0" fontId="9" fillId="2" borderId="15" xfId="0" applyFont="1" applyFill="1" applyBorder="1" applyAlignment="1" applyProtection="1">
      <alignment horizontal="center" vertical="center"/>
    </xf>
    <xf numFmtId="0" fontId="10" fillId="2" borderId="15" xfId="0" applyFont="1" applyFill="1" applyBorder="1" applyAlignment="1" applyProtection="1">
      <alignment horizontal="center" vertical="center"/>
    </xf>
    <xf numFmtId="0" fontId="14" fillId="3" borderId="16" xfId="0" applyFont="1" applyFill="1" applyBorder="1" applyAlignment="1" applyProtection="1">
      <alignment horizontal="center" vertical="center"/>
    </xf>
    <xf numFmtId="0" fontId="14" fillId="3" borderId="17" xfId="0" applyFont="1" applyFill="1" applyBorder="1" applyAlignment="1" applyProtection="1">
      <alignment horizontal="center" vertical="center"/>
    </xf>
    <xf numFmtId="0" fontId="15" fillId="3" borderId="17" xfId="0" applyFont="1" applyFill="1" applyBorder="1" applyAlignment="1" applyProtection="1">
      <alignment horizontal="left" vertical="center"/>
    </xf>
    <xf numFmtId="0" fontId="16" fillId="3" borderId="17" xfId="0" applyFont="1" applyFill="1" applyBorder="1" applyAlignment="1" applyProtection="1">
      <alignment horizontal="center" vertical="center"/>
    </xf>
    <xf numFmtId="0" fontId="3" fillId="3" borderId="17" xfId="0" applyFont="1" applyFill="1" applyBorder="1" applyAlignment="1" applyProtection="1">
      <alignment horizontal="center" vertical="center"/>
    </xf>
    <xf numFmtId="0" fontId="3" fillId="3" borderId="18" xfId="0" applyFont="1" applyFill="1" applyBorder="1" applyAlignment="1" applyProtection="1">
      <alignment horizontal="center" vertical="center"/>
    </xf>
    <xf numFmtId="0" fontId="4" fillId="3" borderId="0" xfId="0" applyFont="1" applyFill="1" applyBorder="1" applyAlignment="1" applyProtection="1">
      <alignment horizontal="right" vertical="center"/>
    </xf>
    <xf numFmtId="0" fontId="4" fillId="3" borderId="14" xfId="0" applyFont="1" applyFill="1" applyBorder="1" applyAlignment="1" applyProtection="1">
      <alignment horizontal="left" vertical="center"/>
    </xf>
    <xf numFmtId="0" fontId="17" fillId="3" borderId="19" xfId="0" applyFont="1" applyFill="1" applyBorder="1" applyAlignment="1" applyProtection="1">
      <alignment horizontal="center" vertical="center"/>
      <protection hidden="1"/>
    </xf>
    <xf numFmtId="0" fontId="18" fillId="3" borderId="0" xfId="0" applyFont="1" applyFill="1" applyBorder="1" applyAlignment="1" applyProtection="1">
      <alignment horizontal="left" vertical="center"/>
      <protection hidden="1"/>
    </xf>
    <xf numFmtId="0" fontId="17" fillId="3" borderId="0" xfId="0" applyFont="1" applyFill="1" applyBorder="1" applyAlignment="1" applyProtection="1">
      <alignment horizontal="center" vertical="center"/>
      <protection hidden="1"/>
    </xf>
    <xf numFmtId="0" fontId="18" fillId="3" borderId="0" xfId="0" applyFont="1" applyFill="1" applyBorder="1" applyAlignment="1" applyProtection="1">
      <alignment vertical="center"/>
      <protection hidden="1"/>
    </xf>
    <xf numFmtId="0" fontId="3" fillId="3" borderId="20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0" fontId="24" fillId="3" borderId="7" xfId="0" applyFont="1" applyFill="1" applyBorder="1" applyAlignment="1" applyProtection="1">
      <alignment horizontal="center" vertical="center"/>
    </xf>
    <xf numFmtId="14" fontId="35" fillId="0" borderId="21" xfId="0" applyNumberFormat="1" applyFont="1" applyFill="1" applyBorder="1" applyAlignment="1" applyProtection="1">
      <alignment horizontal="left" vertical="center"/>
      <protection locked="0"/>
    </xf>
    <xf numFmtId="0" fontId="36" fillId="0" borderId="22" xfId="0" applyFont="1" applyBorder="1" applyAlignment="1" applyProtection="1">
      <alignment vertical="center"/>
      <protection locked="0"/>
    </xf>
    <xf numFmtId="170" fontId="6" fillId="2" borderId="0" xfId="0" applyNumberFormat="1" applyFont="1" applyFill="1" applyBorder="1" applyAlignment="1" applyProtection="1">
      <alignment horizontal="center" vertical="center"/>
      <protection hidden="1"/>
    </xf>
    <xf numFmtId="170" fontId="7" fillId="2" borderId="0" xfId="0" applyNumberFormat="1" applyFont="1" applyFill="1" applyBorder="1" applyAlignment="1" applyProtection="1">
      <alignment horizontal="center" vertical="center"/>
      <protection hidden="1"/>
    </xf>
    <xf numFmtId="14" fontId="35" fillId="0" borderId="21" xfId="0" applyNumberFormat="1" applyFont="1" applyFill="1" applyBorder="1" applyAlignment="1" applyProtection="1">
      <alignment horizontal="center" vertical="center"/>
      <protection locked="0"/>
    </xf>
    <xf numFmtId="14" fontId="35" fillId="0" borderId="22" xfId="0" applyNumberFormat="1" applyFont="1" applyFill="1" applyBorder="1" applyAlignment="1" applyProtection="1">
      <alignment horizontal="center" vertical="center"/>
      <protection locked="0"/>
    </xf>
    <xf numFmtId="0" fontId="38" fillId="0" borderId="0" xfId="0" applyFont="1" applyFill="1" applyAlignment="1" applyProtection="1">
      <alignment horizontal="center" vertical="center"/>
    </xf>
    <xf numFmtId="0" fontId="36" fillId="0" borderId="0" xfId="0" applyFont="1" applyFill="1" applyAlignment="1">
      <alignment horizontal="center" vertical="center"/>
    </xf>
    <xf numFmtId="171" fontId="18" fillId="3" borderId="19" xfId="0" applyNumberFormat="1" applyFont="1" applyFill="1" applyBorder="1" applyAlignment="1" applyProtection="1">
      <alignment horizontal="left" vertical="center"/>
      <protection hidden="1"/>
    </xf>
    <xf numFmtId="171" fontId="18" fillId="3" borderId="0" xfId="0" applyNumberFormat="1" applyFont="1" applyFill="1" applyBorder="1" applyAlignment="1" applyProtection="1">
      <alignment horizontal="left" vertical="center"/>
      <protection hidden="1"/>
    </xf>
    <xf numFmtId="171" fontId="19" fillId="3" borderId="0" xfId="0" applyNumberFormat="1" applyFont="1" applyFill="1" applyBorder="1" applyAlignment="1" applyProtection="1">
      <alignment vertical="center"/>
      <protection hidden="1"/>
    </xf>
  </cellXfs>
  <cellStyles count="1">
    <cellStyle name="Normal" xfId="0" builtinId="0"/>
  </cellStyles>
  <dxfs count="2"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CCF995"/>
      <rgbColor rgb="000000FF"/>
      <rgbColor rgb="00FFFF00"/>
      <rgbColor rgb="00C5D6FF"/>
      <rgbColor rgb="00CCCCF0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BAB9E9"/>
      <rgbColor rgb="00E2FAC2"/>
      <rgbColor rgb="00FFFF99"/>
      <rgbColor rgb="0099CCFF"/>
      <rgbColor rgb="009BFFAE"/>
      <rgbColor rgb="00CC99FF"/>
      <rgbColor rgb="00F5FF6D"/>
      <rgbColor rgb="003366FF"/>
      <rgbColor rgb="0033CCCC"/>
      <rgbColor rgb="0066FF33"/>
      <rgbColor rgb="00FFB9D7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294117647059"/>
          <c:y val="0.109022556390977"/>
          <c:w val="0.830588235294118"/>
          <c:h val="0.691729323308271"/>
        </c:manualLayout>
      </c:layout>
      <c:scatterChart>
        <c:scatterStyle val="smoothMarker"/>
        <c:varyColors val="0"/>
        <c:ser>
          <c:idx val="0"/>
          <c:order val="0"/>
          <c:tx>
            <c:v>身体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誕生日!$D$71:$D$101</c:f>
              <c:numCache>
                <c:formatCode>0_);[Red]\(0\)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xVal>
          <c:yVal>
            <c:numRef>
              <c:f>誕生日!$F$71:$F$101</c:f>
              <c:numCache>
                <c:formatCode>0.00_ </c:formatCode>
                <c:ptCount val="31"/>
                <c:pt idx="0">
                  <c:v>-0.816969893010376</c:v>
                </c:pt>
                <c:pt idx="1">
                  <c:v>-0.942260922118805</c:v>
                </c:pt>
                <c:pt idx="2">
                  <c:v>-0.997668769190525</c:v>
                </c:pt>
                <c:pt idx="3">
                  <c:v>-0.979084087682351</c:v>
                </c:pt>
                <c:pt idx="4">
                  <c:v>-0.887885218402407</c:v>
                </c:pt>
                <c:pt idx="5">
                  <c:v>-0.730835964278125</c:v>
                </c:pt>
                <c:pt idx="6">
                  <c:v>-0.519583950035376</c:v>
                </c:pt>
                <c:pt idx="7">
                  <c:v>-0.269796771156894</c:v>
                </c:pt>
                <c:pt idx="8">
                  <c:v>-2.35245850577215E-14</c:v>
                </c:pt>
                <c:pt idx="9">
                  <c:v>0.269796771156848</c:v>
                </c:pt>
                <c:pt idx="10">
                  <c:v>0.519583950035336</c:v>
                </c:pt>
                <c:pt idx="11">
                  <c:v>0.730835964278093</c:v>
                </c:pt>
                <c:pt idx="12">
                  <c:v>0.887885218402385</c:v>
                </c:pt>
                <c:pt idx="13">
                  <c:v>0.979084087682295</c:v>
                </c:pt>
                <c:pt idx="14">
                  <c:v>0.997668769190544</c:v>
                </c:pt>
                <c:pt idx="15">
                  <c:v>0.942260922118821</c:v>
                </c:pt>
                <c:pt idx="16">
                  <c:v>0.816969893010403</c:v>
                </c:pt>
                <c:pt idx="17">
                  <c:v>0.631087944326123</c:v>
                </c:pt>
                <c:pt idx="18">
                  <c:v>0.398401089846262</c:v>
                </c:pt>
                <c:pt idx="19">
                  <c:v>0.136166649096427</c:v>
                </c:pt>
                <c:pt idx="20">
                  <c:v>-0.136166649096134</c:v>
                </c:pt>
                <c:pt idx="21">
                  <c:v>-0.3984010898462</c:v>
                </c:pt>
                <c:pt idx="22">
                  <c:v>-0.63108794432607</c:v>
                </c:pt>
                <c:pt idx="23">
                  <c:v>-0.816969893010494</c:v>
                </c:pt>
                <c:pt idx="24">
                  <c:v>-0.942260922118798</c:v>
                </c:pt>
                <c:pt idx="25">
                  <c:v>-0.997668769190539</c:v>
                </c:pt>
                <c:pt idx="26">
                  <c:v>-0.979084087682355</c:v>
                </c:pt>
                <c:pt idx="27">
                  <c:v>-0.887885218402417</c:v>
                </c:pt>
                <c:pt idx="28">
                  <c:v>-0.730835964278139</c:v>
                </c:pt>
                <c:pt idx="29">
                  <c:v>-0.519583950035394</c:v>
                </c:pt>
                <c:pt idx="30">
                  <c:v>-0.269796771157133</c:v>
                </c:pt>
              </c:numCache>
            </c:numRef>
          </c:yVal>
          <c:smooth val="1"/>
        </c:ser>
        <c:ser>
          <c:idx val="1"/>
          <c:order val="1"/>
          <c:tx>
            <c:v>感情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誕生日!$D$71:$D$101</c:f>
              <c:numCache>
                <c:formatCode>0_);[Red]\(0\)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xVal>
          <c:yVal>
            <c:numRef>
              <c:f>誕生日!$G$71:$G$101</c:f>
              <c:numCache>
                <c:formatCode>0.00_ </c:formatCode>
                <c:ptCount val="31"/>
                <c:pt idx="0">
                  <c:v>-0.781831482468078</c:v>
                </c:pt>
                <c:pt idx="1">
                  <c:v>-0.623489801858801</c:v>
                </c:pt>
                <c:pt idx="2">
                  <c:v>-0.433883739117645</c:v>
                </c:pt>
                <c:pt idx="3">
                  <c:v>-0.222520933956417</c:v>
                </c:pt>
                <c:pt idx="4">
                  <c:v>-1.1368943980683E-13</c:v>
                </c:pt>
                <c:pt idx="5">
                  <c:v>0.222520933956195</c:v>
                </c:pt>
                <c:pt idx="6">
                  <c:v>0.433883739117645</c:v>
                </c:pt>
                <c:pt idx="7">
                  <c:v>0.623489801858801</c:v>
                </c:pt>
                <c:pt idx="8">
                  <c:v>0.781831482467937</c:v>
                </c:pt>
                <c:pt idx="9">
                  <c:v>0.900968867902351</c:v>
                </c:pt>
                <c:pt idx="10">
                  <c:v>0.974927912181837</c:v>
                </c:pt>
                <c:pt idx="11">
                  <c:v>1.0</c:v>
                </c:pt>
                <c:pt idx="12">
                  <c:v>0.974927912181814</c:v>
                </c:pt>
                <c:pt idx="13">
                  <c:v>0.900968867902503</c:v>
                </c:pt>
                <c:pt idx="14">
                  <c:v>0.781831482468014</c:v>
                </c:pt>
                <c:pt idx="15">
                  <c:v>0.623489801858721</c:v>
                </c:pt>
                <c:pt idx="16">
                  <c:v>0.433883739117552</c:v>
                </c:pt>
                <c:pt idx="17">
                  <c:v>0.222520933956316</c:v>
                </c:pt>
                <c:pt idx="18">
                  <c:v>1.07832579671063E-14</c:v>
                </c:pt>
                <c:pt idx="19">
                  <c:v>-0.222520933956295</c:v>
                </c:pt>
                <c:pt idx="20">
                  <c:v>-0.433883739117532</c:v>
                </c:pt>
                <c:pt idx="21">
                  <c:v>-0.623489801858704</c:v>
                </c:pt>
                <c:pt idx="22">
                  <c:v>-0.781831482468001</c:v>
                </c:pt>
                <c:pt idx="23">
                  <c:v>-0.900968867902395</c:v>
                </c:pt>
                <c:pt idx="24">
                  <c:v>-0.974927912181809</c:v>
                </c:pt>
                <c:pt idx="25">
                  <c:v>-1.0</c:v>
                </c:pt>
                <c:pt idx="26">
                  <c:v>-0.974927912181842</c:v>
                </c:pt>
                <c:pt idx="27">
                  <c:v>-0.900968867902459</c:v>
                </c:pt>
                <c:pt idx="28">
                  <c:v>-0.781831482468092</c:v>
                </c:pt>
                <c:pt idx="29">
                  <c:v>-0.623489801858641</c:v>
                </c:pt>
                <c:pt idx="30">
                  <c:v>-0.433883739117664</c:v>
                </c:pt>
              </c:numCache>
            </c:numRef>
          </c:yVal>
          <c:smooth val="1"/>
        </c:ser>
        <c:ser>
          <c:idx val="2"/>
          <c:order val="2"/>
          <c:tx>
            <c:v>知性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誕生日!$D$71:$D$101</c:f>
              <c:numCache>
                <c:formatCode>0_);[Red]\(0\)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xVal>
          <c:yVal>
            <c:numRef>
              <c:f>誕生日!$H$71:$H$101</c:f>
              <c:numCache>
                <c:formatCode>0.00_ </c:formatCode>
                <c:ptCount val="31"/>
                <c:pt idx="0">
                  <c:v>-0.0950560433041578</c:v>
                </c:pt>
                <c:pt idx="1">
                  <c:v>-0.281732556841461</c:v>
                </c:pt>
                <c:pt idx="2">
                  <c:v>-0.458226521727289</c:v>
                </c:pt>
                <c:pt idx="3">
                  <c:v>-0.618158986220543</c:v>
                </c:pt>
                <c:pt idx="4">
                  <c:v>-0.755749574354245</c:v>
                </c:pt>
                <c:pt idx="5">
                  <c:v>-0.8660254037844</c:v>
                </c:pt>
                <c:pt idx="6">
                  <c:v>-0.945000818714662</c:v>
                </c:pt>
                <c:pt idx="7">
                  <c:v>-0.989821441880938</c:v>
                </c:pt>
                <c:pt idx="8">
                  <c:v>-0.998867339183009</c:v>
                </c:pt>
                <c:pt idx="9">
                  <c:v>-0.971811568323559</c:v>
                </c:pt>
                <c:pt idx="10">
                  <c:v>-0.909631995354524</c:v>
                </c:pt>
                <c:pt idx="11">
                  <c:v>-0.81457595205031</c:v>
                </c:pt>
                <c:pt idx="12">
                  <c:v>-0.690079011482121</c:v>
                </c:pt>
                <c:pt idx="13">
                  <c:v>-0.540640817455655</c:v>
                </c:pt>
                <c:pt idx="14">
                  <c:v>-0.371662455660337</c:v>
                </c:pt>
                <c:pt idx="15">
                  <c:v>-0.189251244360475</c:v>
                </c:pt>
                <c:pt idx="16">
                  <c:v>-7.84268483489114E-15</c:v>
                </c:pt>
                <c:pt idx="17">
                  <c:v>0.189251244360459</c:v>
                </c:pt>
                <c:pt idx="18">
                  <c:v>0.371662455660322</c:v>
                </c:pt>
                <c:pt idx="19">
                  <c:v>0.540640817455546</c:v>
                </c:pt>
                <c:pt idx="20">
                  <c:v>0.690079011482109</c:v>
                </c:pt>
                <c:pt idx="21">
                  <c:v>0.814575952050301</c:v>
                </c:pt>
                <c:pt idx="22">
                  <c:v>0.909631995354518</c:v>
                </c:pt>
                <c:pt idx="23">
                  <c:v>0.971811568323555</c:v>
                </c:pt>
                <c:pt idx="24">
                  <c:v>0.998867339183003</c:v>
                </c:pt>
                <c:pt idx="25">
                  <c:v>0.989821441880941</c:v>
                </c:pt>
                <c:pt idx="26">
                  <c:v>0.945000818714668</c:v>
                </c:pt>
                <c:pt idx="27">
                  <c:v>0.866025403784465</c:v>
                </c:pt>
                <c:pt idx="28">
                  <c:v>0.755749574354255</c:v>
                </c:pt>
                <c:pt idx="29">
                  <c:v>0.618158986220556</c:v>
                </c:pt>
                <c:pt idx="30">
                  <c:v>0.458226521727505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18456"/>
        <c:axId val="2106505768"/>
      </c:scatterChart>
      <c:valAx>
        <c:axId val="2107718456"/>
        <c:scaling>
          <c:orientation val="minMax"/>
          <c:max val="31.0"/>
          <c:min val="1.0"/>
        </c:scaling>
        <c:delete val="1"/>
        <c:axPos val="b"/>
        <c:majorGridlines>
          <c:spPr>
            <a:ln w="3175">
              <a:solidFill>
                <a:srgbClr val="EAEAEA"/>
              </a:solidFill>
              <a:prstDash val="solid"/>
            </a:ln>
          </c:spPr>
        </c:majorGridlines>
        <c:minorGridlines>
          <c:spPr>
            <a:ln w="3175">
              <a:solidFill>
                <a:srgbClr val="EAEAEA"/>
              </a:solidFill>
              <a:prstDash val="solid"/>
            </a:ln>
          </c:spPr>
        </c:minorGridlines>
        <c:numFmt formatCode="0_);[Red]\(0\)" sourceLinked="1"/>
        <c:majorTickMark val="out"/>
        <c:minorTickMark val="none"/>
        <c:tickLblPos val="nextTo"/>
        <c:crossAx val="2106505768"/>
        <c:crossesAt val="-1.0"/>
        <c:crossBetween val="midCat"/>
        <c:majorUnit val="1.0"/>
        <c:minorUnit val="1.0"/>
      </c:valAx>
      <c:valAx>
        <c:axId val="2106505768"/>
        <c:scaling>
          <c:orientation val="minMax"/>
          <c:max val="1.0"/>
          <c:min val="-1.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2107718456"/>
        <c:crossesAt val="1.0"/>
        <c:crossBetween val="midCat"/>
        <c:majorUnit val="1.0"/>
        <c:minorUnit val="1.0"/>
      </c:valAx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0783699059561"/>
          <c:y val="0.870466729223614"/>
          <c:w val="0.507837237429961"/>
          <c:h val="0.1191709844559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108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0"/>
    <c:dispBlanksAs val="gap"/>
    <c:showDLblsOverMax val="0"/>
  </c:chart>
  <c:spPr>
    <a:gradFill rotWithShape="0">
      <a:gsLst>
        <a:gs pos="0">
          <a:srgbClr val="7B7B9A"/>
        </a:gs>
        <a:gs pos="100000">
          <a:srgbClr val="BAB9E9"/>
        </a:gs>
      </a:gsLst>
      <a:path path="rect">
        <a:fillToRect l="50000" t="50000" r="50000" b="50000"/>
      </a:path>
    </a:gra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984" l="0.787" r="0.787" t="0.984" header="0.512" footer="0.512"/>
    <c:pageSetup paperSize="9" orientation="landscape" horizontalDpi="160" verticalDpi="160" copies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mailto:atelier.mm@gmail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12</xdr:row>
      <xdr:rowOff>107950</xdr:rowOff>
    </xdr:from>
    <xdr:to>
      <xdr:col>6</xdr:col>
      <xdr:colOff>568325</xdr:colOff>
      <xdr:row>17</xdr:row>
      <xdr:rowOff>200096</xdr:rowOff>
    </xdr:to>
    <xdr:sp macro="" textlink="">
      <xdr:nvSpPr>
        <xdr:cNvPr id="3080" name="AutoShape 8"/>
        <xdr:cNvSpPr>
          <a:spLocks noChangeArrowheads="1"/>
        </xdr:cNvSpPr>
      </xdr:nvSpPr>
      <xdr:spPr bwMode="auto">
        <a:xfrm>
          <a:off x="400050" y="2028825"/>
          <a:ext cx="3200400" cy="923925"/>
        </a:xfrm>
        <a:prstGeom prst="foldedCorner">
          <a:avLst>
            <a:gd name="adj" fmla="val 125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 * 生年月日とﾊﾞｲｵﾘｽﾞﾑの表示月を入力できます。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 * 表示される「今日の運勢」はｺﾝﾋﾟｭｰﾀの戯言です。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  （作者は信用してません。）</a:t>
          </a:r>
        </a:p>
      </xdr:txBody>
    </xdr:sp>
    <xdr:clientData/>
  </xdr:twoCellAnchor>
  <xdr:twoCellAnchor>
    <xdr:from>
      <xdr:col>2</xdr:col>
      <xdr:colOff>63500</xdr:colOff>
      <xdr:row>2</xdr:row>
      <xdr:rowOff>127000</xdr:rowOff>
    </xdr:from>
    <xdr:to>
      <xdr:col>6</xdr:col>
      <xdr:colOff>584200</xdr:colOff>
      <xdr:row>10</xdr:row>
      <xdr:rowOff>101600</xdr:rowOff>
    </xdr:to>
    <xdr:grpSp>
      <xdr:nvGrpSpPr>
        <xdr:cNvPr id="3195" name="Group 17"/>
        <xdr:cNvGrpSpPr>
          <a:grpSpLocks/>
        </xdr:cNvGrpSpPr>
      </xdr:nvGrpSpPr>
      <xdr:grpSpPr bwMode="auto">
        <a:xfrm>
          <a:off x="330200" y="381000"/>
          <a:ext cx="3213100" cy="1701800"/>
          <a:chOff x="26" y="20"/>
          <a:chExt cx="344" cy="141"/>
        </a:xfrm>
      </xdr:grpSpPr>
      <xdr:sp macro="" textlink="">
        <xdr:nvSpPr>
          <xdr:cNvPr id="3180" name="AutoShape 4"/>
          <xdr:cNvSpPr>
            <a:spLocks noChangeArrowheads="1"/>
          </xdr:cNvSpPr>
        </xdr:nvSpPr>
        <xdr:spPr bwMode="auto">
          <a:xfrm>
            <a:off x="26" y="20"/>
            <a:ext cx="344" cy="141"/>
          </a:xfrm>
          <a:prstGeom prst="roundRect">
            <a:avLst>
              <a:gd name="adj" fmla="val 0"/>
            </a:avLst>
          </a:prstGeom>
          <a:gradFill rotWithShape="0">
            <a:gsLst>
              <a:gs pos="0">
                <a:srgbClr val="A9EECB"/>
              </a:gs>
              <a:gs pos="100000">
                <a:srgbClr val="00CC66"/>
              </a:gs>
            </a:gsLst>
            <a:path path="shape">
              <a:fillToRect l="50000" t="50000" r="50000" b="50000"/>
            </a:path>
          </a:gradFill>
          <a:ln>
            <a:noFill/>
          </a:ln>
          <a:effectLst>
            <a:outerShdw blurRad="63500" dist="63500" dir="3187806" algn="ctr" rotWithShape="0">
              <a:srgbClr val="000000">
                <a:alpha val="74998"/>
              </a:srgbClr>
            </a:outerShdw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Overflow="clip" wrap="square" lIns="36576" tIns="18288" rIns="36576" bIns="18288" anchor="ctr"/>
          <a:lstStyle/>
          <a:p>
            <a:pPr algn="ctr" rtl="0">
              <a:lnSpc>
                <a:spcPts val="1000"/>
              </a:lnSpc>
              <a:defRPr sz="1000"/>
            </a:pPr>
            <a:r>
              <a:rPr lang="en-US"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!0_0! ｴｸｾﾙｼﾘｰｽﾞ</a:t>
            </a:r>
            <a:endPara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endParaRPr>
          </a:p>
          <a:p>
            <a:pPr algn="ctr" rtl="0">
              <a:lnSpc>
                <a:spcPts val="2000"/>
              </a:lnSpc>
              <a:defRPr sz="1000"/>
            </a:pPr>
            <a:r>
              <a:rPr lang="en-US" sz="2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endParaRPr>
          </a:p>
          <a:p>
            <a:pPr algn="ctr" rtl="0">
              <a:lnSpc>
                <a:spcPts val="11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Ver 1.02b</a:t>
            </a:r>
          </a:p>
          <a:p>
            <a:pPr algn="ctr" rtl="0">
              <a:lnSpc>
                <a:spcPts val="11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Copyright (C) 2001-2011 furu</a:t>
            </a:r>
          </a:p>
          <a:p>
            <a:pPr algn="ctr" rtl="0">
              <a:lnSpc>
                <a:spcPts val="10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 </a:t>
            </a:r>
          </a:p>
        </xdr:txBody>
      </xdr:sp>
      <xdr:sp macro="" textlink="">
        <xdr:nvSpPr>
          <xdr:cNvPr id="3078" name="Text Box 6">
            <a:hlinkClick xmlns:r="http://schemas.openxmlformats.org/officeDocument/2006/relationships" r:id="rId1"/>
          </xdr:cNvPr>
          <xdr:cNvSpPr txBox="1">
            <a:spLocks noChangeArrowheads="1"/>
          </xdr:cNvSpPr>
        </xdr:nvSpPr>
        <xdr:spPr bwMode="auto">
          <a:xfrm>
            <a:off x="124" y="130"/>
            <a:ext cx="139" cy="1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ja-JP" sz="1100" b="0" i="0" u="sng" strike="noStrike">
                <a:solidFill>
                  <a:srgbClr val="000000"/>
                </a:solidFill>
                <a:latin typeface="ＭＳ Ｐゴシック"/>
                <a:ea typeface="ＭＳ Ｐゴシック"/>
              </a:rPr>
              <a:t>atelier.mm@gmail.com</a:t>
            </a:r>
          </a:p>
        </xdr:txBody>
      </xdr:sp>
      <xdr:sp macro="" textlink="">
        <xdr:nvSpPr>
          <xdr:cNvPr id="3086" name="WordArt 14"/>
          <xdr:cNvSpPr>
            <a:spLocks noChangeArrowheads="1" noChangeShapeType="1" noTextEdit="1"/>
          </xdr:cNvSpPr>
        </xdr:nvSpPr>
        <xdr:spPr bwMode="auto">
          <a:xfrm>
            <a:off x="93" y="59"/>
            <a:ext cx="209" cy="2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ja-JP" altLang="en-US" sz="1600" kern="10" spc="-16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>
                  <a:outerShdw dist="45791" dir="3378596" algn="ctr" rotWithShape="0">
                    <a:srgbClr val="4D4D4D"/>
                  </a:outerShdw>
                </a:effectLst>
                <a:latin typeface="HGS創英角ﾎﾟｯﾌﾟ体"/>
                <a:ea typeface="HGS創英角ﾎﾟｯﾌﾟ体"/>
              </a:rPr>
              <a:t>誕生日とバイオリズム</a:t>
            </a:r>
          </a:p>
        </xdr:txBody>
      </xdr:sp>
    </xdr:grpSp>
    <xdr:clientData/>
  </xdr:twoCellAnchor>
  <xdr:twoCellAnchor>
    <xdr:from>
      <xdr:col>1</xdr:col>
      <xdr:colOff>76200</xdr:colOff>
      <xdr:row>1</xdr:row>
      <xdr:rowOff>88900</xdr:rowOff>
    </xdr:from>
    <xdr:to>
      <xdr:col>6</xdr:col>
      <xdr:colOff>584200</xdr:colOff>
      <xdr:row>10</xdr:row>
      <xdr:rowOff>76200</xdr:rowOff>
    </xdr:to>
    <xdr:grpSp>
      <xdr:nvGrpSpPr>
        <xdr:cNvPr id="3196" name="Group 18"/>
        <xdr:cNvGrpSpPr>
          <a:grpSpLocks/>
        </xdr:cNvGrpSpPr>
      </xdr:nvGrpSpPr>
      <xdr:grpSpPr bwMode="auto">
        <a:xfrm flipH="1" flipV="1">
          <a:off x="127000" y="127000"/>
          <a:ext cx="3416300" cy="1930400"/>
          <a:chOff x="26" y="20"/>
          <a:chExt cx="365" cy="161"/>
        </a:xfrm>
      </xdr:grpSpPr>
      <xdr:sp macro="" textlink="">
        <xdr:nvSpPr>
          <xdr:cNvPr id="3200" name="Rectangle 15"/>
          <xdr:cNvSpPr>
            <a:spLocks noChangeArrowheads="1"/>
          </xdr:cNvSpPr>
        </xdr:nvSpPr>
        <xdr:spPr bwMode="auto">
          <a:xfrm>
            <a:off x="26" y="159"/>
            <a:ext cx="365" cy="22"/>
          </a:xfrm>
          <a:prstGeom prst="rect">
            <a:avLst/>
          </a:prstGeom>
          <a:solidFill>
            <a:srgbClr val="66FF3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01" name="Rectangle 16"/>
          <xdr:cNvSpPr>
            <a:spLocks noChangeArrowheads="1"/>
          </xdr:cNvSpPr>
        </xdr:nvSpPr>
        <xdr:spPr bwMode="auto">
          <a:xfrm>
            <a:off x="369" y="20"/>
            <a:ext cx="22" cy="139"/>
          </a:xfrm>
          <a:prstGeom prst="rect">
            <a:avLst/>
          </a:prstGeom>
          <a:solidFill>
            <a:srgbClr val="66FF3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2</xdr:col>
      <xdr:colOff>63500</xdr:colOff>
      <xdr:row>2</xdr:row>
      <xdr:rowOff>127000</xdr:rowOff>
    </xdr:from>
    <xdr:to>
      <xdr:col>7</xdr:col>
      <xdr:colOff>114300</xdr:colOff>
      <xdr:row>11</xdr:row>
      <xdr:rowOff>114300</xdr:rowOff>
    </xdr:to>
    <xdr:grpSp>
      <xdr:nvGrpSpPr>
        <xdr:cNvPr id="3197" name="Group 19"/>
        <xdr:cNvGrpSpPr>
          <a:grpSpLocks/>
        </xdr:cNvGrpSpPr>
      </xdr:nvGrpSpPr>
      <xdr:grpSpPr bwMode="auto">
        <a:xfrm>
          <a:off x="330200" y="381000"/>
          <a:ext cx="3416300" cy="1930400"/>
          <a:chOff x="26" y="20"/>
          <a:chExt cx="365" cy="161"/>
        </a:xfrm>
      </xdr:grpSpPr>
      <xdr:sp macro="" textlink="">
        <xdr:nvSpPr>
          <xdr:cNvPr id="3198" name="Rectangle 20"/>
          <xdr:cNvSpPr>
            <a:spLocks noChangeArrowheads="1"/>
          </xdr:cNvSpPr>
        </xdr:nvSpPr>
        <xdr:spPr bwMode="auto">
          <a:xfrm>
            <a:off x="26" y="159"/>
            <a:ext cx="365" cy="22"/>
          </a:xfrm>
          <a:prstGeom prst="rect">
            <a:avLst/>
          </a:prstGeom>
          <a:solidFill>
            <a:srgbClr val="66FF3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99" name="Rectangle 21"/>
          <xdr:cNvSpPr>
            <a:spLocks noChangeArrowheads="1"/>
          </xdr:cNvSpPr>
        </xdr:nvSpPr>
        <xdr:spPr bwMode="auto">
          <a:xfrm>
            <a:off x="369" y="20"/>
            <a:ext cx="22" cy="139"/>
          </a:xfrm>
          <a:prstGeom prst="rect">
            <a:avLst/>
          </a:prstGeom>
          <a:solidFill>
            <a:srgbClr val="66FF3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23</xdr:row>
      <xdr:rowOff>660400</xdr:rowOff>
    </xdr:from>
    <xdr:to>
      <xdr:col>12</xdr:col>
      <xdr:colOff>355600</xdr:colOff>
      <xdr:row>32</xdr:row>
      <xdr:rowOff>215900</xdr:rowOff>
    </xdr:to>
    <xdr:graphicFrame macro="">
      <xdr:nvGraphicFramePr>
        <xdr:cNvPr id="122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1</xdr:row>
      <xdr:rowOff>139700</xdr:rowOff>
    </xdr:from>
    <xdr:to>
      <xdr:col>8</xdr:col>
      <xdr:colOff>0</xdr:colOff>
      <xdr:row>3</xdr:row>
      <xdr:rowOff>127000</xdr:rowOff>
    </xdr:to>
    <xdr:grpSp>
      <xdr:nvGrpSpPr>
        <xdr:cNvPr id="1227" name="Group 47"/>
        <xdr:cNvGrpSpPr>
          <a:grpSpLocks/>
        </xdr:cNvGrpSpPr>
      </xdr:nvGrpSpPr>
      <xdr:grpSpPr bwMode="auto">
        <a:xfrm>
          <a:off x="3683000" y="368300"/>
          <a:ext cx="101600" cy="228600"/>
          <a:chOff x="387" y="28"/>
          <a:chExt cx="10" cy="24"/>
        </a:xfrm>
      </xdr:grpSpPr>
      <xdr:sp macro="" textlink="">
        <xdr:nvSpPr>
          <xdr:cNvPr id="1241" name="Line 4"/>
          <xdr:cNvSpPr>
            <a:spLocks noChangeShapeType="1"/>
          </xdr:cNvSpPr>
        </xdr:nvSpPr>
        <xdr:spPr bwMode="auto">
          <a:xfrm flipV="1">
            <a:off x="387" y="28"/>
            <a:ext cx="6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42" name="Oval 5"/>
          <xdr:cNvSpPr>
            <a:spLocks noChangeArrowheads="1"/>
          </xdr:cNvSpPr>
        </xdr:nvSpPr>
        <xdr:spPr bwMode="auto">
          <a:xfrm>
            <a:off x="390" y="28"/>
            <a:ext cx="7" cy="7"/>
          </a:xfrm>
          <a:prstGeom prst="ellipse">
            <a:avLst/>
          </a:prstGeom>
          <a:solidFill>
            <a:srgbClr val="C5D6FF"/>
          </a:solidFill>
          <a:ln w="9525">
            <a:solidFill>
              <a:srgbClr val="C5D6FF"/>
            </a:solidFill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25400</xdr:colOff>
      <xdr:row>1</xdr:row>
      <xdr:rowOff>139700</xdr:rowOff>
    </xdr:from>
    <xdr:to>
      <xdr:col>1</xdr:col>
      <xdr:colOff>114300</xdr:colOff>
      <xdr:row>3</xdr:row>
      <xdr:rowOff>114300</xdr:rowOff>
    </xdr:to>
    <xdr:grpSp>
      <xdr:nvGrpSpPr>
        <xdr:cNvPr id="1228" name="Group 46"/>
        <xdr:cNvGrpSpPr>
          <a:grpSpLocks/>
        </xdr:cNvGrpSpPr>
      </xdr:nvGrpSpPr>
      <xdr:grpSpPr bwMode="auto">
        <a:xfrm>
          <a:off x="254000" y="368300"/>
          <a:ext cx="88900" cy="215900"/>
          <a:chOff x="22" y="27"/>
          <a:chExt cx="10" cy="24"/>
        </a:xfrm>
      </xdr:grpSpPr>
      <xdr:sp macro="" textlink="">
        <xdr:nvSpPr>
          <xdr:cNvPr id="1239" name="Line 25"/>
          <xdr:cNvSpPr>
            <a:spLocks noChangeShapeType="1"/>
          </xdr:cNvSpPr>
        </xdr:nvSpPr>
        <xdr:spPr bwMode="auto">
          <a:xfrm flipH="1" flipV="1">
            <a:off x="26" y="27"/>
            <a:ext cx="6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40" name="Oval 26"/>
          <xdr:cNvSpPr>
            <a:spLocks noChangeArrowheads="1"/>
          </xdr:cNvSpPr>
        </xdr:nvSpPr>
        <xdr:spPr bwMode="auto">
          <a:xfrm flipH="1">
            <a:off x="22" y="27"/>
            <a:ext cx="7" cy="7"/>
          </a:xfrm>
          <a:prstGeom prst="ellipse">
            <a:avLst/>
          </a:prstGeom>
          <a:solidFill>
            <a:srgbClr val="C5D6FF"/>
          </a:solidFill>
          <a:ln w="9525">
            <a:solidFill>
              <a:srgbClr val="C5D6FF"/>
            </a:solidFill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63500</xdr:colOff>
      <xdr:row>3</xdr:row>
      <xdr:rowOff>76200</xdr:rowOff>
    </xdr:from>
    <xdr:to>
      <xdr:col>8</xdr:col>
      <xdr:colOff>63500</xdr:colOff>
      <xdr:row>12</xdr:row>
      <xdr:rowOff>63500</xdr:rowOff>
    </xdr:to>
    <xdr:grpSp>
      <xdr:nvGrpSpPr>
        <xdr:cNvPr id="1229" name="Group 34"/>
        <xdr:cNvGrpSpPr>
          <a:grpSpLocks/>
        </xdr:cNvGrpSpPr>
      </xdr:nvGrpSpPr>
      <xdr:grpSpPr bwMode="auto">
        <a:xfrm>
          <a:off x="292100" y="546100"/>
          <a:ext cx="3556000" cy="2387600"/>
          <a:chOff x="31" y="53"/>
          <a:chExt cx="370" cy="250"/>
        </a:xfrm>
      </xdr:grpSpPr>
      <xdr:sp macro="" textlink="">
        <xdr:nvSpPr>
          <xdr:cNvPr id="1237" name="Rectangle 32"/>
          <xdr:cNvSpPr>
            <a:spLocks noChangeArrowheads="1"/>
          </xdr:cNvSpPr>
        </xdr:nvSpPr>
        <xdr:spPr bwMode="auto">
          <a:xfrm>
            <a:off x="31" y="298"/>
            <a:ext cx="370" cy="5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38" name="Rectangle 33"/>
          <xdr:cNvSpPr>
            <a:spLocks noChangeArrowheads="1"/>
          </xdr:cNvSpPr>
        </xdr:nvSpPr>
        <xdr:spPr bwMode="auto">
          <a:xfrm>
            <a:off x="396" y="53"/>
            <a:ext cx="5" cy="245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6</xdr:col>
      <xdr:colOff>266700</xdr:colOff>
      <xdr:row>23</xdr:row>
      <xdr:rowOff>660400</xdr:rowOff>
    </xdr:from>
    <xdr:to>
      <xdr:col>13</xdr:col>
      <xdr:colOff>114300</xdr:colOff>
      <xdr:row>33</xdr:row>
      <xdr:rowOff>88900</xdr:rowOff>
    </xdr:to>
    <xdr:grpSp>
      <xdr:nvGrpSpPr>
        <xdr:cNvPr id="1230" name="Group 41"/>
        <xdr:cNvGrpSpPr>
          <a:grpSpLocks/>
        </xdr:cNvGrpSpPr>
      </xdr:nvGrpSpPr>
      <xdr:grpSpPr bwMode="auto">
        <a:xfrm>
          <a:off x="3035300" y="6248400"/>
          <a:ext cx="4191000" cy="2590800"/>
          <a:chOff x="300" y="627"/>
          <a:chExt cx="440" cy="279"/>
        </a:xfrm>
      </xdr:grpSpPr>
      <xdr:sp macro="" textlink="">
        <xdr:nvSpPr>
          <xdr:cNvPr id="1235" name="Rectangle 35"/>
          <xdr:cNvSpPr>
            <a:spLocks noChangeArrowheads="1"/>
          </xdr:cNvSpPr>
        </xdr:nvSpPr>
        <xdr:spPr bwMode="auto">
          <a:xfrm>
            <a:off x="300" y="893"/>
            <a:ext cx="440" cy="13"/>
          </a:xfrm>
          <a:prstGeom prst="rect">
            <a:avLst/>
          </a:prstGeom>
          <a:solidFill>
            <a:srgbClr val="CCCCF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36" name="Rectangle 36"/>
          <xdr:cNvSpPr>
            <a:spLocks noChangeArrowheads="1"/>
          </xdr:cNvSpPr>
        </xdr:nvSpPr>
        <xdr:spPr bwMode="auto">
          <a:xfrm>
            <a:off x="725" y="627"/>
            <a:ext cx="15" cy="267"/>
          </a:xfrm>
          <a:prstGeom prst="rect">
            <a:avLst/>
          </a:prstGeom>
          <a:solidFill>
            <a:srgbClr val="CCCCF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6</xdr:col>
      <xdr:colOff>127000</xdr:colOff>
      <xdr:row>23</xdr:row>
      <xdr:rowOff>533400</xdr:rowOff>
    </xdr:from>
    <xdr:to>
      <xdr:col>12</xdr:col>
      <xdr:colOff>355600</xdr:colOff>
      <xdr:row>32</xdr:row>
      <xdr:rowOff>215900</xdr:rowOff>
    </xdr:to>
    <xdr:grpSp>
      <xdr:nvGrpSpPr>
        <xdr:cNvPr id="1231" name="Group 42"/>
        <xdr:cNvGrpSpPr>
          <a:grpSpLocks/>
        </xdr:cNvGrpSpPr>
      </xdr:nvGrpSpPr>
      <xdr:grpSpPr bwMode="auto">
        <a:xfrm flipH="1" flipV="1">
          <a:off x="2895600" y="6121400"/>
          <a:ext cx="4191000" cy="2578100"/>
          <a:chOff x="300" y="627"/>
          <a:chExt cx="440" cy="279"/>
        </a:xfrm>
      </xdr:grpSpPr>
      <xdr:sp macro="" textlink="">
        <xdr:nvSpPr>
          <xdr:cNvPr id="1233" name="Rectangle 43"/>
          <xdr:cNvSpPr>
            <a:spLocks noChangeArrowheads="1"/>
          </xdr:cNvSpPr>
        </xdr:nvSpPr>
        <xdr:spPr bwMode="auto">
          <a:xfrm>
            <a:off x="300" y="893"/>
            <a:ext cx="440" cy="13"/>
          </a:xfrm>
          <a:prstGeom prst="rect">
            <a:avLst/>
          </a:prstGeom>
          <a:solidFill>
            <a:srgbClr val="CCCCF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34" name="Rectangle 44"/>
          <xdr:cNvSpPr>
            <a:spLocks noChangeArrowheads="1"/>
          </xdr:cNvSpPr>
        </xdr:nvSpPr>
        <xdr:spPr bwMode="auto">
          <a:xfrm>
            <a:off x="725" y="627"/>
            <a:ext cx="15" cy="267"/>
          </a:xfrm>
          <a:prstGeom prst="rect">
            <a:avLst/>
          </a:prstGeom>
          <a:solidFill>
            <a:srgbClr val="CCCCF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7</xdr:col>
      <xdr:colOff>180975</xdr:colOff>
      <xdr:row>31</xdr:row>
      <xdr:rowOff>38100</xdr:rowOff>
    </xdr:from>
    <xdr:to>
      <xdr:col>12</xdr:col>
      <xdr:colOff>333375</xdr:colOff>
      <xdr:row>31</xdr:row>
      <xdr:rowOff>171450</xdr:rowOff>
    </xdr:to>
    <xdr:sp macro="" textlink="">
      <xdr:nvSpPr>
        <xdr:cNvPr id="1072" name="Text Box 48"/>
        <xdr:cNvSpPr txBox="1">
          <a:spLocks noChangeArrowheads="1"/>
        </xdr:cNvSpPr>
      </xdr:nvSpPr>
      <xdr:spPr bwMode="auto">
        <a:xfrm>
          <a:off x="3438525" y="8286750"/>
          <a:ext cx="36099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1              5                10                15                20               25                30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0.36451</cdr:x>
      <cdr:y>0.11136</cdr:y>
    </cdr:from>
    <cdr:to>
      <cdr:x>0.36451</cdr:x>
      <cdr:y>0.79695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1482217" y="279069"/>
          <a:ext cx="0" cy="17527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>
          <a:solidFill>
            <a:srgbClr val="969696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0.64087</cdr:x>
      <cdr:y>0.11136</cdr:y>
    </cdr:from>
    <cdr:to>
      <cdr:x>0.64087</cdr:x>
      <cdr:y>0.79695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604567" y="279069"/>
          <a:ext cx="0" cy="17527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>
          <a:solidFill>
            <a:srgbClr val="969696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0.91624</cdr:x>
      <cdr:y>0.11136</cdr:y>
    </cdr:from>
    <cdr:to>
      <cdr:x>0.91624</cdr:x>
      <cdr:y>0.79695</cdr:y>
    </cdr:to>
    <cdr:sp macro="" textlink="">
      <cdr:nvSpPr>
        <cdr:cNvPr id="20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720973" y="279069"/>
          <a:ext cx="0" cy="17527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>
          <a:solidFill>
            <a:srgbClr val="969696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0.22511</cdr:x>
      <cdr:y>0.11136</cdr:y>
    </cdr:from>
    <cdr:to>
      <cdr:x>0.22511</cdr:x>
      <cdr:y>0.79695</cdr:y>
    </cdr:to>
    <cdr:sp macro="" textlink="">
      <cdr:nvSpPr>
        <cdr:cNvPr id="205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916584" y="279069"/>
          <a:ext cx="0" cy="17527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 cap="rnd">
          <a:solidFill>
            <a:srgbClr val="969696"/>
          </a:solidFill>
          <a:prstDash val="sysDot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0.5022</cdr:x>
      <cdr:y>0.11136</cdr:y>
    </cdr:from>
    <cdr:to>
      <cdr:x>0.5022</cdr:x>
      <cdr:y>0.79695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042897" y="279069"/>
          <a:ext cx="0" cy="17527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 cap="rnd">
          <a:solidFill>
            <a:srgbClr val="969696"/>
          </a:solidFill>
          <a:prstDash val="sysDot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0.77685</cdr:x>
      <cdr:y>0.11136</cdr:y>
    </cdr:from>
    <cdr:to>
      <cdr:x>0.77685</cdr:x>
      <cdr:y>0.79695</cdr:y>
    </cdr:to>
    <cdr:sp macro="" textlink="">
      <cdr:nvSpPr>
        <cdr:cNvPr id="2054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156331" y="279069"/>
          <a:ext cx="0" cy="17527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 cap="rnd">
          <a:solidFill>
            <a:srgbClr val="969696"/>
          </a:solidFill>
          <a:prstDash val="sysDot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"/>
  <sheetViews>
    <sheetView showGridLines="0" showRowColHeaders="0" workbookViewId="0"/>
  </sheetViews>
  <sheetFormatPr baseColWidth="10" defaultColWidth="8.83203125" defaultRowHeight="17" x14ac:dyDescent="0"/>
  <cols>
    <col min="1" max="1" width="0.6640625" customWidth="1"/>
    <col min="2" max="2" width="2.83203125" customWidth="1"/>
  </cols>
  <sheetData>
    <row r="1" ht="3.75" customHeight="1"/>
  </sheetData>
  <sheetProtection password="C61C" sheet="1" objects="1"/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S690"/>
  <sheetViews>
    <sheetView showGridLines="0" tabSelected="1" topLeftCell="A44" workbookViewId="0">
      <selection activeCell="C70" sqref="C70"/>
    </sheetView>
  </sheetViews>
  <sheetFormatPr baseColWidth="10" defaultColWidth="9" defaultRowHeight="18" x14ac:dyDescent="0"/>
  <cols>
    <col min="1" max="1" width="3" style="2" customWidth="1"/>
    <col min="2" max="8" width="6.6640625" style="2" customWidth="1"/>
    <col min="9" max="9" width="4.5" style="2" customWidth="1"/>
    <col min="10" max="10" width="12.5" style="2" customWidth="1"/>
    <col min="11" max="11" width="16.1640625" style="2" customWidth="1"/>
    <col min="12" max="12" width="5.5" style="2" customWidth="1"/>
    <col min="13" max="13" width="5" style="2" customWidth="1"/>
    <col min="14" max="14" width="3.6640625" style="2" customWidth="1"/>
    <col min="15" max="16384" width="9" style="2"/>
  </cols>
  <sheetData>
    <row r="2" spans="2:18" ht="19.5" customHeight="1">
      <c r="J2" s="107" t="s">
        <v>13</v>
      </c>
      <c r="K2" s="131">
        <v>36892</v>
      </c>
      <c r="L2" s="132"/>
      <c r="R2" s="3"/>
    </row>
    <row r="3" spans="2:18" ht="16.5" hidden="1" customHeight="1"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J3" s="108"/>
      <c r="K3" s="108"/>
      <c r="L3" s="108"/>
      <c r="R3" s="3"/>
    </row>
    <row r="4" spans="2:18" ht="21" customHeight="1">
      <c r="B4" s="133">
        <f>$C$35</f>
        <v>36892</v>
      </c>
      <c r="C4" s="134"/>
      <c r="D4" s="134"/>
      <c r="E4" s="134"/>
      <c r="F4" s="134"/>
      <c r="G4" s="134"/>
      <c r="H4" s="134"/>
      <c r="J4" s="107" t="s">
        <v>14</v>
      </c>
      <c r="K4" s="109" t="str">
        <f ca="1">C46 &amp; "日"</f>
        <v>4882日</v>
      </c>
      <c r="L4" s="108"/>
      <c r="R4" s="3"/>
    </row>
    <row r="5" spans="2:18" ht="21" customHeight="1">
      <c r="B5" s="112" t="s">
        <v>15</v>
      </c>
      <c r="C5" s="113" t="s">
        <v>16</v>
      </c>
      <c r="D5" s="113" t="s">
        <v>0</v>
      </c>
      <c r="E5" s="113" t="s">
        <v>1</v>
      </c>
      <c r="F5" s="113" t="s">
        <v>2</v>
      </c>
      <c r="G5" s="113" t="s">
        <v>3</v>
      </c>
      <c r="H5" s="114" t="s">
        <v>4</v>
      </c>
      <c r="K5" s="5"/>
      <c r="R5" s="3"/>
    </row>
    <row r="6" spans="2:18" ht="21" customHeight="1">
      <c r="B6" s="103" t="str">
        <f t="shared" ref="B6:H6" si="0">IF(B3&gt;$C$43,B3-$C$43,"*")</f>
        <v>*</v>
      </c>
      <c r="C6" s="1">
        <f t="shared" si="0"/>
        <v>1</v>
      </c>
      <c r="D6" s="1">
        <f t="shared" si="0"/>
        <v>2</v>
      </c>
      <c r="E6" s="1">
        <f t="shared" si="0"/>
        <v>3</v>
      </c>
      <c r="F6" s="1">
        <f t="shared" si="0"/>
        <v>4</v>
      </c>
      <c r="G6" s="1">
        <f t="shared" si="0"/>
        <v>5</v>
      </c>
      <c r="H6" s="104">
        <f t="shared" si="0"/>
        <v>6</v>
      </c>
      <c r="J6" s="81" t="s">
        <v>17</v>
      </c>
      <c r="K6" s="82" t="str">
        <f>E36 &amp; F36 &amp; G36 &amp; H36 &amp; " /年"</f>
        <v>辛巳(かのとみ） /年</v>
      </c>
      <c r="R6" s="3"/>
    </row>
    <row r="7" spans="2:18" ht="21" customHeight="1">
      <c r="B7" s="103">
        <f>H6+1</f>
        <v>7</v>
      </c>
      <c r="C7" s="1">
        <f t="shared" ref="C7:H9" si="1">B7+1</f>
        <v>8</v>
      </c>
      <c r="D7" s="1">
        <f t="shared" si="1"/>
        <v>9</v>
      </c>
      <c r="E7" s="1">
        <f t="shared" si="1"/>
        <v>10</v>
      </c>
      <c r="F7" s="1">
        <f t="shared" si="1"/>
        <v>11</v>
      </c>
      <c r="G7" s="1">
        <f t="shared" si="1"/>
        <v>12</v>
      </c>
      <c r="H7" s="104">
        <f t="shared" si="1"/>
        <v>13</v>
      </c>
      <c r="J7" s="83"/>
      <c r="K7" s="82" t="str">
        <f>E38 &amp; F38 &amp; G38 &amp; H38 &amp; " /日"</f>
        <v>甲子（きのえね） /日</v>
      </c>
    </row>
    <row r="8" spans="2:18" ht="21" customHeight="1">
      <c r="B8" s="103">
        <f>H7+1</f>
        <v>14</v>
      </c>
      <c r="C8" s="1">
        <f t="shared" si="1"/>
        <v>15</v>
      </c>
      <c r="D8" s="1">
        <f t="shared" si="1"/>
        <v>16</v>
      </c>
      <c r="E8" s="1">
        <f t="shared" si="1"/>
        <v>17</v>
      </c>
      <c r="F8" s="1">
        <f t="shared" si="1"/>
        <v>18</v>
      </c>
      <c r="G8" s="1">
        <f t="shared" si="1"/>
        <v>19</v>
      </c>
      <c r="H8" s="104">
        <f t="shared" si="1"/>
        <v>20</v>
      </c>
      <c r="J8" s="81" t="s">
        <v>18</v>
      </c>
      <c r="K8" s="84" t="str">
        <f>J36 &amp; " /年"</f>
        <v>八白土星 /年</v>
      </c>
      <c r="R8" s="3"/>
    </row>
    <row r="9" spans="2:18" ht="21" customHeight="1">
      <c r="B9" s="103">
        <f>H8+1</f>
        <v>21</v>
      </c>
      <c r="C9" s="1">
        <f t="shared" si="1"/>
        <v>22</v>
      </c>
      <c r="D9" s="1">
        <f t="shared" si="1"/>
        <v>23</v>
      </c>
      <c r="E9" s="1">
        <f t="shared" si="1"/>
        <v>24</v>
      </c>
      <c r="F9" s="1">
        <f t="shared" si="1"/>
        <v>25</v>
      </c>
      <c r="G9" s="1">
        <f t="shared" si="1"/>
        <v>26</v>
      </c>
      <c r="H9" s="104">
        <f t="shared" si="1"/>
        <v>27</v>
      </c>
      <c r="J9" s="85"/>
      <c r="K9" s="86" t="str">
        <f>J38 &amp; " /日"</f>
        <v>九紫火星 /日</v>
      </c>
      <c r="R9" s="3"/>
    </row>
    <row r="10" spans="2:18" ht="21" customHeight="1">
      <c r="B10" s="103">
        <f>IF(H9&lt;$C$44,H9+1,"*")</f>
        <v>28</v>
      </c>
      <c r="C10" s="1">
        <f t="shared" ref="C10:H10" si="2">IF(B10&lt;$C$44,B10+1,"*")</f>
        <v>29</v>
      </c>
      <c r="D10" s="1">
        <f t="shared" si="2"/>
        <v>30</v>
      </c>
      <c r="E10" s="1">
        <f t="shared" si="2"/>
        <v>31</v>
      </c>
      <c r="F10" s="1" t="str">
        <f t="shared" si="2"/>
        <v>*</v>
      </c>
      <c r="G10" s="1" t="str">
        <f t="shared" si="2"/>
        <v>*</v>
      </c>
      <c r="H10" s="104" t="str">
        <f t="shared" si="2"/>
        <v>*</v>
      </c>
      <c r="J10" s="81" t="s">
        <v>19</v>
      </c>
      <c r="K10" s="87" t="str">
        <f>M36</f>
        <v>山羊座(Capricornus)、土星</v>
      </c>
    </row>
    <row r="11" spans="2:18" ht="21" customHeight="1">
      <c r="B11" s="103" t="str">
        <f>IF(H10&lt;$C$44,H10+1,"*")</f>
        <v>*</v>
      </c>
      <c r="C11" s="1" t="str">
        <f>IF(B11&lt;$C$44,B11+1,"*")</f>
        <v>*</v>
      </c>
      <c r="D11" s="1" t="s">
        <v>20</v>
      </c>
      <c r="E11" s="1" t="s">
        <v>20</v>
      </c>
      <c r="F11" s="1" t="s">
        <v>20</v>
      </c>
      <c r="G11" s="1" t="s">
        <v>20</v>
      </c>
      <c r="H11" s="104" t="s">
        <v>218</v>
      </c>
      <c r="J11" s="88" t="s">
        <v>21</v>
      </c>
      <c r="K11" s="89" t="str">
        <f>K36</f>
        <v>戌、亥</v>
      </c>
    </row>
    <row r="12" spans="2:18" ht="21" customHeight="1">
      <c r="B12" s="105"/>
      <c r="C12" s="105"/>
      <c r="D12" s="105"/>
      <c r="E12" s="105"/>
      <c r="F12" s="105"/>
      <c r="G12" s="105"/>
      <c r="H12" s="106"/>
      <c r="J12" s="88" t="s">
        <v>22</v>
      </c>
      <c r="K12" s="89" t="str">
        <f>N36</f>
        <v>東北（方位）、二黒（時期）</v>
      </c>
    </row>
    <row r="13" spans="2:18" ht="21" customHeight="1"/>
    <row r="14" spans="2:18" ht="21" customHeight="1">
      <c r="B14" s="94"/>
      <c r="C14" s="95" t="s">
        <v>23</v>
      </c>
      <c r="D14" s="96" t="str">
        <f>O36</f>
        <v>丑、寅、卯、辰、未、戌</v>
      </c>
      <c r="E14" s="6"/>
      <c r="F14" s="7"/>
      <c r="G14" s="7"/>
      <c r="H14" s="7"/>
      <c r="J14" s="90" t="s">
        <v>24</v>
      </c>
      <c r="K14" s="91" t="str">
        <f>"還暦（" &amp; C$40+60 &amp; ")、喜寿（" &amp; C$40+77 &amp; ")"</f>
        <v>還暦（2061)、喜寿（2078)</v>
      </c>
      <c r="L14" s="8"/>
    </row>
    <row r="15" spans="2:18" ht="21" customHeight="1">
      <c r="B15" s="94"/>
      <c r="C15" s="94"/>
      <c r="D15" s="96" t="str">
        <f>P36</f>
        <v>山羊座、牡牛座、蟹座、乙女座</v>
      </c>
      <c r="E15" s="6"/>
      <c r="F15" s="7"/>
      <c r="G15" s="7"/>
      <c r="H15" s="7"/>
      <c r="J15" s="90"/>
      <c r="K15" s="91" t="str">
        <f>"米寿（" &amp; C$40+88 &amp; ")、白寿（" &amp; C$40+99 &amp; ")"</f>
        <v>米寿（2089)、白寿（2100)</v>
      </c>
      <c r="L15" s="8"/>
    </row>
    <row r="16" spans="2:18" ht="21" customHeight="1">
      <c r="B16" s="94"/>
      <c r="C16" s="94"/>
      <c r="D16" s="96" t="str">
        <f>Q36</f>
        <v>六白金星、七赤金星、九紫火星</v>
      </c>
      <c r="E16" s="6"/>
      <c r="F16" s="7"/>
      <c r="G16" s="7"/>
      <c r="H16" s="7"/>
      <c r="J16" s="90" t="s">
        <v>25</v>
      </c>
      <c r="K16" s="91" t="str">
        <f>I36</f>
        <v>普賢菩薩</v>
      </c>
    </row>
    <row r="17" spans="1:13" ht="21" customHeight="1">
      <c r="B17" s="7"/>
      <c r="C17" s="7"/>
      <c r="D17" s="9" t="str">
        <f>R36</f>
        <v xml:space="preserve"> </v>
      </c>
      <c r="E17" s="10"/>
      <c r="F17" s="10"/>
      <c r="G17" s="7"/>
      <c r="H17" s="10"/>
      <c r="J17" s="92"/>
      <c r="K17" s="93" t="str">
        <f>S36 &amp; " (真言)"</f>
        <v>ｵﾝ･ｻﾝﾏﾔｻﾄﾊﾞﾝ (真言)</v>
      </c>
    </row>
    <row r="18" spans="1:13" ht="21" customHeight="1" thickBot="1">
      <c r="B18" s="7"/>
      <c r="C18" s="7"/>
      <c r="D18" s="11"/>
      <c r="E18" s="10"/>
      <c r="F18" s="10"/>
      <c r="G18" s="7"/>
      <c r="H18" s="10"/>
    </row>
    <row r="19" spans="1:13" ht="10.5" customHeight="1">
      <c r="B19" s="115"/>
      <c r="C19" s="116"/>
      <c r="D19" s="117"/>
      <c r="E19" s="118"/>
      <c r="F19" s="118"/>
      <c r="G19" s="116"/>
      <c r="H19" s="118"/>
      <c r="I19" s="119"/>
      <c r="J19" s="119"/>
      <c r="K19" s="119"/>
      <c r="L19" s="119"/>
      <c r="M19" s="120"/>
    </row>
    <row r="20" spans="1:13" ht="21" customHeight="1">
      <c r="B20" s="139" t="str">
        <f ca="1">P52</f>
        <v>　　きようは2014年5月15日（木）．．．．</v>
      </c>
      <c r="C20" s="140"/>
      <c r="D20" s="140"/>
      <c r="E20" s="140"/>
      <c r="F20" s="140"/>
      <c r="G20" s="140"/>
      <c r="H20" s="140"/>
      <c r="I20" s="141"/>
      <c r="J20" s="141"/>
      <c r="K20" s="121"/>
      <c r="L20" s="121"/>
      <c r="M20" s="122"/>
    </row>
    <row r="21" spans="1:13" ht="21" customHeight="1">
      <c r="B21" s="123"/>
      <c r="C21" s="124" t="str">
        <f ca="1">P53 &amp; P55</f>
        <v>年は甲午（きのえうま）、四緑木星で、日は丙戌（ひのえいぬ）、五黄土星です。</v>
      </c>
      <c r="D21" s="125"/>
      <c r="E21" s="125"/>
      <c r="F21" s="125"/>
      <c r="G21" s="125"/>
      <c r="H21" s="125"/>
      <c r="I21" s="125"/>
      <c r="J21" s="125"/>
      <c r="K21" s="121"/>
      <c r="L21" s="121"/>
      <c r="M21" s="122"/>
    </row>
    <row r="22" spans="1:13" ht="21" customHeight="1">
      <c r="B22" s="123"/>
      <c r="C22" s="126" t="str">
        <f ca="1">P54</f>
        <v>金銭運は(--)、愛情運は(__)、仕事運は(__)、健康運は(--)です。</v>
      </c>
      <c r="D22" s="125"/>
      <c r="E22" s="125"/>
      <c r="F22" s="125"/>
      <c r="G22" s="125"/>
      <c r="H22" s="125"/>
      <c r="I22" s="125"/>
      <c r="J22" s="125"/>
      <c r="K22" s="121"/>
      <c r="L22" s="121"/>
      <c r="M22" s="122"/>
    </row>
    <row r="23" spans="1:13" ht="15" customHeight="1">
      <c r="B23" s="127"/>
      <c r="C23" s="128"/>
      <c r="D23" s="128"/>
      <c r="E23" s="128"/>
      <c r="F23" s="128"/>
      <c r="G23" s="128"/>
      <c r="H23" s="128"/>
      <c r="I23" s="128"/>
      <c r="J23" s="128"/>
      <c r="K23" s="129"/>
      <c r="L23" s="129"/>
      <c r="M23" s="130"/>
    </row>
    <row r="24" spans="1:13" ht="60" customHeight="1"/>
    <row r="25" spans="1:13" ht="21.75" customHeight="1">
      <c r="A25" s="2" t="s">
        <v>26</v>
      </c>
    </row>
    <row r="26" spans="1:13" ht="21.75" customHeight="1">
      <c r="C26" s="137" t="s">
        <v>27</v>
      </c>
      <c r="D26" s="138"/>
    </row>
    <row r="27" spans="1:13" ht="21.75" customHeight="1">
      <c r="C27" s="135">
        <f ca="1">NOW()</f>
        <v>41773.563660995373</v>
      </c>
      <c r="D27" s="136"/>
      <c r="E27" s="12"/>
    </row>
    <row r="28" spans="1:13" ht="21.75" customHeight="1">
      <c r="C28" s="108"/>
      <c r="D28" s="108"/>
    </row>
    <row r="29" spans="1:13" ht="21.75" customHeight="1">
      <c r="C29" s="110" t="s">
        <v>28</v>
      </c>
      <c r="D29" s="111"/>
    </row>
    <row r="30" spans="1:13" ht="21.75" customHeight="1">
      <c r="B30" s="97" t="s">
        <v>29</v>
      </c>
      <c r="C30" s="98" t="str">
        <f ca="1">I102</f>
        <v>9日　20日　21日　</v>
      </c>
    </row>
    <row r="31" spans="1:13" ht="21.75" customHeight="1">
      <c r="B31" s="99" t="s">
        <v>30</v>
      </c>
      <c r="C31" s="100" t="str">
        <f ca="1">J102</f>
        <v>5日　19日　</v>
      </c>
    </row>
    <row r="32" spans="1:13" ht="21.75" customHeight="1">
      <c r="B32" s="101" t="s">
        <v>31</v>
      </c>
      <c r="C32" s="102" t="str">
        <f ca="1">K102</f>
        <v>1日　17日　</v>
      </c>
      <c r="K32" s="13"/>
      <c r="L32" s="13"/>
    </row>
    <row r="33" spans="1:19" ht="21.75" customHeight="1"/>
    <row r="35" spans="1:19" s="19" customFormat="1">
      <c r="A35" s="14"/>
      <c r="B35" s="14"/>
      <c r="C35" s="15">
        <f>K2</f>
        <v>36892</v>
      </c>
      <c r="D35" s="16"/>
      <c r="E35" s="17" t="s">
        <v>32</v>
      </c>
      <c r="F35" s="16" t="s">
        <v>33</v>
      </c>
      <c r="G35" s="16" t="s">
        <v>32</v>
      </c>
      <c r="H35" s="16" t="s">
        <v>33</v>
      </c>
      <c r="I35" s="16" t="s">
        <v>34</v>
      </c>
      <c r="J35" s="16" t="s">
        <v>35</v>
      </c>
      <c r="K35" s="16" t="s">
        <v>36</v>
      </c>
      <c r="L35" s="18"/>
      <c r="M35" s="17" t="s">
        <v>37</v>
      </c>
      <c r="N35" s="16" t="s">
        <v>38</v>
      </c>
      <c r="O35" s="16" t="s">
        <v>39</v>
      </c>
      <c r="P35" s="17" t="s">
        <v>40</v>
      </c>
      <c r="Q35" s="18" t="s">
        <v>41</v>
      </c>
      <c r="R35" s="17"/>
      <c r="S35" s="16" t="s">
        <v>42</v>
      </c>
    </row>
    <row r="36" spans="1:19" s="19" customFormat="1">
      <c r="A36" s="14"/>
      <c r="B36" s="14" t="s">
        <v>43</v>
      </c>
      <c r="C36" s="20">
        <f>DATEDIF(0,C$35,"Y")</f>
        <v>101</v>
      </c>
      <c r="D36" s="21" t="s">
        <v>44</v>
      </c>
      <c r="E36" s="22" t="str">
        <f>LOOKUP(MOD($C36,10),$D$39:$D$50,E$39:E$50)</f>
        <v>辛</v>
      </c>
      <c r="F36" s="23" t="str">
        <f>LOOKUP(MOD($C36,12),$D$39:$D$50,F$39:F$50)</f>
        <v>巳</v>
      </c>
      <c r="G36" s="23" t="str">
        <f>LOOKUP(MOD($C36,10),$D$39:$D$50,G$39:G$50)</f>
        <v>(かのと</v>
      </c>
      <c r="H36" s="23" t="str">
        <f>LOOKUP(MOD($C36,12),$D$39:$D$50,H$39:H$50)</f>
        <v>み）</v>
      </c>
      <c r="I36" s="23" t="str">
        <f>LOOKUP(MOD($C36,12),$D$39:$D$50,I$39:I$50)</f>
        <v>普賢菩薩</v>
      </c>
      <c r="J36" s="23" t="str">
        <f>LOOKUP(MOD($C36,9),$D$39:$D$50,J$39:J$50)</f>
        <v>八白土星</v>
      </c>
      <c r="K36" s="16" t="str">
        <f>LOOKUP(MOD(INT((C38+8)/10),6),D39:D50,K39:K50)</f>
        <v>戌、亥</v>
      </c>
      <c r="L36" s="18">
        <f>SUM(L39:L50)</f>
        <v>0</v>
      </c>
      <c r="M36" s="17" t="str">
        <f>LOOKUP(L36,$D39:$D50,M39:M50)</f>
        <v>山羊座(Capricornus)、土星</v>
      </c>
      <c r="N36" s="16" t="str">
        <f>LOOKUP(MOD($C36,9),$D$39:$D$50,N$39:N$50)</f>
        <v>東北（方位）、二黒（時期）</v>
      </c>
      <c r="O36" s="23" t="str">
        <f>LOOKUP(MOD($C36,12),$D$39:$D$50,O$39:O$50)</f>
        <v>丑、寅、卯、辰、未、戌</v>
      </c>
      <c r="P36" s="17" t="str">
        <f>LOOKUP($L36,$D39:$D50,P39:P50)</f>
        <v>山羊座、牡牛座、蟹座、乙女座</v>
      </c>
      <c r="Q36" s="23" t="str">
        <f>LOOKUP(MOD($C36,9),$D$39:$D$50,Q$39:Q$50)</f>
        <v>六白金星、七赤金星、九紫火星</v>
      </c>
      <c r="R36" s="24" t="str">
        <f>LOOKUP(MOD($C36,9),$D$39:$D$50,R$39:R$50)</f>
        <v xml:space="preserve"> </v>
      </c>
      <c r="S36" s="23" t="str">
        <f>LOOKUP(MOD($C36,12),$D$39:$D$50,S$39:S$50)</f>
        <v>ｵﾝ･ｻﾝﾏﾔｻﾄﾊﾞﾝ</v>
      </c>
    </row>
    <row r="37" spans="1:19" s="19" customFormat="1">
      <c r="A37" s="14"/>
      <c r="B37" s="14" t="s">
        <v>45</v>
      </c>
      <c r="C37" s="20">
        <f>DATEDIF(0,C$35,"M")</f>
        <v>1212</v>
      </c>
      <c r="D37" s="25" t="s">
        <v>46</v>
      </c>
      <c r="E37" s="26" t="str">
        <f>LOOKUP(MOD($C37+7,10),$D$39:$D$50,E$39:E$50)</f>
        <v>己</v>
      </c>
      <c r="F37" s="18" t="str">
        <f>LOOKUP(MOD($C37+1,12),$D$39:$D$50,F$39:F$50)</f>
        <v>丑</v>
      </c>
      <c r="G37" s="18" t="str">
        <f>LOOKUP(MOD($C37+7,10),$D$39:$D$50,G$39:G$50)</f>
        <v>（つちのと</v>
      </c>
      <c r="H37" s="18" t="str">
        <f>LOOKUP(MOD($C37+1,12),$D$39:$D$50,H$39:H$50)</f>
        <v>うし）</v>
      </c>
      <c r="I37" s="18"/>
      <c r="J37" s="18"/>
      <c r="K37" s="16"/>
      <c r="L37" s="18"/>
      <c r="M37" s="17"/>
      <c r="N37" s="16"/>
      <c r="O37" s="18"/>
      <c r="P37" s="17"/>
      <c r="Q37" s="18"/>
      <c r="R37" s="17"/>
      <c r="S37" s="18"/>
    </row>
    <row r="38" spans="1:19" s="19" customFormat="1">
      <c r="A38" s="14"/>
      <c r="B38" s="14" t="s">
        <v>47</v>
      </c>
      <c r="C38" s="20">
        <f>DATEDIF(0,C$35,"D")</f>
        <v>36892</v>
      </c>
      <c r="D38" s="25" t="s">
        <v>15</v>
      </c>
      <c r="E38" s="26" t="str">
        <f>LOOKUP(MOD($C38+2,10),$D$39:$D$50,E$39:E$50)</f>
        <v>甲</v>
      </c>
      <c r="F38" s="18" t="str">
        <f>LOOKUP(MOD($C38+8,12),$D$39:$D$50,F$39:F$50)</f>
        <v>子</v>
      </c>
      <c r="G38" s="18" t="str">
        <f>LOOKUP(MOD($C38+2,10),$D$39:$D$50,G$39:G$50)</f>
        <v>（きのえ</v>
      </c>
      <c r="H38" s="18" t="str">
        <f>LOOKUP(MOD($C38+8,12),$D$39:$D$50,H$39:H$50)</f>
        <v>ね）</v>
      </c>
      <c r="I38" s="18"/>
      <c r="J38" s="23" t="str">
        <f>LOOKUP(MOD($C38,9),$D$39:$D$50,J$39:J$50)</f>
        <v>九紫火星</v>
      </c>
      <c r="K38" s="16"/>
      <c r="L38" s="18"/>
      <c r="M38" s="17"/>
      <c r="N38" s="16"/>
      <c r="O38" s="18"/>
      <c r="P38" s="17"/>
      <c r="Q38" s="18"/>
      <c r="R38" s="17"/>
      <c r="S38" s="18"/>
    </row>
    <row r="39" spans="1:19" s="19" customFormat="1">
      <c r="A39" s="14"/>
      <c r="B39" s="14" t="s">
        <v>48</v>
      </c>
      <c r="C39" s="20">
        <f>MONTH(C$35)*100+DAY(C$35)</f>
        <v>101</v>
      </c>
      <c r="D39" s="27">
        <v>0</v>
      </c>
      <c r="E39" s="28" t="s">
        <v>49</v>
      </c>
      <c r="F39" s="28" t="s">
        <v>50</v>
      </c>
      <c r="G39" s="28" t="s">
        <v>51</v>
      </c>
      <c r="H39" s="28" t="s">
        <v>52</v>
      </c>
      <c r="I39" s="28" t="s">
        <v>53</v>
      </c>
      <c r="J39" s="28" t="s">
        <v>54</v>
      </c>
      <c r="K39" s="28" t="s">
        <v>55</v>
      </c>
      <c r="L39" s="28">
        <v>0</v>
      </c>
      <c r="M39" s="28" t="s">
        <v>56</v>
      </c>
      <c r="N39" s="28" t="s">
        <v>57</v>
      </c>
      <c r="O39" s="28" t="s">
        <v>58</v>
      </c>
      <c r="P39" s="28" t="s">
        <v>59</v>
      </c>
      <c r="Q39" s="28" t="s">
        <v>60</v>
      </c>
      <c r="R39" s="28" t="s">
        <v>61</v>
      </c>
      <c r="S39" s="28" t="s">
        <v>5</v>
      </c>
    </row>
    <row r="40" spans="1:19" s="19" customFormat="1">
      <c r="A40" s="14"/>
      <c r="B40" s="14" t="s">
        <v>44</v>
      </c>
      <c r="C40" s="20">
        <f>YEAR(C$35)</f>
        <v>2001</v>
      </c>
      <c r="D40" s="16">
        <v>1</v>
      </c>
      <c r="E40" s="28" t="s">
        <v>62</v>
      </c>
      <c r="F40" s="28" t="s">
        <v>63</v>
      </c>
      <c r="G40" s="28" t="s">
        <v>64</v>
      </c>
      <c r="H40" s="28" t="s">
        <v>65</v>
      </c>
      <c r="I40" s="28" t="s">
        <v>66</v>
      </c>
      <c r="J40" s="28" t="s">
        <v>67</v>
      </c>
      <c r="K40" s="28" t="s">
        <v>68</v>
      </c>
      <c r="L40" s="28">
        <f>IF(AND($C$39&gt;119,$C$39&lt;219),1,0)</f>
        <v>0</v>
      </c>
      <c r="M40" s="28" t="s">
        <v>69</v>
      </c>
      <c r="N40" s="28" t="s">
        <v>70</v>
      </c>
      <c r="O40" s="28" t="s">
        <v>71</v>
      </c>
      <c r="P40" s="28" t="s">
        <v>72</v>
      </c>
      <c r="Q40" s="28" t="s">
        <v>73</v>
      </c>
      <c r="R40" s="28" t="s">
        <v>74</v>
      </c>
      <c r="S40" s="28" t="s">
        <v>6</v>
      </c>
    </row>
    <row r="41" spans="1:19" s="19" customFormat="1">
      <c r="A41" s="14"/>
      <c r="B41" s="14" t="s">
        <v>46</v>
      </c>
      <c r="C41" s="20">
        <f>MONTH(C$35)</f>
        <v>1</v>
      </c>
      <c r="D41" s="16">
        <v>2</v>
      </c>
      <c r="E41" s="28" t="s">
        <v>75</v>
      </c>
      <c r="F41" s="28" t="s">
        <v>76</v>
      </c>
      <c r="G41" s="28" t="s">
        <v>77</v>
      </c>
      <c r="H41" s="28" t="s">
        <v>78</v>
      </c>
      <c r="I41" s="28" t="s">
        <v>66</v>
      </c>
      <c r="J41" s="28" t="s">
        <v>79</v>
      </c>
      <c r="K41" s="28" t="s">
        <v>80</v>
      </c>
      <c r="L41" s="28">
        <f>IF(AND($C$39&gt;218,$C$39&lt;321),2,0)</f>
        <v>0</v>
      </c>
      <c r="M41" s="28" t="s">
        <v>81</v>
      </c>
      <c r="N41" s="28" t="s">
        <v>82</v>
      </c>
      <c r="O41" s="28" t="s">
        <v>83</v>
      </c>
      <c r="P41" s="28" t="s">
        <v>84</v>
      </c>
      <c r="Q41" s="28" t="s">
        <v>85</v>
      </c>
      <c r="R41" s="28" t="s">
        <v>86</v>
      </c>
      <c r="S41" s="28" t="s">
        <v>6</v>
      </c>
    </row>
    <row r="42" spans="1:19" s="19" customFormat="1">
      <c r="A42" s="14"/>
      <c r="B42" s="14" t="s">
        <v>15</v>
      </c>
      <c r="C42" s="20">
        <f>DAY(C$35)</f>
        <v>1</v>
      </c>
      <c r="D42" s="16">
        <v>3</v>
      </c>
      <c r="E42" s="28" t="s">
        <v>87</v>
      </c>
      <c r="F42" s="28" t="s">
        <v>88</v>
      </c>
      <c r="G42" s="28" t="s">
        <v>89</v>
      </c>
      <c r="H42" s="28" t="s">
        <v>90</v>
      </c>
      <c r="I42" s="28" t="s">
        <v>91</v>
      </c>
      <c r="J42" s="28" t="s">
        <v>92</v>
      </c>
      <c r="K42" s="28" t="s">
        <v>93</v>
      </c>
      <c r="L42" s="28">
        <f>IF(AND($C$39&gt;320,$C$39&lt;421),3,0)</f>
        <v>0</v>
      </c>
      <c r="M42" s="28" t="s">
        <v>94</v>
      </c>
      <c r="N42" s="28" t="s">
        <v>95</v>
      </c>
      <c r="O42" s="28" t="s">
        <v>83</v>
      </c>
      <c r="P42" s="28" t="s">
        <v>96</v>
      </c>
      <c r="Q42" s="28" t="s">
        <v>97</v>
      </c>
      <c r="R42" s="28" t="s">
        <v>7</v>
      </c>
      <c r="S42" s="28" t="s">
        <v>98</v>
      </c>
    </row>
    <row r="43" spans="1:19" s="19" customFormat="1">
      <c r="A43" s="14"/>
      <c r="B43" s="14" t="s">
        <v>99</v>
      </c>
      <c r="C43" s="20">
        <f>WEEKDAY(DATE(C40,C41,1))</f>
        <v>2</v>
      </c>
      <c r="D43" s="16">
        <v>4</v>
      </c>
      <c r="E43" s="28" t="s">
        <v>100</v>
      </c>
      <c r="F43" s="28" t="s">
        <v>101</v>
      </c>
      <c r="G43" s="28" t="s">
        <v>102</v>
      </c>
      <c r="H43" s="28" t="s">
        <v>103</v>
      </c>
      <c r="I43" s="28" t="s">
        <v>104</v>
      </c>
      <c r="J43" s="28" t="s">
        <v>105</v>
      </c>
      <c r="K43" s="28" t="s">
        <v>106</v>
      </c>
      <c r="L43" s="28">
        <f>IF(AND($C$39&gt;420,$C$39&lt;521),4,0)</f>
        <v>0</v>
      </c>
      <c r="M43" s="28" t="s">
        <v>107</v>
      </c>
      <c r="N43" s="28" t="s">
        <v>108</v>
      </c>
      <c r="O43" s="28" t="s">
        <v>71</v>
      </c>
      <c r="P43" s="28" t="s">
        <v>109</v>
      </c>
      <c r="Q43" s="28" t="s">
        <v>97</v>
      </c>
      <c r="R43" s="28" t="s">
        <v>110</v>
      </c>
      <c r="S43" s="28" t="s">
        <v>8</v>
      </c>
    </row>
    <row r="44" spans="1:19" s="19" customFormat="1">
      <c r="A44" s="14"/>
      <c r="B44" s="14" t="s">
        <v>111</v>
      </c>
      <c r="C44" s="20">
        <f>DAY(DATE(C40,C41+1,1)-1)</f>
        <v>31</v>
      </c>
      <c r="D44" s="16">
        <v>5</v>
      </c>
      <c r="E44" s="28" t="s">
        <v>112</v>
      </c>
      <c r="F44" s="28" t="s">
        <v>113</v>
      </c>
      <c r="G44" s="28" t="s">
        <v>114</v>
      </c>
      <c r="H44" s="28" t="s">
        <v>115</v>
      </c>
      <c r="I44" s="28" t="s">
        <v>104</v>
      </c>
      <c r="J44" s="28" t="s">
        <v>116</v>
      </c>
      <c r="K44" s="28" t="s">
        <v>117</v>
      </c>
      <c r="L44" s="28">
        <f>IF(AND($C$39&gt;520,$C$39&lt;621),5,0)</f>
        <v>0</v>
      </c>
      <c r="M44" s="28" t="s">
        <v>118</v>
      </c>
      <c r="N44" s="28" t="s">
        <v>119</v>
      </c>
      <c r="O44" s="28" t="s">
        <v>120</v>
      </c>
      <c r="P44" s="28" t="s">
        <v>121</v>
      </c>
      <c r="Q44" s="28" t="s">
        <v>85</v>
      </c>
      <c r="R44" s="28" t="s">
        <v>86</v>
      </c>
      <c r="S44" s="28" t="s">
        <v>8</v>
      </c>
    </row>
    <row r="45" spans="1:19" s="19" customFormat="1">
      <c r="A45" s="14"/>
      <c r="B45" s="14"/>
      <c r="C45" s="29"/>
      <c r="D45" s="16">
        <v>6</v>
      </c>
      <c r="E45" s="28" t="s">
        <v>122</v>
      </c>
      <c r="F45" s="28" t="s">
        <v>123</v>
      </c>
      <c r="G45" s="28" t="s">
        <v>124</v>
      </c>
      <c r="H45" s="28" t="s">
        <v>125</v>
      </c>
      <c r="I45" s="28" t="s">
        <v>126</v>
      </c>
      <c r="J45" s="28" t="s">
        <v>127</v>
      </c>
      <c r="K45" s="28"/>
      <c r="L45" s="28">
        <f>IF(AND($C$39&gt;621,$C$39&lt;723),6,0)</f>
        <v>0</v>
      </c>
      <c r="M45" s="28" t="s">
        <v>128</v>
      </c>
      <c r="N45" s="28" t="s">
        <v>129</v>
      </c>
      <c r="O45" s="28" t="s">
        <v>120</v>
      </c>
      <c r="P45" s="28" t="s">
        <v>130</v>
      </c>
      <c r="Q45" s="28" t="s">
        <v>131</v>
      </c>
      <c r="R45" s="28" t="s">
        <v>132</v>
      </c>
      <c r="S45" s="28" t="s">
        <v>9</v>
      </c>
    </row>
    <row r="46" spans="1:19" s="19" customFormat="1">
      <c r="A46" s="14"/>
      <c r="B46" s="14" t="s">
        <v>133</v>
      </c>
      <c r="C46" s="20">
        <f ca="1">C55-C38</f>
        <v>4882</v>
      </c>
      <c r="D46" s="16">
        <v>7</v>
      </c>
      <c r="E46" s="28" t="s">
        <v>134</v>
      </c>
      <c r="F46" s="28" t="s">
        <v>135</v>
      </c>
      <c r="G46" s="28" t="s">
        <v>136</v>
      </c>
      <c r="H46" s="28" t="s">
        <v>137</v>
      </c>
      <c r="I46" s="28" t="s">
        <v>138</v>
      </c>
      <c r="J46" s="28" t="s">
        <v>139</v>
      </c>
      <c r="K46" s="28"/>
      <c r="L46" s="28">
        <f>IF(AND($C$39&gt;722,$C$39&lt;823),7,0)</f>
        <v>0</v>
      </c>
      <c r="M46" s="28" t="s">
        <v>140</v>
      </c>
      <c r="N46" s="28" t="s">
        <v>141</v>
      </c>
      <c r="O46" s="28" t="s">
        <v>71</v>
      </c>
      <c r="P46" s="28" t="s">
        <v>142</v>
      </c>
      <c r="Q46" s="28" t="s">
        <v>143</v>
      </c>
      <c r="R46" s="28" t="s">
        <v>144</v>
      </c>
      <c r="S46" s="28" t="s">
        <v>10</v>
      </c>
    </row>
    <row r="47" spans="1:19" s="19" customFormat="1">
      <c r="A47" s="14"/>
      <c r="B47" s="14"/>
      <c r="C47" s="14"/>
      <c r="D47" s="16">
        <v>8</v>
      </c>
      <c r="E47" s="28" t="s">
        <v>145</v>
      </c>
      <c r="F47" s="28" t="s">
        <v>146</v>
      </c>
      <c r="G47" s="28" t="s">
        <v>147</v>
      </c>
      <c r="H47" s="28" t="s">
        <v>148</v>
      </c>
      <c r="I47" s="28" t="s">
        <v>138</v>
      </c>
      <c r="J47" s="28" t="s">
        <v>149</v>
      </c>
      <c r="K47" s="28"/>
      <c r="L47" s="28">
        <f>IF(AND($C$39&gt;822,$C$39&lt;923),8,0)</f>
        <v>0</v>
      </c>
      <c r="M47" s="28" t="s">
        <v>150</v>
      </c>
      <c r="N47" s="28" t="s">
        <v>151</v>
      </c>
      <c r="O47" s="28" t="s">
        <v>152</v>
      </c>
      <c r="P47" s="28" t="s">
        <v>153</v>
      </c>
      <c r="Q47" s="28" t="s">
        <v>85</v>
      </c>
      <c r="R47" s="28" t="s">
        <v>86</v>
      </c>
      <c r="S47" s="28" t="s">
        <v>10</v>
      </c>
    </row>
    <row r="48" spans="1:19" s="19" customFormat="1">
      <c r="A48" s="14"/>
      <c r="B48" s="14"/>
      <c r="C48" s="14"/>
      <c r="D48" s="16">
        <v>9</v>
      </c>
      <c r="E48" s="28" t="s">
        <v>154</v>
      </c>
      <c r="F48" s="28" t="s">
        <v>155</v>
      </c>
      <c r="G48" s="28" t="s">
        <v>156</v>
      </c>
      <c r="H48" s="28" t="s">
        <v>157</v>
      </c>
      <c r="I48" s="28" t="s">
        <v>158</v>
      </c>
      <c r="J48" s="30" t="s">
        <v>159</v>
      </c>
      <c r="K48" s="28"/>
      <c r="L48" s="28">
        <f>IF(AND($C$39&gt;922,$C$39&lt;1022),9,0)</f>
        <v>0</v>
      </c>
      <c r="M48" s="28" t="s">
        <v>160</v>
      </c>
      <c r="N48" s="30" t="s">
        <v>161</v>
      </c>
      <c r="O48" s="28" t="s">
        <v>152</v>
      </c>
      <c r="P48" s="28" t="s">
        <v>162</v>
      </c>
      <c r="Q48" s="19" t="s">
        <v>163</v>
      </c>
      <c r="S48" s="28" t="s">
        <v>11</v>
      </c>
    </row>
    <row r="49" spans="1:19" s="19" customFormat="1">
      <c r="A49" s="14"/>
      <c r="B49" s="14"/>
      <c r="C49" s="14"/>
      <c r="D49" s="16">
        <v>10</v>
      </c>
      <c r="E49" s="28"/>
      <c r="F49" s="28" t="s">
        <v>164</v>
      </c>
      <c r="G49" s="28"/>
      <c r="H49" s="28" t="s">
        <v>165</v>
      </c>
      <c r="I49" s="28" t="s">
        <v>166</v>
      </c>
      <c r="J49" s="28" t="s">
        <v>167</v>
      </c>
      <c r="K49" s="28"/>
      <c r="L49" s="28">
        <f>IF(AND($C$39&gt;1021,$C$39&lt;1122),10,0)</f>
        <v>0</v>
      </c>
      <c r="M49" s="28" t="s">
        <v>168</v>
      </c>
      <c r="N49" s="28" t="s">
        <v>159</v>
      </c>
      <c r="O49" s="28" t="s">
        <v>71</v>
      </c>
      <c r="P49" s="28" t="s">
        <v>169</v>
      </c>
      <c r="Q49" s="28" t="s">
        <v>170</v>
      </c>
      <c r="R49" s="28" t="s">
        <v>170</v>
      </c>
      <c r="S49" s="28" t="s">
        <v>12</v>
      </c>
    </row>
    <row r="50" spans="1:19">
      <c r="A50" s="31"/>
      <c r="B50" s="31"/>
      <c r="C50" s="31"/>
      <c r="D50" s="16">
        <v>11</v>
      </c>
      <c r="E50" s="28"/>
      <c r="F50" s="28" t="s">
        <v>171</v>
      </c>
      <c r="G50" s="28"/>
      <c r="H50" s="28" t="s">
        <v>172</v>
      </c>
      <c r="I50" s="28" t="s">
        <v>166</v>
      </c>
      <c r="J50" s="28" t="s">
        <v>167</v>
      </c>
      <c r="K50" s="32"/>
      <c r="L50" s="28">
        <f>IF(AND($C$39&gt;1121,$C$39&lt;1222),11,0)</f>
        <v>0</v>
      </c>
      <c r="M50" s="28" t="s">
        <v>173</v>
      </c>
      <c r="N50" s="28" t="s">
        <v>167</v>
      </c>
      <c r="O50" s="28" t="s">
        <v>58</v>
      </c>
      <c r="P50" s="28" t="s">
        <v>174</v>
      </c>
      <c r="Q50" s="28" t="s">
        <v>132</v>
      </c>
      <c r="R50" s="28" t="s">
        <v>132</v>
      </c>
      <c r="S50" s="28" t="s">
        <v>12</v>
      </c>
    </row>
    <row r="51" spans="1:19" s="33" customFormat="1" ht="17">
      <c r="B51" s="34"/>
      <c r="C51" s="35"/>
    </row>
    <row r="52" spans="1:19" s="19" customFormat="1">
      <c r="A52" s="14"/>
      <c r="B52" s="14"/>
      <c r="C52" s="15">
        <f ca="1">NOW()+1</f>
        <v>41774.563660995373</v>
      </c>
      <c r="D52" s="16"/>
      <c r="E52" s="16" t="s">
        <v>32</v>
      </c>
      <c r="F52" s="16" t="s">
        <v>33</v>
      </c>
      <c r="G52" s="16" t="s">
        <v>32</v>
      </c>
      <c r="H52" s="16" t="s">
        <v>33</v>
      </c>
      <c r="I52" s="16" t="s">
        <v>35</v>
      </c>
      <c r="J52" s="16" t="s">
        <v>175</v>
      </c>
      <c r="K52" s="36"/>
      <c r="L52" s="16" t="s">
        <v>176</v>
      </c>
      <c r="M52" s="16" t="s">
        <v>177</v>
      </c>
      <c r="N52" s="16" t="s">
        <v>178</v>
      </c>
      <c r="O52" s="16" t="s">
        <v>179</v>
      </c>
      <c r="P52" s="28" t="str">
        <f ca="1">"　　きようは" &amp; C57  &amp; "年" &amp; C58 &amp; "月" &amp; C59 &amp; "日" &amp; J53</f>
        <v>　　きようは2014年5月15日（木）．．．．</v>
      </c>
      <c r="Q52" s="28"/>
      <c r="R52" s="28"/>
      <c r="S52" s="30"/>
    </row>
    <row r="53" spans="1:19" s="19" customFormat="1">
      <c r="A53" s="14"/>
      <c r="B53" s="14" t="s">
        <v>43</v>
      </c>
      <c r="C53" s="20">
        <f ca="1">DATEDIF(0,C$52,"Y")</f>
        <v>114</v>
      </c>
      <c r="D53" s="21" t="s">
        <v>44</v>
      </c>
      <c r="E53" s="22" t="str">
        <f ca="1">LOOKUP(MOD($C53,10),$D56:$D67,E56:E67)</f>
        <v>甲</v>
      </c>
      <c r="F53" s="23" t="str">
        <f ca="1">LOOKUP(MOD($C53,12),$D$56:$D$67,F$56:F$67)</f>
        <v>午</v>
      </c>
      <c r="G53" s="22" t="str">
        <f ca="1">LOOKUP(MOD($C53,10),$D56:$D67,G56:G67)</f>
        <v>（きのえ</v>
      </c>
      <c r="H53" s="23" t="str">
        <f ca="1">LOOKUP(MOD($C53,12),$D$56:$D$67,H$56:H$67)</f>
        <v>うま）</v>
      </c>
      <c r="I53" s="23" t="str">
        <f ca="1">LOOKUP(MOD($C53,9),$D$56:$D$67,I$56:I$67)</f>
        <v>、四緑木星</v>
      </c>
      <c r="J53" s="16" t="str">
        <f ca="1">LOOKUP(C60,D57:D63,J57:J63)</f>
        <v>（木）．．．．</v>
      </c>
      <c r="K53" s="36"/>
      <c r="L53" s="16" t="str">
        <f ca="1">LOOKUP(L54,$D56:$D67,L56:L67)</f>
        <v>(--)、</v>
      </c>
      <c r="M53" s="16" t="str">
        <f ca="1">LOOKUP(M54,$D56:$D67,M56:M67)</f>
        <v>(__)、</v>
      </c>
      <c r="N53" s="16" t="str">
        <f ca="1">LOOKUP(N54,$D56:$D67,N56:N67)</f>
        <v>(__)、</v>
      </c>
      <c r="O53" s="16" t="str">
        <f ca="1">LOOKUP(O54,$D56:$D67,O56:O67)</f>
        <v>(--)です。</v>
      </c>
      <c r="P53" s="28" t="str">
        <f ca="1">"年は" &amp; E53 &amp; F53 &amp; G53 &amp; H53 &amp; I53 &amp; "で、" &amp; "日は" &amp; E55 &amp; F55 &amp; G55 &amp; H55 &amp; I55 &amp; "です。"</f>
        <v>年は甲午（きのえうま）、四緑木星で、日は丙戌（ひのえいぬ）、五黄土星です。</v>
      </c>
      <c r="Q53" s="28"/>
      <c r="R53" s="28"/>
      <c r="S53" s="30"/>
    </row>
    <row r="54" spans="1:19" s="19" customFormat="1">
      <c r="A54" s="14"/>
      <c r="B54" s="14" t="s">
        <v>45</v>
      </c>
      <c r="C54" s="20">
        <f ca="1">DATEDIF(0,C$52,"M")</f>
        <v>1372</v>
      </c>
      <c r="D54" s="25"/>
      <c r="E54" s="26"/>
      <c r="F54" s="18"/>
      <c r="G54" s="26"/>
      <c r="H54" s="18"/>
      <c r="I54" s="16"/>
      <c r="J54" s="16"/>
      <c r="K54" s="36"/>
      <c r="L54" s="16">
        <f ca="1">LOOKUP($K$55,$D56:$D67,$K56:$K67)</f>
        <v>3</v>
      </c>
      <c r="M54" s="16">
        <f ca="1">LOOKUP($K$55+1,$D56:$D67,$K56:$K67)</f>
        <v>4</v>
      </c>
      <c r="N54" s="16">
        <f ca="1">LOOKUP($K$55+2,$D56:$D67,$K56:$K67)</f>
        <v>4</v>
      </c>
      <c r="O54" s="16">
        <f ca="1">LOOKUP($K$55+3,$D56:$D67,$K56:$K67)</f>
        <v>3</v>
      </c>
      <c r="P54" s="28" t="str">
        <f ca="1">L52 &amp; L53 &amp; M52 &amp; M53 &amp; N52 &amp; N53 &amp; O52 &amp; O53</f>
        <v>金銭運は(--)、愛情運は(__)、仕事運は(__)、健康運は(--)です。</v>
      </c>
      <c r="Q54" s="28"/>
      <c r="R54" s="28"/>
      <c r="S54" s="30"/>
    </row>
    <row r="55" spans="1:19" s="19" customFormat="1">
      <c r="A55" s="14"/>
      <c r="B55" s="14" t="s">
        <v>47</v>
      </c>
      <c r="C55" s="20">
        <f ca="1">DATEDIF(0,C$52,"D")</f>
        <v>41774</v>
      </c>
      <c r="D55" s="25" t="s">
        <v>15</v>
      </c>
      <c r="E55" s="26" t="str">
        <f ca="1">LOOKUP(MOD($C55+2,10),$D$56:$D$67,E$56:E$67)</f>
        <v>丙</v>
      </c>
      <c r="F55" s="18" t="str">
        <f ca="1">LOOKUP(MOD($C55+8,12),$D$56:$D$67,F$56:F$67)</f>
        <v>戌</v>
      </c>
      <c r="G55" s="26" t="str">
        <f ca="1">LOOKUP(MOD($C55+2,10),$D$56:$D$67,G$56:G$67)</f>
        <v>（ひのえ</v>
      </c>
      <c r="H55" s="18" t="str">
        <f ca="1">LOOKUP(MOD($C55+8,12),$D$56:$D$67,H$56:H$67)</f>
        <v>いぬ）</v>
      </c>
      <c r="I55" s="23" t="str">
        <f ca="1">LOOKUP(MOD($C55,9),$D$56:$D$67,I$56:I$67)</f>
        <v>、五黄土星</v>
      </c>
      <c r="J55" s="16"/>
      <c r="K55" s="37">
        <f ca="1">MOD($C$46,4)</f>
        <v>2</v>
      </c>
      <c r="L55" s="16"/>
      <c r="M55" s="16"/>
      <c r="N55" s="16"/>
      <c r="O55" s="16"/>
      <c r="P55" s="28"/>
      <c r="Q55" s="28"/>
      <c r="R55" s="28"/>
      <c r="S55" s="30"/>
    </row>
    <row r="56" spans="1:19" s="19" customFormat="1">
      <c r="A56" s="14"/>
      <c r="B56" s="14" t="s">
        <v>48</v>
      </c>
      <c r="C56" s="20">
        <f ca="1">MONTH(C$52)*100+DAY(C$52)</f>
        <v>515</v>
      </c>
      <c r="D56" s="27">
        <v>0</v>
      </c>
      <c r="E56" s="28" t="s">
        <v>49</v>
      </c>
      <c r="F56" s="28" t="s">
        <v>50</v>
      </c>
      <c r="G56" s="28" t="s">
        <v>51</v>
      </c>
      <c r="H56" s="28" t="s">
        <v>52</v>
      </c>
      <c r="I56" s="28" t="s">
        <v>180</v>
      </c>
      <c r="K56" s="38">
        <f ca="1">INT(MOD(C$46,6^4)/6^3)</f>
        <v>4</v>
      </c>
      <c r="L56" s="28" t="s">
        <v>181</v>
      </c>
      <c r="M56" s="28" t="s">
        <v>181</v>
      </c>
      <c r="N56" s="28" t="s">
        <v>181</v>
      </c>
      <c r="O56" s="28" t="s">
        <v>182</v>
      </c>
      <c r="P56" s="28"/>
      <c r="Q56" s="28"/>
      <c r="R56" s="28"/>
      <c r="S56" s="30"/>
    </row>
    <row r="57" spans="1:19" s="19" customFormat="1">
      <c r="A57" s="14"/>
      <c r="B57" s="14" t="s">
        <v>44</v>
      </c>
      <c r="C57" s="20">
        <f ca="1">YEAR(C$52)</f>
        <v>2014</v>
      </c>
      <c r="D57" s="16">
        <v>1</v>
      </c>
      <c r="E57" s="28" t="s">
        <v>62</v>
      </c>
      <c r="F57" s="28" t="s">
        <v>63</v>
      </c>
      <c r="G57" s="28" t="s">
        <v>64</v>
      </c>
      <c r="H57" s="28" t="s">
        <v>65</v>
      </c>
      <c r="I57" s="28" t="s">
        <v>183</v>
      </c>
      <c r="J57" s="28" t="s">
        <v>184</v>
      </c>
      <c r="K57" s="38">
        <f ca="1">INT(MOD(C$46,6^3)/6^2)</f>
        <v>3</v>
      </c>
      <c r="L57" s="28" t="s">
        <v>185</v>
      </c>
      <c r="M57" s="28" t="s">
        <v>185</v>
      </c>
      <c r="N57" s="28" t="s">
        <v>185</v>
      </c>
      <c r="O57" s="28" t="s">
        <v>186</v>
      </c>
      <c r="P57" s="28"/>
      <c r="Q57" s="28"/>
      <c r="R57" s="28"/>
      <c r="S57" s="30"/>
    </row>
    <row r="58" spans="1:19" s="19" customFormat="1">
      <c r="A58" s="14"/>
      <c r="B58" s="14" t="s">
        <v>46</v>
      </c>
      <c r="C58" s="20">
        <f ca="1">MONTH(C$52)</f>
        <v>5</v>
      </c>
      <c r="D58" s="16">
        <v>2</v>
      </c>
      <c r="E58" s="28" t="s">
        <v>75</v>
      </c>
      <c r="F58" s="28" t="s">
        <v>76</v>
      </c>
      <c r="G58" s="28" t="s">
        <v>77</v>
      </c>
      <c r="H58" s="28" t="s">
        <v>78</v>
      </c>
      <c r="I58" s="28" t="s">
        <v>187</v>
      </c>
      <c r="J58" s="28" t="s">
        <v>188</v>
      </c>
      <c r="K58" s="38">
        <f ca="1">INT(MOD(C$46,6^2)/6)</f>
        <v>3</v>
      </c>
      <c r="L58" s="28" t="s">
        <v>189</v>
      </c>
      <c r="M58" s="28" t="s">
        <v>189</v>
      </c>
      <c r="N58" s="28" t="s">
        <v>189</v>
      </c>
      <c r="O58" s="28" t="s">
        <v>190</v>
      </c>
      <c r="P58" s="28"/>
      <c r="Q58" s="28"/>
      <c r="R58" s="28"/>
      <c r="S58" s="30"/>
    </row>
    <row r="59" spans="1:19" s="19" customFormat="1">
      <c r="A59" s="14"/>
      <c r="B59" s="14" t="s">
        <v>15</v>
      </c>
      <c r="C59" s="20">
        <f ca="1">DAY(C$52)</f>
        <v>15</v>
      </c>
      <c r="D59" s="16">
        <v>3</v>
      </c>
      <c r="E59" s="28" t="s">
        <v>87</v>
      </c>
      <c r="F59" s="28" t="s">
        <v>88</v>
      </c>
      <c r="G59" s="28" t="s">
        <v>89</v>
      </c>
      <c r="H59" s="28" t="s">
        <v>90</v>
      </c>
      <c r="I59" s="28" t="s">
        <v>191</v>
      </c>
      <c r="J59" s="28" t="s">
        <v>192</v>
      </c>
      <c r="K59" s="39">
        <f ca="1">MOD(C$46,6)</f>
        <v>4</v>
      </c>
      <c r="L59" s="28" t="s">
        <v>193</v>
      </c>
      <c r="M59" s="28" t="s">
        <v>193</v>
      </c>
      <c r="N59" s="28" t="s">
        <v>193</v>
      </c>
      <c r="O59" s="28" t="s">
        <v>194</v>
      </c>
      <c r="P59" s="28"/>
      <c r="Q59" s="28"/>
      <c r="R59" s="28"/>
      <c r="S59" s="30"/>
    </row>
    <row r="60" spans="1:19" s="19" customFormat="1">
      <c r="A60" s="14"/>
      <c r="B60" s="14" t="s">
        <v>175</v>
      </c>
      <c r="C60" s="20">
        <f ca="1">WEEKDAY(C52)</f>
        <v>5</v>
      </c>
      <c r="D60" s="16">
        <v>4</v>
      </c>
      <c r="E60" s="28" t="s">
        <v>100</v>
      </c>
      <c r="F60" s="28" t="s">
        <v>101</v>
      </c>
      <c r="G60" s="28" t="s">
        <v>102</v>
      </c>
      <c r="H60" s="28" t="s">
        <v>103</v>
      </c>
      <c r="I60" s="28" t="s">
        <v>195</v>
      </c>
      <c r="J60" s="28" t="s">
        <v>196</v>
      </c>
      <c r="K60" s="38">
        <f t="shared" ref="K60:K67" ca="1" si="3">K56</f>
        <v>4</v>
      </c>
      <c r="L60" s="28" t="s">
        <v>197</v>
      </c>
      <c r="M60" s="28" t="s">
        <v>197</v>
      </c>
      <c r="N60" s="28" t="s">
        <v>197</v>
      </c>
      <c r="O60" s="28" t="s">
        <v>198</v>
      </c>
      <c r="P60" s="28"/>
      <c r="Q60" s="28"/>
      <c r="R60" s="28"/>
      <c r="S60" s="30"/>
    </row>
    <row r="61" spans="1:19" s="19" customFormat="1">
      <c r="A61" s="14"/>
      <c r="B61" s="14"/>
      <c r="C61" s="20"/>
      <c r="D61" s="16">
        <v>5</v>
      </c>
      <c r="E61" s="28" t="s">
        <v>112</v>
      </c>
      <c r="F61" s="28" t="s">
        <v>113</v>
      </c>
      <c r="G61" s="28" t="s">
        <v>114</v>
      </c>
      <c r="H61" s="28" t="s">
        <v>115</v>
      </c>
      <c r="I61" s="28" t="s">
        <v>199</v>
      </c>
      <c r="J61" s="28" t="s">
        <v>200</v>
      </c>
      <c r="K61" s="38">
        <f t="shared" ca="1" si="3"/>
        <v>3</v>
      </c>
      <c r="L61" s="28" t="s">
        <v>201</v>
      </c>
      <c r="M61" s="28" t="s">
        <v>201</v>
      </c>
      <c r="N61" s="28" t="s">
        <v>201</v>
      </c>
      <c r="O61" s="28" t="s">
        <v>202</v>
      </c>
      <c r="P61" s="28"/>
      <c r="Q61" s="28"/>
      <c r="R61" s="28"/>
      <c r="S61" s="30"/>
    </row>
    <row r="62" spans="1:19" s="19" customFormat="1">
      <c r="A62" s="14"/>
      <c r="B62" s="14"/>
      <c r="C62" s="20"/>
      <c r="D62" s="16">
        <v>6</v>
      </c>
      <c r="E62" s="28" t="s">
        <v>122</v>
      </c>
      <c r="F62" s="28" t="s">
        <v>123</v>
      </c>
      <c r="G62" s="28" t="s">
        <v>124</v>
      </c>
      <c r="H62" s="28" t="s">
        <v>125</v>
      </c>
      <c r="I62" s="28" t="s">
        <v>203</v>
      </c>
      <c r="J62" s="28" t="s">
        <v>204</v>
      </c>
      <c r="K62" s="38">
        <f t="shared" ca="1" si="3"/>
        <v>3</v>
      </c>
      <c r="L62" s="28" t="s">
        <v>205</v>
      </c>
      <c r="M62" s="28" t="s">
        <v>205</v>
      </c>
      <c r="N62" s="28" t="s">
        <v>205</v>
      </c>
      <c r="O62" s="28" t="s">
        <v>206</v>
      </c>
      <c r="P62" s="28"/>
      <c r="Q62" s="28"/>
      <c r="R62" s="28"/>
      <c r="S62" s="30"/>
    </row>
    <row r="63" spans="1:19" s="19" customFormat="1">
      <c r="A63" s="14"/>
      <c r="B63" s="14"/>
      <c r="C63" s="14"/>
      <c r="D63" s="16">
        <v>7</v>
      </c>
      <c r="E63" s="28" t="s">
        <v>134</v>
      </c>
      <c r="F63" s="28" t="s">
        <v>135</v>
      </c>
      <c r="G63" s="28" t="s">
        <v>136</v>
      </c>
      <c r="H63" s="28" t="s">
        <v>137</v>
      </c>
      <c r="I63" s="28" t="s">
        <v>207</v>
      </c>
      <c r="J63" s="28" t="s">
        <v>208</v>
      </c>
      <c r="K63" s="38">
        <f t="shared" ca="1" si="3"/>
        <v>4</v>
      </c>
      <c r="L63" s="28"/>
      <c r="M63" s="28"/>
      <c r="N63" s="28"/>
      <c r="O63" s="28"/>
      <c r="P63" s="28"/>
      <c r="Q63" s="28"/>
      <c r="R63" s="28"/>
      <c r="S63" s="30"/>
    </row>
    <row r="64" spans="1:19" s="19" customFormat="1">
      <c r="A64" s="14"/>
      <c r="B64" s="14"/>
      <c r="C64" s="14"/>
      <c r="D64" s="16">
        <v>8</v>
      </c>
      <c r="E64" s="28" t="s">
        <v>145</v>
      </c>
      <c r="F64" s="28" t="s">
        <v>146</v>
      </c>
      <c r="G64" s="28" t="s">
        <v>147</v>
      </c>
      <c r="H64" s="28" t="s">
        <v>148</v>
      </c>
      <c r="I64" s="28" t="s">
        <v>209</v>
      </c>
      <c r="J64" s="28"/>
      <c r="K64" s="38">
        <f t="shared" ca="1" si="3"/>
        <v>4</v>
      </c>
      <c r="L64" s="28"/>
      <c r="M64" s="28"/>
      <c r="N64" s="28"/>
      <c r="O64" s="28"/>
      <c r="P64" s="28"/>
      <c r="Q64" s="28"/>
      <c r="R64" s="28"/>
      <c r="S64" s="30"/>
    </row>
    <row r="65" spans="1:19" s="19" customFormat="1">
      <c r="A65" s="14"/>
      <c r="B65" s="14"/>
      <c r="C65" s="14"/>
      <c r="D65" s="16">
        <v>9</v>
      </c>
      <c r="E65" s="28" t="s">
        <v>154</v>
      </c>
      <c r="F65" s="28" t="s">
        <v>155</v>
      </c>
      <c r="G65" s="28" t="s">
        <v>156</v>
      </c>
      <c r="H65" s="28" t="s">
        <v>157</v>
      </c>
      <c r="I65" s="30" t="s">
        <v>210</v>
      </c>
      <c r="J65" s="28"/>
      <c r="K65" s="38">
        <f t="shared" ca="1" si="3"/>
        <v>3</v>
      </c>
      <c r="L65" s="28"/>
      <c r="M65" s="30"/>
      <c r="N65" s="28"/>
      <c r="O65" s="28"/>
      <c r="P65" s="30"/>
      <c r="Q65" s="30"/>
      <c r="R65" s="28"/>
      <c r="S65" s="30"/>
    </row>
    <row r="66" spans="1:19" s="19" customFormat="1">
      <c r="A66" s="14"/>
      <c r="B66" s="14"/>
      <c r="C66" s="14"/>
      <c r="D66" s="16">
        <v>10</v>
      </c>
      <c r="E66" s="28"/>
      <c r="F66" s="28" t="s">
        <v>164</v>
      </c>
      <c r="G66" s="28"/>
      <c r="H66" s="28" t="s">
        <v>165</v>
      </c>
      <c r="I66" s="28" t="s">
        <v>210</v>
      </c>
      <c r="J66" s="28"/>
      <c r="K66" s="38">
        <f t="shared" ca="1" si="3"/>
        <v>3</v>
      </c>
      <c r="L66" s="28"/>
      <c r="M66" s="28"/>
      <c r="N66" s="28"/>
      <c r="O66" s="28"/>
      <c r="P66" s="28"/>
      <c r="Q66" s="28"/>
      <c r="R66" s="28"/>
      <c r="S66" s="30"/>
    </row>
    <row r="67" spans="1:19">
      <c r="A67" s="31"/>
      <c r="B67" s="31"/>
      <c r="C67" s="31"/>
      <c r="D67" s="16">
        <v>11</v>
      </c>
      <c r="E67" s="28"/>
      <c r="F67" s="28" t="s">
        <v>171</v>
      </c>
      <c r="G67" s="28"/>
      <c r="H67" s="28" t="s">
        <v>172</v>
      </c>
      <c r="I67" s="28" t="s">
        <v>167</v>
      </c>
      <c r="J67" s="32"/>
      <c r="K67" s="38">
        <f t="shared" ca="1" si="3"/>
        <v>4</v>
      </c>
      <c r="L67" s="28"/>
      <c r="M67" s="28"/>
      <c r="N67" s="28"/>
      <c r="O67" s="28"/>
      <c r="P67" s="28"/>
      <c r="Q67" s="28"/>
      <c r="R67" s="28"/>
      <c r="S67" s="40"/>
    </row>
    <row r="68" spans="1:19" s="33" customFormat="1" ht="17">
      <c r="B68" s="34"/>
      <c r="C68" s="35"/>
    </row>
    <row r="69" spans="1:19" s="33" customFormat="1" ht="17">
      <c r="C69" s="34"/>
      <c r="D69" s="41"/>
      <c r="E69" s="42"/>
      <c r="F69" s="43" t="s">
        <v>211</v>
      </c>
      <c r="G69" s="44" t="s">
        <v>212</v>
      </c>
      <c r="H69" s="45" t="s">
        <v>213</v>
      </c>
      <c r="I69" s="44" t="s">
        <v>211</v>
      </c>
      <c r="J69" s="44" t="s">
        <v>212</v>
      </c>
      <c r="K69" s="45" t="s">
        <v>213</v>
      </c>
    </row>
    <row r="70" spans="1:19" s="33" customFormat="1" ht="17">
      <c r="B70" s="46" t="s">
        <v>214</v>
      </c>
      <c r="C70" s="47">
        <f ca="1">DATE(YEAR(C27),MONTH(C27),1)</f>
        <v>41760</v>
      </c>
      <c r="D70" s="48"/>
      <c r="E70" s="49" t="s">
        <v>215</v>
      </c>
      <c r="F70" s="50">
        <v>23</v>
      </c>
      <c r="G70" s="51">
        <v>28</v>
      </c>
      <c r="H70" s="52">
        <v>33</v>
      </c>
      <c r="I70" s="51"/>
      <c r="J70" s="51" t="s">
        <v>216</v>
      </c>
      <c r="K70" s="52"/>
    </row>
    <row r="71" spans="1:19" s="33" customFormat="1" ht="17">
      <c r="B71" s="46" t="s">
        <v>217</v>
      </c>
      <c r="C71" s="53">
        <f ca="1">DATEDIF(C35,C70,"D")</f>
        <v>4868</v>
      </c>
      <c r="D71" s="41">
        <v>1</v>
      </c>
      <c r="E71" s="54">
        <f ca="1">C71</f>
        <v>4868</v>
      </c>
      <c r="F71" s="55">
        <f t="shared" ref="F71:H101" ca="1" si="4">SIN(2*PI()*$E71/F$70)</f>
        <v>-0.81696989301037581</v>
      </c>
      <c r="G71" s="56">
        <f t="shared" ca="1" si="4"/>
        <v>-0.78183148246807854</v>
      </c>
      <c r="H71" s="57">
        <f t="shared" ca="1" si="4"/>
        <v>-9.5056043304157831E-2</v>
      </c>
      <c r="I71" s="58" t="str">
        <f t="shared" ref="I71:I101" ca="1" si="5">IF($D71&lt;&gt;"",IF(ABS(F71)&lt;0.15,$D71&amp;"日　",""),"")</f>
        <v/>
      </c>
      <c r="J71" s="59" t="str">
        <f t="shared" ref="J71:J101" ca="1" si="6">IF($D71&lt;&gt;"",IF(ABS(G71)&lt;0.15,$D71&amp;"日　",""),"")</f>
        <v/>
      </c>
      <c r="K71" s="60" t="str">
        <f t="shared" ref="K71:K101" ca="1" si="7">IF($D71&lt;&gt;"",IF(ABS(H71)&lt;0.15,$D71&amp;"日　",""),"")</f>
        <v>1日　</v>
      </c>
    </row>
    <row r="72" spans="1:19" s="33" customFormat="1" ht="17">
      <c r="B72" s="61" t="s">
        <v>44</v>
      </c>
      <c r="C72" s="62">
        <f ca="1">YEAR(C70)</f>
        <v>2014</v>
      </c>
      <c r="D72" s="63">
        <v>2</v>
      </c>
      <c r="E72" s="50">
        <f t="shared" ref="E72:E101" ca="1" si="8">E71+1</f>
        <v>4869</v>
      </c>
      <c r="F72" s="64">
        <f t="shared" ca="1" si="4"/>
        <v>-0.94226092211880486</v>
      </c>
      <c r="G72" s="65">
        <f t="shared" ca="1" si="4"/>
        <v>-0.62348980185880154</v>
      </c>
      <c r="H72" s="66">
        <f t="shared" ca="1" si="4"/>
        <v>-0.28173255684146131</v>
      </c>
      <c r="I72" s="67" t="str">
        <f t="shared" ca="1" si="5"/>
        <v/>
      </c>
      <c r="J72" s="68" t="str">
        <f t="shared" ca="1" si="6"/>
        <v/>
      </c>
      <c r="K72" s="69" t="str">
        <f t="shared" ca="1" si="7"/>
        <v/>
      </c>
    </row>
    <row r="73" spans="1:19" s="33" customFormat="1" ht="17">
      <c r="B73" s="61" t="s">
        <v>46</v>
      </c>
      <c r="C73" s="62">
        <f ca="1">MONTH(C70)</f>
        <v>5</v>
      </c>
      <c r="D73" s="63">
        <v>3</v>
      </c>
      <c r="E73" s="50">
        <f t="shared" ca="1" si="8"/>
        <v>4870</v>
      </c>
      <c r="F73" s="64">
        <f t="shared" ca="1" si="4"/>
        <v>-0.99766876919052516</v>
      </c>
      <c r="G73" s="65">
        <f t="shared" ca="1" si="4"/>
        <v>-0.43388373911764455</v>
      </c>
      <c r="H73" s="66">
        <f t="shared" ca="1" si="4"/>
        <v>-0.45822652172728906</v>
      </c>
      <c r="I73" s="67" t="str">
        <f t="shared" ca="1" si="5"/>
        <v/>
      </c>
      <c r="J73" s="68" t="str">
        <f t="shared" ca="1" si="6"/>
        <v/>
      </c>
      <c r="K73" s="69" t="str">
        <f t="shared" ca="1" si="7"/>
        <v/>
      </c>
    </row>
    <row r="74" spans="1:19" s="33" customFormat="1" ht="17">
      <c r="B74" s="61" t="s">
        <v>111</v>
      </c>
      <c r="C74" s="62">
        <f ca="1">DAY(DATE(C72,C73+1,1)-1)</f>
        <v>31</v>
      </c>
      <c r="D74" s="63">
        <v>4</v>
      </c>
      <c r="E74" s="50">
        <f t="shared" ca="1" si="8"/>
        <v>4871</v>
      </c>
      <c r="F74" s="64">
        <f t="shared" ca="1" si="4"/>
        <v>-0.97908408768235089</v>
      </c>
      <c r="G74" s="65">
        <f t="shared" ca="1" si="4"/>
        <v>-0.22252093395641659</v>
      </c>
      <c r="H74" s="66">
        <f t="shared" ca="1" si="4"/>
        <v>-0.61815898622054344</v>
      </c>
      <c r="I74" s="67" t="str">
        <f t="shared" ca="1" si="5"/>
        <v/>
      </c>
      <c r="J74" s="68" t="str">
        <f t="shared" ca="1" si="6"/>
        <v/>
      </c>
      <c r="K74" s="69" t="str">
        <f t="shared" ca="1" si="7"/>
        <v/>
      </c>
    </row>
    <row r="75" spans="1:19" s="33" customFormat="1" ht="17">
      <c r="B75" s="14"/>
      <c r="C75" s="20"/>
      <c r="D75" s="63">
        <v>5</v>
      </c>
      <c r="E75" s="50">
        <f t="shared" ca="1" si="8"/>
        <v>4872</v>
      </c>
      <c r="F75" s="64">
        <f t="shared" ca="1" si="4"/>
        <v>-0.88788521840240708</v>
      </c>
      <c r="G75" s="65">
        <f t="shared" ca="1" si="4"/>
        <v>-1.1368943980682999E-13</v>
      </c>
      <c r="H75" s="66">
        <f t="shared" ca="1" si="4"/>
        <v>-0.75574957435424472</v>
      </c>
      <c r="I75" s="67" t="str">
        <f t="shared" ca="1" si="5"/>
        <v/>
      </c>
      <c r="J75" s="68" t="str">
        <f t="shared" ca="1" si="6"/>
        <v>5日　</v>
      </c>
      <c r="K75" s="69" t="str">
        <f t="shared" ca="1" si="7"/>
        <v/>
      </c>
    </row>
    <row r="76" spans="1:19" s="33" customFormat="1" ht="17">
      <c r="D76" s="63">
        <v>6</v>
      </c>
      <c r="E76" s="50">
        <f t="shared" ca="1" si="8"/>
        <v>4873</v>
      </c>
      <c r="F76" s="64">
        <f t="shared" ca="1" si="4"/>
        <v>-0.73083596427812469</v>
      </c>
      <c r="G76" s="65">
        <f t="shared" ca="1" si="4"/>
        <v>0.22252093395619491</v>
      </c>
      <c r="H76" s="66">
        <f t="shared" ca="1" si="4"/>
        <v>-0.8660254037844004</v>
      </c>
      <c r="I76" s="67" t="str">
        <f t="shared" ca="1" si="5"/>
        <v/>
      </c>
      <c r="J76" s="68" t="str">
        <f t="shared" ca="1" si="6"/>
        <v/>
      </c>
      <c r="K76" s="69" t="str">
        <f t="shared" ca="1" si="7"/>
        <v/>
      </c>
    </row>
    <row r="77" spans="1:19" s="33" customFormat="1" ht="17">
      <c r="D77" s="63">
        <v>7</v>
      </c>
      <c r="E77" s="50">
        <f t="shared" ca="1" si="8"/>
        <v>4874</v>
      </c>
      <c r="F77" s="64">
        <f t="shared" ca="1" si="4"/>
        <v>-0.51958395003537605</v>
      </c>
      <c r="G77" s="65">
        <f t="shared" ca="1" si="4"/>
        <v>0.43388373911764455</v>
      </c>
      <c r="H77" s="66">
        <f t="shared" ca="1" si="4"/>
        <v>-0.94500081871466246</v>
      </c>
      <c r="I77" s="67" t="str">
        <f t="shared" ca="1" si="5"/>
        <v/>
      </c>
      <c r="J77" s="68" t="str">
        <f t="shared" ca="1" si="6"/>
        <v/>
      </c>
      <c r="K77" s="69" t="str">
        <f t="shared" ca="1" si="7"/>
        <v/>
      </c>
    </row>
    <row r="78" spans="1:19" s="33" customFormat="1" ht="17">
      <c r="D78" s="63">
        <v>8</v>
      </c>
      <c r="E78" s="50">
        <f t="shared" ca="1" si="8"/>
        <v>4875</v>
      </c>
      <c r="F78" s="64">
        <f t="shared" ca="1" si="4"/>
        <v>-0.26979677115689371</v>
      </c>
      <c r="G78" s="65">
        <f t="shared" ca="1" si="4"/>
        <v>0.62348980185880154</v>
      </c>
      <c r="H78" s="66">
        <f t="shared" ca="1" si="4"/>
        <v>-0.98982144188093835</v>
      </c>
      <c r="I78" s="67" t="str">
        <f t="shared" ca="1" si="5"/>
        <v/>
      </c>
      <c r="J78" s="68" t="str">
        <f t="shared" ca="1" si="6"/>
        <v/>
      </c>
      <c r="K78" s="69" t="str">
        <f t="shared" ca="1" si="7"/>
        <v/>
      </c>
    </row>
    <row r="79" spans="1:19" s="33" customFormat="1" ht="17">
      <c r="D79" s="63">
        <v>9</v>
      </c>
      <c r="E79" s="50">
        <f t="shared" ca="1" si="8"/>
        <v>4876</v>
      </c>
      <c r="F79" s="64">
        <f t="shared" ca="1" si="4"/>
        <v>-2.3524585057721481E-14</v>
      </c>
      <c r="G79" s="65">
        <f t="shared" ca="1" si="4"/>
        <v>0.78183148246793677</v>
      </c>
      <c r="H79" s="66">
        <f t="shared" ca="1" si="4"/>
        <v>-0.99886733918300874</v>
      </c>
      <c r="I79" s="67" t="str">
        <f t="shared" ca="1" si="5"/>
        <v>9日　</v>
      </c>
      <c r="J79" s="68" t="str">
        <f t="shared" ca="1" si="6"/>
        <v/>
      </c>
      <c r="K79" s="69" t="str">
        <f t="shared" ca="1" si="7"/>
        <v/>
      </c>
    </row>
    <row r="80" spans="1:19" s="33" customFormat="1" ht="17">
      <c r="D80" s="63">
        <v>10</v>
      </c>
      <c r="E80" s="50">
        <f t="shared" ca="1" si="8"/>
        <v>4877</v>
      </c>
      <c r="F80" s="64">
        <f t="shared" ca="1" si="4"/>
        <v>0.26979677115684841</v>
      </c>
      <c r="G80" s="65">
        <f t="shared" ca="1" si="4"/>
        <v>0.90096886790235053</v>
      </c>
      <c r="H80" s="66">
        <f t="shared" ca="1" si="4"/>
        <v>-0.97181156832355875</v>
      </c>
      <c r="I80" s="67" t="str">
        <f t="shared" ca="1" si="5"/>
        <v/>
      </c>
      <c r="J80" s="68" t="str">
        <f t="shared" ca="1" si="6"/>
        <v/>
      </c>
      <c r="K80" s="69" t="str">
        <f t="shared" ca="1" si="7"/>
        <v/>
      </c>
    </row>
    <row r="81" spans="4:11" s="33" customFormat="1" ht="17">
      <c r="D81" s="63">
        <v>11</v>
      </c>
      <c r="E81" s="50">
        <f t="shared" ca="1" si="8"/>
        <v>4878</v>
      </c>
      <c r="F81" s="64">
        <f t="shared" ca="1" si="4"/>
        <v>0.51958395003533586</v>
      </c>
      <c r="G81" s="65">
        <f t="shared" ca="1" si="4"/>
        <v>0.97492791218183705</v>
      </c>
      <c r="H81" s="66">
        <f t="shared" ca="1" si="4"/>
        <v>-0.90963199535452433</v>
      </c>
      <c r="I81" s="67" t="str">
        <f t="shared" ca="1" si="5"/>
        <v/>
      </c>
      <c r="J81" s="68" t="str">
        <f t="shared" ca="1" si="6"/>
        <v/>
      </c>
      <c r="K81" s="69" t="str">
        <f t="shared" ca="1" si="7"/>
        <v/>
      </c>
    </row>
    <row r="82" spans="4:11" s="33" customFormat="1" ht="17">
      <c r="D82" s="63">
        <v>12</v>
      </c>
      <c r="E82" s="50">
        <f t="shared" ca="1" si="8"/>
        <v>4879</v>
      </c>
      <c r="F82" s="64">
        <f t="shared" ca="1" si="4"/>
        <v>0.73083596427809261</v>
      </c>
      <c r="G82" s="65">
        <f t="shared" ca="1" si="4"/>
        <v>1</v>
      </c>
      <c r="H82" s="66">
        <f t="shared" ca="1" si="4"/>
        <v>-0.81457595205031041</v>
      </c>
      <c r="I82" s="67" t="str">
        <f t="shared" ca="1" si="5"/>
        <v/>
      </c>
      <c r="J82" s="68" t="str">
        <f t="shared" ca="1" si="6"/>
        <v/>
      </c>
      <c r="K82" s="69" t="str">
        <f t="shared" ca="1" si="7"/>
        <v/>
      </c>
    </row>
    <row r="83" spans="4:11" s="33" customFormat="1" ht="17">
      <c r="D83" s="63">
        <v>13</v>
      </c>
      <c r="E83" s="50">
        <f t="shared" ca="1" si="8"/>
        <v>4880</v>
      </c>
      <c r="F83" s="64">
        <f t="shared" ca="1" si="4"/>
        <v>0.88788521840238543</v>
      </c>
      <c r="G83" s="65">
        <f t="shared" ca="1" si="4"/>
        <v>0.97492791218181418</v>
      </c>
      <c r="H83" s="66">
        <f t="shared" ca="1" si="4"/>
        <v>-0.69007901148212081</v>
      </c>
      <c r="I83" s="67" t="str">
        <f t="shared" ca="1" si="5"/>
        <v/>
      </c>
      <c r="J83" s="68" t="str">
        <f t="shared" ca="1" si="6"/>
        <v/>
      </c>
      <c r="K83" s="69" t="str">
        <f t="shared" ca="1" si="7"/>
        <v/>
      </c>
    </row>
    <row r="84" spans="4:11" s="33" customFormat="1" ht="17">
      <c r="D84" s="63">
        <v>14</v>
      </c>
      <c r="E84" s="50">
        <f t="shared" ca="1" si="8"/>
        <v>4881</v>
      </c>
      <c r="F84" s="64">
        <f t="shared" ca="1" si="4"/>
        <v>0.97908408768229505</v>
      </c>
      <c r="G84" s="65">
        <f t="shared" ca="1" si="4"/>
        <v>0.90096886790250319</v>
      </c>
      <c r="H84" s="66">
        <f t="shared" ca="1" si="4"/>
        <v>-0.54064081745565473</v>
      </c>
      <c r="I84" s="67" t="str">
        <f t="shared" ca="1" si="5"/>
        <v/>
      </c>
      <c r="J84" s="68" t="str">
        <f t="shared" ca="1" si="6"/>
        <v/>
      </c>
      <c r="K84" s="69" t="str">
        <f t="shared" ca="1" si="7"/>
        <v/>
      </c>
    </row>
    <row r="85" spans="4:11" s="33" customFormat="1" ht="17">
      <c r="D85" s="63">
        <v>15</v>
      </c>
      <c r="E85" s="50">
        <f t="shared" ca="1" si="8"/>
        <v>4882</v>
      </c>
      <c r="F85" s="64">
        <f t="shared" ca="1" si="4"/>
        <v>0.99766876919054392</v>
      </c>
      <c r="G85" s="65">
        <f t="shared" ca="1" si="4"/>
        <v>0.78183148246801437</v>
      </c>
      <c r="H85" s="66">
        <f t="shared" ca="1" si="4"/>
        <v>-0.37166245566033679</v>
      </c>
      <c r="I85" s="67" t="str">
        <f t="shared" ca="1" si="5"/>
        <v/>
      </c>
      <c r="J85" s="68" t="str">
        <f t="shared" ca="1" si="6"/>
        <v/>
      </c>
      <c r="K85" s="69" t="str">
        <f t="shared" ca="1" si="7"/>
        <v/>
      </c>
    </row>
    <row r="86" spans="4:11" s="33" customFormat="1" ht="17">
      <c r="D86" s="63">
        <v>16</v>
      </c>
      <c r="E86" s="50">
        <f t="shared" ca="1" si="8"/>
        <v>4883</v>
      </c>
      <c r="F86" s="64">
        <f t="shared" ca="1" si="4"/>
        <v>0.94226092211882062</v>
      </c>
      <c r="G86" s="65">
        <f t="shared" ca="1" si="4"/>
        <v>0.62348980185872116</v>
      </c>
      <c r="H86" s="66">
        <f t="shared" ca="1" si="4"/>
        <v>-0.18925124436047477</v>
      </c>
      <c r="I86" s="67" t="str">
        <f t="shared" ca="1" si="5"/>
        <v/>
      </c>
      <c r="J86" s="68" t="str">
        <f t="shared" ca="1" si="6"/>
        <v/>
      </c>
      <c r="K86" s="69" t="str">
        <f t="shared" ca="1" si="7"/>
        <v/>
      </c>
    </row>
    <row r="87" spans="4:11" s="33" customFormat="1" ht="17">
      <c r="D87" s="63">
        <v>17</v>
      </c>
      <c r="E87" s="50">
        <f t="shared" ca="1" si="8"/>
        <v>4884</v>
      </c>
      <c r="F87" s="64">
        <f t="shared" ca="1" si="4"/>
        <v>0.8169698930104029</v>
      </c>
      <c r="G87" s="65">
        <f t="shared" ca="1" si="4"/>
        <v>0.43388373911755179</v>
      </c>
      <c r="H87" s="66">
        <f t="shared" ca="1" si="4"/>
        <v>-7.8426848348911449E-15</v>
      </c>
      <c r="I87" s="67" t="str">
        <f t="shared" ca="1" si="5"/>
        <v/>
      </c>
      <c r="J87" s="68" t="str">
        <f t="shared" ca="1" si="6"/>
        <v/>
      </c>
      <c r="K87" s="69" t="str">
        <f t="shared" ca="1" si="7"/>
        <v>17日　</v>
      </c>
    </row>
    <row r="88" spans="4:11" s="33" customFormat="1" ht="17">
      <c r="D88" s="63">
        <v>18</v>
      </c>
      <c r="E88" s="50">
        <f t="shared" ca="1" si="8"/>
        <v>4885</v>
      </c>
      <c r="F88" s="64">
        <f t="shared" ca="1" si="4"/>
        <v>0.63108794432612358</v>
      </c>
      <c r="G88" s="65">
        <f t="shared" ca="1" si="4"/>
        <v>0.22252093395631625</v>
      </c>
      <c r="H88" s="66">
        <f t="shared" ca="1" si="4"/>
        <v>0.18925124436045937</v>
      </c>
      <c r="I88" s="67" t="str">
        <f t="shared" ca="1" si="5"/>
        <v/>
      </c>
      <c r="J88" s="68" t="str">
        <f t="shared" ca="1" si="6"/>
        <v/>
      </c>
      <c r="K88" s="69" t="str">
        <f t="shared" ca="1" si="7"/>
        <v/>
      </c>
    </row>
    <row r="89" spans="4:11" s="33" customFormat="1" ht="17">
      <c r="D89" s="63">
        <v>19</v>
      </c>
      <c r="E89" s="50">
        <f t="shared" ca="1" si="8"/>
        <v>4886</v>
      </c>
      <c r="F89" s="64">
        <f t="shared" ca="1" si="4"/>
        <v>0.39840108984626255</v>
      </c>
      <c r="G89" s="65">
        <f t="shared" ca="1" si="4"/>
        <v>1.078325796710633E-14</v>
      </c>
      <c r="H89" s="66">
        <f t="shared" ca="1" si="4"/>
        <v>0.37166245566032224</v>
      </c>
      <c r="I89" s="67" t="str">
        <f t="shared" ca="1" si="5"/>
        <v/>
      </c>
      <c r="J89" s="68" t="str">
        <f t="shared" ca="1" si="6"/>
        <v>19日　</v>
      </c>
      <c r="K89" s="69" t="str">
        <f t="shared" ca="1" si="7"/>
        <v/>
      </c>
    </row>
    <row r="90" spans="4:11" s="33" customFormat="1" ht="17">
      <c r="D90" s="63">
        <v>20</v>
      </c>
      <c r="E90" s="50">
        <f t="shared" ca="1" si="8"/>
        <v>4887</v>
      </c>
      <c r="F90" s="64">
        <f t="shared" ca="1" si="4"/>
        <v>0.13616664909642701</v>
      </c>
      <c r="G90" s="65">
        <f t="shared" ca="1" si="4"/>
        <v>-0.22252093395629521</v>
      </c>
      <c r="H90" s="66">
        <f t="shared" ca="1" si="4"/>
        <v>0.54064081745554582</v>
      </c>
      <c r="I90" s="67" t="str">
        <f t="shared" ca="1" si="5"/>
        <v>20日　</v>
      </c>
      <c r="J90" s="68" t="str">
        <f t="shared" ca="1" si="6"/>
        <v/>
      </c>
      <c r="K90" s="69" t="str">
        <f t="shared" ca="1" si="7"/>
        <v/>
      </c>
    </row>
    <row r="91" spans="4:11" s="33" customFormat="1" ht="17">
      <c r="D91" s="63">
        <v>21</v>
      </c>
      <c r="E91" s="50">
        <f t="shared" ca="1" si="8"/>
        <v>4888</v>
      </c>
      <c r="F91" s="64">
        <f t="shared" ca="1" si="4"/>
        <v>-0.1361666490961338</v>
      </c>
      <c r="G91" s="65">
        <f t="shared" ca="1" si="4"/>
        <v>-0.43388373911753236</v>
      </c>
      <c r="H91" s="66">
        <f t="shared" ca="1" si="4"/>
        <v>0.69007901148210937</v>
      </c>
      <c r="I91" s="67" t="str">
        <f t="shared" ca="1" si="5"/>
        <v>21日　</v>
      </c>
      <c r="J91" s="68" t="str">
        <f t="shared" ca="1" si="6"/>
        <v/>
      </c>
      <c r="K91" s="69" t="str">
        <f t="shared" ca="1" si="7"/>
        <v/>
      </c>
    </row>
    <row r="92" spans="4:11" s="33" customFormat="1" ht="17">
      <c r="D92" s="63">
        <v>22</v>
      </c>
      <c r="E92" s="50">
        <f t="shared" ca="1" si="8"/>
        <v>4889</v>
      </c>
      <c r="F92" s="64">
        <f t="shared" ca="1" si="4"/>
        <v>-0.39840108984619965</v>
      </c>
      <c r="G92" s="65">
        <f t="shared" ca="1" si="4"/>
        <v>-0.62348980185870428</v>
      </c>
      <c r="H92" s="66">
        <f t="shared" ca="1" si="4"/>
        <v>0.81457595205030131</v>
      </c>
      <c r="I92" s="67" t="str">
        <f t="shared" ca="1" si="5"/>
        <v/>
      </c>
      <c r="J92" s="68" t="str">
        <f t="shared" ca="1" si="6"/>
        <v/>
      </c>
      <c r="K92" s="69" t="str">
        <f t="shared" ca="1" si="7"/>
        <v/>
      </c>
    </row>
    <row r="93" spans="4:11" s="33" customFormat="1" ht="17">
      <c r="D93" s="63">
        <v>23</v>
      </c>
      <c r="E93" s="50">
        <f t="shared" ca="1" si="8"/>
        <v>4890</v>
      </c>
      <c r="F93" s="64">
        <f t="shared" ca="1" si="4"/>
        <v>-0.6310879443260704</v>
      </c>
      <c r="G93" s="65">
        <f t="shared" ca="1" si="4"/>
        <v>-0.78183148246800094</v>
      </c>
      <c r="H93" s="66">
        <f t="shared" ca="1" si="4"/>
        <v>0.90963199535451777</v>
      </c>
      <c r="I93" s="67" t="str">
        <f t="shared" ca="1" si="5"/>
        <v/>
      </c>
      <c r="J93" s="68" t="str">
        <f t="shared" ca="1" si="6"/>
        <v/>
      </c>
      <c r="K93" s="69" t="str">
        <f t="shared" ca="1" si="7"/>
        <v/>
      </c>
    </row>
    <row r="94" spans="4:11" s="33" customFormat="1" ht="17">
      <c r="D94" s="63">
        <v>24</v>
      </c>
      <c r="E94" s="50">
        <f t="shared" ca="1" si="8"/>
        <v>4891</v>
      </c>
      <c r="F94" s="64">
        <f t="shared" ca="1" si="4"/>
        <v>-0.8169698930104945</v>
      </c>
      <c r="G94" s="65">
        <f t="shared" ca="1" si="4"/>
        <v>-0.90096886790239517</v>
      </c>
      <c r="H94" s="66">
        <f t="shared" ca="1" si="4"/>
        <v>0.97181156832355498</v>
      </c>
      <c r="I94" s="67" t="str">
        <f t="shared" ca="1" si="5"/>
        <v/>
      </c>
      <c r="J94" s="68" t="str">
        <f t="shared" ca="1" si="6"/>
        <v/>
      </c>
      <c r="K94" s="69" t="str">
        <f t="shared" ca="1" si="7"/>
        <v/>
      </c>
    </row>
    <row r="95" spans="4:11" s="33" customFormat="1" ht="17">
      <c r="D95" s="63">
        <v>25</v>
      </c>
      <c r="E95" s="50">
        <f t="shared" ca="1" si="8"/>
        <v>4892</v>
      </c>
      <c r="F95" s="64">
        <f t="shared" ca="1" si="4"/>
        <v>-0.94226092211879764</v>
      </c>
      <c r="G95" s="65">
        <f t="shared" ca="1" si="4"/>
        <v>-0.9749279121818093</v>
      </c>
      <c r="H95" s="66">
        <f t="shared" ca="1" si="4"/>
        <v>0.99886733918300263</v>
      </c>
      <c r="I95" s="67" t="str">
        <f t="shared" ca="1" si="5"/>
        <v/>
      </c>
      <c r="J95" s="68" t="str">
        <f t="shared" ca="1" si="6"/>
        <v/>
      </c>
      <c r="K95" s="69" t="str">
        <f t="shared" ca="1" si="7"/>
        <v/>
      </c>
    </row>
    <row r="96" spans="4:11" s="33" customFormat="1" ht="17">
      <c r="D96" s="63">
        <v>26</v>
      </c>
      <c r="E96" s="50">
        <f t="shared" ca="1" si="8"/>
        <v>4893</v>
      </c>
      <c r="F96" s="64">
        <f t="shared" ca="1" si="4"/>
        <v>-0.99766876919053915</v>
      </c>
      <c r="G96" s="65">
        <f t="shared" ca="1" si="4"/>
        <v>-1</v>
      </c>
      <c r="H96" s="66">
        <f t="shared" ca="1" si="4"/>
        <v>0.98982144188094057</v>
      </c>
      <c r="I96" s="67" t="str">
        <f t="shared" ca="1" si="5"/>
        <v/>
      </c>
      <c r="J96" s="68" t="str">
        <f t="shared" ca="1" si="6"/>
        <v/>
      </c>
      <c r="K96" s="69" t="str">
        <f t="shared" ca="1" si="7"/>
        <v/>
      </c>
    </row>
    <row r="97" spans="4:14" s="33" customFormat="1" ht="17">
      <c r="D97" s="63">
        <v>27</v>
      </c>
      <c r="E97" s="50">
        <f t="shared" ca="1" si="8"/>
        <v>4894</v>
      </c>
      <c r="F97" s="64">
        <f t="shared" ca="1" si="4"/>
        <v>-0.97908408768235522</v>
      </c>
      <c r="G97" s="65">
        <f t="shared" ca="1" si="4"/>
        <v>-0.97492791218184183</v>
      </c>
      <c r="H97" s="66">
        <f t="shared" ca="1" si="4"/>
        <v>0.94500081871466757</v>
      </c>
      <c r="I97" s="67" t="str">
        <f t="shared" ca="1" si="5"/>
        <v/>
      </c>
      <c r="J97" s="68" t="str">
        <f t="shared" ca="1" si="6"/>
        <v/>
      </c>
      <c r="K97" s="69" t="str">
        <f t="shared" ca="1" si="7"/>
        <v/>
      </c>
    </row>
    <row r="98" spans="4:14" s="33" customFormat="1" ht="17">
      <c r="D98" s="63">
        <v>28</v>
      </c>
      <c r="E98" s="50">
        <f t="shared" ca="1" si="8"/>
        <v>4895</v>
      </c>
      <c r="F98" s="64">
        <f t="shared" ca="1" si="4"/>
        <v>-0.88788521840241696</v>
      </c>
      <c r="G98" s="65">
        <f t="shared" ca="1" si="4"/>
        <v>-0.90096886790245856</v>
      </c>
      <c r="H98" s="66">
        <f t="shared" ca="1" si="4"/>
        <v>0.86602540378446513</v>
      </c>
      <c r="I98" s="67" t="str">
        <f t="shared" ca="1" si="5"/>
        <v/>
      </c>
      <c r="J98" s="68" t="str">
        <f t="shared" ca="1" si="6"/>
        <v/>
      </c>
      <c r="K98" s="69" t="str">
        <f t="shared" ca="1" si="7"/>
        <v/>
      </c>
    </row>
    <row r="99" spans="4:14" s="33" customFormat="1" ht="17">
      <c r="D99" s="63">
        <f ca="1">IF(D98&lt;C$74,D98+1,"")</f>
        <v>29</v>
      </c>
      <c r="E99" s="50">
        <f t="shared" ca="1" si="8"/>
        <v>4896</v>
      </c>
      <c r="F99" s="64">
        <f t="shared" ca="1" si="4"/>
        <v>-0.73083596427813946</v>
      </c>
      <c r="G99" s="65">
        <f t="shared" ca="1" si="4"/>
        <v>-0.78183148246809198</v>
      </c>
      <c r="H99" s="66">
        <f t="shared" ca="1" si="4"/>
        <v>0.75574957435425505</v>
      </c>
      <c r="I99" s="67" t="str">
        <f t="shared" ca="1" si="5"/>
        <v/>
      </c>
      <c r="J99" s="68" t="str">
        <f t="shared" ca="1" si="6"/>
        <v/>
      </c>
      <c r="K99" s="69" t="str">
        <f t="shared" ca="1" si="7"/>
        <v/>
      </c>
    </row>
    <row r="100" spans="4:14" s="33" customFormat="1" ht="17">
      <c r="D100" s="63">
        <f ca="1">IF(D99&lt;C$74,D99+1,"")</f>
        <v>30</v>
      </c>
      <c r="E100" s="50">
        <f t="shared" ca="1" si="8"/>
        <v>4897</v>
      </c>
      <c r="F100" s="64">
        <f t="shared" ca="1" si="4"/>
        <v>-0.51958395003539448</v>
      </c>
      <c r="G100" s="65">
        <f t="shared" ca="1" si="4"/>
        <v>-0.62348980185864067</v>
      </c>
      <c r="H100" s="66">
        <f t="shared" ca="1" si="4"/>
        <v>0.61815898622055576</v>
      </c>
      <c r="I100" s="67" t="str">
        <f t="shared" ca="1" si="5"/>
        <v/>
      </c>
      <c r="J100" s="68" t="str">
        <f t="shared" ca="1" si="6"/>
        <v/>
      </c>
      <c r="K100" s="69" t="str">
        <f t="shared" ca="1" si="7"/>
        <v/>
      </c>
    </row>
    <row r="101" spans="4:14" s="33" customFormat="1" ht="17">
      <c r="D101" s="63">
        <f ca="1">IF(D100&lt;C$74,D100+1,"")</f>
        <v>31</v>
      </c>
      <c r="E101" s="70">
        <f t="shared" ca="1" si="8"/>
        <v>4898</v>
      </c>
      <c r="F101" s="71">
        <f t="shared" ca="1" si="4"/>
        <v>-0.26979677115713341</v>
      </c>
      <c r="G101" s="72">
        <f t="shared" ca="1" si="4"/>
        <v>-0.43388373911766398</v>
      </c>
      <c r="H101" s="73">
        <f t="shared" ca="1" si="4"/>
        <v>0.45822652172750511</v>
      </c>
      <c r="I101" s="74" t="str">
        <f t="shared" ca="1" si="5"/>
        <v/>
      </c>
      <c r="J101" s="75" t="str">
        <f t="shared" ca="1" si="6"/>
        <v/>
      </c>
      <c r="K101" s="76" t="str">
        <f t="shared" ca="1" si="7"/>
        <v/>
      </c>
    </row>
    <row r="102" spans="4:14">
      <c r="D102" s="77"/>
      <c r="E102" s="78"/>
      <c r="F102" s="79"/>
      <c r="G102" s="79"/>
      <c r="H102" s="79"/>
      <c r="I102" s="80" t="str">
        <f ca="1">I71 &amp; I72 &amp; I73 &amp; I74 &amp; I75 &amp; I76 &amp; I77 &amp; I78 &amp; I79 &amp; I80 &amp; I81 &amp; I82 &amp; I83 &amp; I84 &amp; I85 &amp; I86 &amp; I87 &amp; I88 &amp; I89 &amp; I90 &amp; I91 &amp; I92 &amp; I93 &amp; I94 &amp; I95 &amp; I96 &amp; I97 &amp; I98 &amp; I99 &amp; I100 &amp; I101</f>
        <v>9日　20日　21日　</v>
      </c>
      <c r="J102" s="80" t="str">
        <f ca="1">J71 &amp; J72 &amp; J73 &amp; J74 &amp; J75 &amp; J76 &amp; J77 &amp; J78 &amp; J79 &amp; J80 &amp; J81 &amp; J82 &amp; J83 &amp; J84 &amp; J85 &amp; J86 &amp; J87 &amp; J88 &amp; J89 &amp; J90 &amp; J91 &amp; J92 &amp; J93 &amp; J94 &amp; J95 &amp; J96 &amp; J97 &amp; J98 &amp; J99 &amp; J100 &amp; J101</f>
        <v>5日　19日　</v>
      </c>
      <c r="K102" s="80" t="str">
        <f ca="1">K71 &amp; K72 &amp; K73 &amp; K74 &amp; K75 &amp; K76 &amp; K77 &amp; K78 &amp; K79 &amp; K80 &amp; K81 &amp; K82 &amp; K83 &amp; K84 &amp; K85 &amp; K86 &amp; K87 &amp; K88 &amp; K89 &amp; K90 &amp; K91 &amp; K92 &amp; K93 &amp; K94 &amp; K95 &amp; K96 &amp; K97 &amp; K98 &amp; K99 &amp; K100 &amp; K101</f>
        <v>1日　17日　</v>
      </c>
      <c r="L102" s="13"/>
      <c r="N102" s="33"/>
    </row>
    <row r="103" spans="4:14">
      <c r="N103" s="33"/>
    </row>
    <row r="104" spans="4:14">
      <c r="N104" s="33"/>
    </row>
    <row r="105" spans="4:14">
      <c r="N105" s="33"/>
    </row>
    <row r="106" spans="4:14">
      <c r="N106" s="33"/>
    </row>
    <row r="107" spans="4:14">
      <c r="N107" s="33"/>
    </row>
    <row r="108" spans="4:14">
      <c r="N108" s="33"/>
    </row>
    <row r="109" spans="4:14">
      <c r="N109" s="33"/>
    </row>
    <row r="110" spans="4:14">
      <c r="N110" s="33"/>
    </row>
    <row r="111" spans="4:14">
      <c r="N111" s="33"/>
    </row>
    <row r="112" spans="4:14">
      <c r="N112" s="33"/>
    </row>
    <row r="136" spans="3:3">
      <c r="C136" s="19" t="s">
        <v>219</v>
      </c>
    </row>
    <row r="187" spans="3:3">
      <c r="C187" s="19" t="s">
        <v>221</v>
      </c>
    </row>
    <row r="224" spans="3:3">
      <c r="C224" s="19" t="s">
        <v>220</v>
      </c>
    </row>
    <row r="375" spans="3:3">
      <c r="C375" s="19" t="s">
        <v>223</v>
      </c>
    </row>
    <row r="685" spans="3:3">
      <c r="C685" s="19" t="s">
        <v>222</v>
      </c>
    </row>
    <row r="686" spans="3:3">
      <c r="C686" s="19" t="s">
        <v>226</v>
      </c>
    </row>
    <row r="687" spans="3:3">
      <c r="C687" s="19"/>
    </row>
    <row r="688" spans="3:3">
      <c r="C688" s="19" t="s">
        <v>224</v>
      </c>
    </row>
    <row r="689" spans="3:3">
      <c r="C689" s="19" t="s">
        <v>225</v>
      </c>
    </row>
    <row r="690" spans="3:3">
      <c r="C690" s="19"/>
    </row>
  </sheetData>
  <mergeCells count="5">
    <mergeCell ref="K2:L2"/>
    <mergeCell ref="B4:H4"/>
    <mergeCell ref="C27:D27"/>
    <mergeCell ref="C26:D26"/>
    <mergeCell ref="B20:J20"/>
  </mergeCells>
  <phoneticPr fontId="2"/>
  <conditionalFormatting sqref="B26:B32 C26:H31">
    <cfRule type="cellIs" dxfId="1" priority="1" stopIfTrue="1" operator="equal">
      <formula>$D$74</formula>
    </cfRule>
  </conditionalFormatting>
  <conditionalFormatting sqref="B6:H11">
    <cfRule type="cellIs" dxfId="0" priority="2" stopIfTrue="1" operator="equal">
      <formula>$C$42</formula>
    </cfRule>
  </conditionalFormatting>
  <dataValidations xWindow="339" yWindow="88" count="2">
    <dataValidation type="date" imeMode="off" allowBlank="1" showInputMessage="1" showErrorMessage="1" errorTitle="エラー" error="入力データが不正です。" promptTitle="&lt;誕生日を入力&gt;" prompt="入力範囲は、_x000d_1901/1/1～_x000d_　2099/12/31" sqref="K2">
      <formula1>367</formula1>
      <formula2>73050</formula2>
    </dataValidation>
    <dataValidation type="date" imeMode="off" allowBlank="1" showInputMessage="1" showErrorMessage="1" errorTitle="エラー" error="入力データが不正です。" promptTitle="&lt;ﾊﾞｲｵﾘｽﾞﾑ表示月を入力&gt;" prompt="入力範囲は誕生日翌月から。_x000d_ &quot;=Now( )&quot;で 常時当月表示。" sqref="C27:D27">
      <formula1>#REF!</formula1>
      <formula2>73050</formula2>
    </dataValidation>
  </dataValidations>
  <pageMargins left="0.39" right="0.12" top="0.98399999999999999" bottom="0.79" header="0.51200000000000001" footer="0.79"/>
  <pageSetup paperSize="9" orientation="portrait" horizontalDpi="160" verticalDpi="1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ﾄｯﾌﾟ</vt:lpstr>
      <vt:lpstr>誕生日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誕生日とﾊﾞｲｵﾘｽﾞﾑ</dc:title>
  <dc:creator>古河勝</dc:creator>
  <cp:lastModifiedBy>Le Hai</cp:lastModifiedBy>
  <cp:lastPrinted>2007-07-15T21:43:44Z</cp:lastPrinted>
  <dcterms:created xsi:type="dcterms:W3CDTF">2000-11-19T02:23:49Z</dcterms:created>
  <dcterms:modified xsi:type="dcterms:W3CDTF">2014-05-14T06:31:40Z</dcterms:modified>
</cp:coreProperties>
</file>