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D:\shared\Dokumente\codebase\avr-rid\"/>
    </mc:Choice>
  </mc:AlternateContent>
  <xr:revisionPtr revIDLastSave="0" documentId="13_ncr:1_{FFB6CADC-D267-4C00-8B0C-44001A0E94B9}" xr6:coauthVersionLast="36" xr6:coauthVersionMax="36" xr10:uidLastSave="{00000000-0000-0000-0000-000000000000}"/>
  <bookViews>
    <workbookView xWindow="3860" yWindow="0" windowWidth="36500" windowHeight="18320" xr2:uid="{F31E432E-1247-4F18-8B99-AC2EE1672703}"/>
  </bookViews>
  <sheets>
    <sheet name="Sheet1" sheetId="1" r:id="rId1"/>
  </sheet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0" i="1" l="1"/>
  <c r="C52" i="1"/>
  <c r="E5" i="1" s="1"/>
  <c r="W8" i="1" l="1"/>
  <c r="Z7" i="1"/>
  <c r="AB7" i="1" s="1"/>
  <c r="Z9" i="1"/>
  <c r="AB9" i="1" s="1"/>
  <c r="Z11" i="1"/>
  <c r="AB11" i="1" s="1"/>
  <c r="Z13" i="1"/>
  <c r="AB13" i="1" s="1"/>
  <c r="Z37" i="1"/>
  <c r="AB37" i="1" s="1"/>
  <c r="Z39" i="1"/>
  <c r="AB39" i="1" s="1"/>
  <c r="Z41" i="1"/>
  <c r="AB41" i="1" s="1"/>
  <c r="Z43" i="1"/>
  <c r="E6" i="1"/>
  <c r="S43"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N5" i="1"/>
  <c r="M5" i="1"/>
  <c r="J5" i="1"/>
  <c r="I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5"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AD41" i="1" l="1"/>
  <c r="AE41" i="1"/>
  <c r="AE39" i="1"/>
  <c r="AD39" i="1"/>
  <c r="AE37" i="1"/>
  <c r="AD37" i="1"/>
  <c r="AE13" i="1"/>
  <c r="AD13" i="1"/>
  <c r="AD11" i="1"/>
  <c r="AE11" i="1"/>
  <c r="AD9" i="1"/>
  <c r="AE9" i="1"/>
  <c r="AE7" i="1"/>
  <c r="AD7" i="1"/>
  <c r="W5" i="1"/>
  <c r="W28" i="1"/>
  <c r="V28" i="1"/>
  <c r="V12" i="1"/>
  <c r="V5" i="1"/>
  <c r="W40" i="1"/>
  <c r="V40" i="1"/>
  <c r="V24" i="1"/>
  <c r="W24" i="1"/>
  <c r="W36" i="1"/>
  <c r="W20" i="1"/>
  <c r="V36" i="1"/>
  <c r="V20" i="1"/>
  <c r="W16" i="1"/>
  <c r="W32" i="1"/>
  <c r="V32" i="1"/>
  <c r="W12" i="1"/>
  <c r="W3" i="1"/>
  <c r="J43" i="1"/>
  <c r="H23" i="1"/>
  <c r="V16" i="1"/>
  <c r="V8" i="1"/>
  <c r="W35" i="1"/>
  <c r="V39" i="1"/>
  <c r="V35" i="1"/>
  <c r="V31" i="1"/>
  <c r="V27" i="1"/>
  <c r="V23" i="1"/>
  <c r="V19" i="1"/>
  <c r="V15" i="1"/>
  <c r="V11" i="1"/>
  <c r="V7" i="1"/>
  <c r="W39" i="1"/>
  <c r="W7" i="1"/>
  <c r="W42" i="1"/>
  <c r="W38" i="1"/>
  <c r="W34" i="1"/>
  <c r="W30" i="1"/>
  <c r="W26" i="1"/>
  <c r="W22" i="1"/>
  <c r="W18" i="1"/>
  <c r="W14" i="1"/>
  <c r="W10" i="1"/>
  <c r="W6" i="1"/>
  <c r="W19" i="1"/>
  <c r="V42" i="1"/>
  <c r="V38" i="1"/>
  <c r="V34" i="1"/>
  <c r="V30" i="1"/>
  <c r="V26" i="1"/>
  <c r="V22" i="1"/>
  <c r="V18" i="1"/>
  <c r="V14" i="1"/>
  <c r="V10" i="1"/>
  <c r="X8" i="1" s="1"/>
  <c r="Z8" i="1" s="1"/>
  <c r="AB8" i="1" s="1"/>
  <c r="V6" i="1"/>
  <c r="W31" i="1"/>
  <c r="W11" i="1"/>
  <c r="W41" i="1"/>
  <c r="W37" i="1"/>
  <c r="W33" i="1"/>
  <c r="W29" i="1"/>
  <c r="W25" i="1"/>
  <c r="W21" i="1"/>
  <c r="W17" i="1"/>
  <c r="W13" i="1"/>
  <c r="W9" i="1"/>
  <c r="Z4" i="1"/>
  <c r="W27" i="1"/>
  <c r="W23" i="1"/>
  <c r="W15" i="1"/>
  <c r="V41" i="1"/>
  <c r="V37" i="1"/>
  <c r="V33" i="1"/>
  <c r="X32" i="1" s="1"/>
  <c r="Z32" i="1" s="1"/>
  <c r="AB32" i="1" s="1"/>
  <c r="V29" i="1"/>
  <c r="V25" i="1"/>
  <c r="V21" i="1"/>
  <c r="V17" i="1"/>
  <c r="V13" i="1"/>
  <c r="V9" i="1"/>
  <c r="Y8" i="1" s="1"/>
  <c r="G27" i="1"/>
  <c r="H22" i="1"/>
  <c r="G26" i="1"/>
  <c r="G25" i="1"/>
  <c r="H20" i="1"/>
  <c r="H28" i="1"/>
  <c r="H24" i="1"/>
  <c r="G21" i="1"/>
  <c r="G22" i="1"/>
  <c r="H27" i="1"/>
  <c r="G24" i="1"/>
  <c r="G23" i="1"/>
  <c r="H21" i="1"/>
  <c r="H26" i="1"/>
  <c r="H25" i="1"/>
  <c r="S41" i="1"/>
  <c r="T41" i="1"/>
  <c r="S7" i="1"/>
  <c r="T7" i="1"/>
  <c r="S9" i="1"/>
  <c r="T9" i="1"/>
  <c r="S11" i="1"/>
  <c r="T11" i="1"/>
  <c r="S13" i="1"/>
  <c r="T13" i="1"/>
  <c r="S37" i="1"/>
  <c r="T37" i="1"/>
  <c r="S39" i="1"/>
  <c r="T39" i="1"/>
  <c r="T4" i="1"/>
  <c r="S4" i="1"/>
  <c r="R4" i="1"/>
  <c r="R7" i="1"/>
  <c r="R9" i="1"/>
  <c r="R11" i="1"/>
  <c r="R13" i="1"/>
  <c r="R37" i="1"/>
  <c r="R39" i="1"/>
  <c r="R41" i="1"/>
  <c r="N3" i="1"/>
  <c r="J3" i="1"/>
  <c r="F3" i="1"/>
  <c r="P11" i="1"/>
  <c r="P12" i="1"/>
  <c r="P19" i="1"/>
  <c r="P20" i="1"/>
  <c r="P28" i="1"/>
  <c r="P29" i="1"/>
  <c r="P36" i="1"/>
  <c r="P37" i="1"/>
  <c r="L19" i="1"/>
  <c r="L36" i="1"/>
  <c r="P23" i="1"/>
  <c r="L23" i="1"/>
  <c r="H9" i="1"/>
  <c r="G38" i="1"/>
  <c r="R38" i="1" s="1"/>
  <c r="O40" i="1"/>
  <c r="H14" i="1"/>
  <c r="P14" i="1"/>
  <c r="O15" i="1"/>
  <c r="T15" i="1" s="1"/>
  <c r="P34" i="1"/>
  <c r="H34" i="1"/>
  <c r="L6" i="1"/>
  <c r="L7" i="1"/>
  <c r="L8" i="1"/>
  <c r="L10" i="1"/>
  <c r="L11" i="1"/>
  <c r="L12" i="1"/>
  <c r="L16" i="1"/>
  <c r="L17" i="1"/>
  <c r="L20" i="1"/>
  <c r="L21" i="1"/>
  <c r="K23" i="1"/>
  <c r="S23" i="1" s="1"/>
  <c r="L24" i="1"/>
  <c r="L25" i="1"/>
  <c r="K27" i="1"/>
  <c r="S27" i="1" s="1"/>
  <c r="L28" i="1"/>
  <c r="L29" i="1"/>
  <c r="L31" i="1"/>
  <c r="L32" i="1"/>
  <c r="L33" i="1"/>
  <c r="L37" i="1"/>
  <c r="L38" i="1"/>
  <c r="P5" i="1"/>
  <c r="P6" i="1"/>
  <c r="P7" i="1"/>
  <c r="P8" i="1"/>
  <c r="O8" i="1"/>
  <c r="T8" i="1" s="1"/>
  <c r="P10" i="1"/>
  <c r="O12" i="1"/>
  <c r="T12" i="1" s="1"/>
  <c r="P15" i="1"/>
  <c r="P17" i="1"/>
  <c r="P18" i="1"/>
  <c r="P21" i="1"/>
  <c r="P22" i="1"/>
  <c r="P24" i="1"/>
  <c r="P25" i="1"/>
  <c r="P26" i="1"/>
  <c r="P27" i="1"/>
  <c r="P30" i="1"/>
  <c r="P31" i="1"/>
  <c r="P32" i="1"/>
  <c r="P33" i="1"/>
  <c r="O34" i="1"/>
  <c r="T34" i="1" s="1"/>
  <c r="P35" i="1"/>
  <c r="O36" i="1"/>
  <c r="T36" i="1" s="1"/>
  <c r="P38" i="1"/>
  <c r="P39" i="1"/>
  <c r="P40" i="1"/>
  <c r="P41" i="1"/>
  <c r="H6" i="1"/>
  <c r="H7" i="1"/>
  <c r="H8" i="1"/>
  <c r="H10" i="1"/>
  <c r="H11" i="1"/>
  <c r="H12" i="1"/>
  <c r="G15" i="1"/>
  <c r="R15" i="1" s="1"/>
  <c r="G16" i="1"/>
  <c r="R16" i="1" s="1"/>
  <c r="H17" i="1"/>
  <c r="H18" i="1"/>
  <c r="H19" i="1"/>
  <c r="H29" i="1"/>
  <c r="H30" i="1"/>
  <c r="H31" i="1"/>
  <c r="H32" i="1"/>
  <c r="H33" i="1"/>
  <c r="G35" i="1"/>
  <c r="R35" i="1" s="1"/>
  <c r="H36" i="1"/>
  <c r="H37" i="1"/>
  <c r="H38" i="1"/>
  <c r="H39" i="1"/>
  <c r="H40" i="1"/>
  <c r="G40" i="1"/>
  <c r="AE32" i="1" l="1"/>
  <c r="AD32" i="1"/>
  <c r="AE8" i="1"/>
  <c r="AD8" i="1"/>
  <c r="Y39" i="1"/>
  <c r="Y28" i="1"/>
  <c r="Y36" i="1"/>
  <c r="Y40" i="1"/>
  <c r="X10" i="1"/>
  <c r="Z10" i="1" s="1"/>
  <c r="AB10" i="1" s="1"/>
  <c r="X40" i="1"/>
  <c r="Z40" i="1" s="1"/>
  <c r="AB40" i="1" s="1"/>
  <c r="Y16" i="1"/>
  <c r="Y11" i="1"/>
  <c r="X5" i="1"/>
  <c r="X36" i="1"/>
  <c r="Z36" i="1" s="1"/>
  <c r="AB36" i="1" s="1"/>
  <c r="Y23" i="1"/>
  <c r="X27" i="1"/>
  <c r="Z27" i="1" s="1"/>
  <c r="X38" i="1"/>
  <c r="Z38" i="1" s="1"/>
  <c r="AB38" i="1" s="1"/>
  <c r="X31" i="1"/>
  <c r="Z31" i="1" s="1"/>
  <c r="AB31" i="1" s="1"/>
  <c r="Y31" i="1"/>
  <c r="X35" i="1"/>
  <c r="Z35" i="1" s="1"/>
  <c r="AB35" i="1" s="1"/>
  <c r="X12" i="1"/>
  <c r="Z12" i="1" s="1"/>
  <c r="AB12" i="1" s="1"/>
  <c r="X24" i="1"/>
  <c r="Z24" i="1" s="1"/>
  <c r="AB24" i="1" s="1"/>
  <c r="Y12" i="1"/>
  <c r="Y27" i="1"/>
  <c r="Y17" i="1"/>
  <c r="Y22" i="1"/>
  <c r="Y35" i="1"/>
  <c r="Y34" i="1"/>
  <c r="X20" i="1"/>
  <c r="Z20" i="1" s="1"/>
  <c r="AB20" i="1" s="1"/>
  <c r="Y14" i="1"/>
  <c r="Y33" i="1"/>
  <c r="X19" i="1"/>
  <c r="Z19" i="1" s="1"/>
  <c r="AB19" i="1" s="1"/>
  <c r="X33" i="1"/>
  <c r="Z33" i="1" s="1"/>
  <c r="AB33" i="1" s="1"/>
  <c r="X17" i="1"/>
  <c r="Z17" i="1" s="1"/>
  <c r="AB17" i="1" s="1"/>
  <c r="Y19" i="1"/>
  <c r="Y24" i="1"/>
  <c r="Y6" i="1"/>
  <c r="X28" i="1"/>
  <c r="Z28" i="1" s="1"/>
  <c r="AB28" i="1" s="1"/>
  <c r="X15" i="1"/>
  <c r="Z15" i="1" s="1"/>
  <c r="AB15" i="1" s="1"/>
  <c r="I43" i="1"/>
  <c r="L42" i="1" s="1"/>
  <c r="N43" i="1"/>
  <c r="V43" i="1"/>
  <c r="Y42" i="1" s="1"/>
  <c r="E43" i="1"/>
  <c r="F43" i="1"/>
  <c r="W43" i="1"/>
  <c r="M43" i="1"/>
  <c r="P42" i="1" s="1"/>
  <c r="Y5" i="1"/>
  <c r="Y15" i="1"/>
  <c r="Y37" i="1"/>
  <c r="Y21" i="1"/>
  <c r="Y9" i="1"/>
  <c r="Y41" i="1"/>
  <c r="Y25" i="1"/>
  <c r="X14" i="1"/>
  <c r="Z14" i="1" s="1"/>
  <c r="AB14" i="1" s="1"/>
  <c r="Y7" i="1"/>
  <c r="X30" i="1"/>
  <c r="Z30" i="1" s="1"/>
  <c r="AB30" i="1" s="1"/>
  <c r="Y13" i="1"/>
  <c r="X29" i="1"/>
  <c r="Z29" i="1" s="1"/>
  <c r="AB29" i="1" s="1"/>
  <c r="Y18" i="1"/>
  <c r="Y29" i="1"/>
  <c r="X26" i="1"/>
  <c r="Z26" i="1" s="1"/>
  <c r="AB26" i="1" s="1"/>
  <c r="X16" i="1"/>
  <c r="Z16" i="1" s="1"/>
  <c r="AB16" i="1" s="1"/>
  <c r="Y20" i="1"/>
  <c r="Y26" i="1"/>
  <c r="Y10" i="1"/>
  <c r="X23" i="1"/>
  <c r="Z23" i="1" s="1"/>
  <c r="X6" i="1"/>
  <c r="Z6" i="1" s="1"/>
  <c r="AB6" i="1" s="1"/>
  <c r="X21" i="1"/>
  <c r="Z21" i="1" s="1"/>
  <c r="AB21" i="1" s="1"/>
  <c r="X25" i="1"/>
  <c r="Z25" i="1" s="1"/>
  <c r="AB25" i="1" s="1"/>
  <c r="Y32" i="1"/>
  <c r="X34" i="1"/>
  <c r="Z34" i="1" s="1"/>
  <c r="AB34" i="1" s="1"/>
  <c r="Y38" i="1"/>
  <c r="Y30" i="1"/>
  <c r="X18" i="1"/>
  <c r="Z18" i="1" s="1"/>
  <c r="AB18" i="1" s="1"/>
  <c r="X22" i="1"/>
  <c r="Z22" i="1" s="1"/>
  <c r="AB22" i="1" s="1"/>
  <c r="T40" i="1"/>
  <c r="T42" i="1"/>
  <c r="R40" i="1"/>
  <c r="R42" i="1"/>
  <c r="G36" i="1"/>
  <c r="R36" i="1" s="1"/>
  <c r="O17" i="1"/>
  <c r="T17" i="1" s="1"/>
  <c r="L34" i="1"/>
  <c r="H35" i="1"/>
  <c r="P9" i="1"/>
  <c r="G14" i="1"/>
  <c r="R14" i="1" s="1"/>
  <c r="O16" i="1"/>
  <c r="T16" i="1" s="1"/>
  <c r="L40" i="1"/>
  <c r="O14" i="1"/>
  <c r="T14" i="1" s="1"/>
  <c r="O38" i="1"/>
  <c r="T38" i="1" s="1"/>
  <c r="H41" i="1"/>
  <c r="H16" i="1"/>
  <c r="P16" i="1"/>
  <c r="L15" i="1"/>
  <c r="H15" i="1"/>
  <c r="G12" i="1"/>
  <c r="R12" i="1" s="1"/>
  <c r="G5" i="1"/>
  <c r="L39" i="1"/>
  <c r="L35" i="1"/>
  <c r="G34" i="1"/>
  <c r="R34" i="1" s="1"/>
  <c r="K30" i="1"/>
  <c r="S30" i="1" s="1"/>
  <c r="L26" i="1"/>
  <c r="L22" i="1"/>
  <c r="L18" i="1"/>
  <c r="L13" i="1"/>
  <c r="L9" i="1"/>
  <c r="K5" i="1"/>
  <c r="L14" i="1"/>
  <c r="H13" i="1"/>
  <c r="H5" i="1"/>
  <c r="P13" i="1"/>
  <c r="L30" i="1"/>
  <c r="L5" i="1"/>
  <c r="L27" i="1"/>
  <c r="K40" i="1"/>
  <c r="S42" i="1" s="1"/>
  <c r="K10" i="1"/>
  <c r="S10" i="1" s="1"/>
  <c r="K6" i="1"/>
  <c r="S6" i="1" s="1"/>
  <c r="L41" i="1"/>
  <c r="K15" i="1"/>
  <c r="S15" i="1" s="1"/>
  <c r="K26" i="1"/>
  <c r="S26" i="1" s="1"/>
  <c r="K22" i="1"/>
  <c r="S22" i="1" s="1"/>
  <c r="K14" i="1"/>
  <c r="S14" i="1" s="1"/>
  <c r="K36" i="1"/>
  <c r="S36" i="1" s="1"/>
  <c r="K38" i="1"/>
  <c r="S38" i="1" s="1"/>
  <c r="K8" i="1"/>
  <c r="S8" i="1" s="1"/>
  <c r="AA8" i="1" s="1"/>
  <c r="K34" i="1"/>
  <c r="S34" i="1" s="1"/>
  <c r="K18" i="1"/>
  <c r="S18" i="1" s="1"/>
  <c r="K35" i="1"/>
  <c r="S35" i="1" s="1"/>
  <c r="K16" i="1"/>
  <c r="S16" i="1" s="1"/>
  <c r="K31" i="1"/>
  <c r="S31" i="1" s="1"/>
  <c r="K19" i="1"/>
  <c r="S19" i="1" s="1"/>
  <c r="O5" i="1"/>
  <c r="K12" i="1"/>
  <c r="S12" i="1" s="1"/>
  <c r="O35" i="1"/>
  <c r="T35" i="1" s="1"/>
  <c r="K33" i="1"/>
  <c r="S33" i="1" s="1"/>
  <c r="K29" i="1"/>
  <c r="S29" i="1" s="1"/>
  <c r="K25" i="1"/>
  <c r="S25" i="1" s="1"/>
  <c r="K21" i="1"/>
  <c r="S21" i="1" s="1"/>
  <c r="K17" i="1"/>
  <c r="S17" i="1" s="1"/>
  <c r="K32" i="1"/>
  <c r="S32" i="1" s="1"/>
  <c r="AA32" i="1" s="1"/>
  <c r="K28" i="1"/>
  <c r="S28" i="1" s="1"/>
  <c r="K24" i="1"/>
  <c r="S24" i="1" s="1"/>
  <c r="K20" i="1"/>
  <c r="S20" i="1" s="1"/>
  <c r="G8" i="1"/>
  <c r="R8" i="1" s="1"/>
  <c r="O20" i="1"/>
  <c r="T20" i="1" s="1"/>
  <c r="O6" i="1"/>
  <c r="T6" i="1" s="1"/>
  <c r="G6" i="1"/>
  <c r="R6" i="1" s="1"/>
  <c r="O10" i="1"/>
  <c r="T10" i="1" s="1"/>
  <c r="G10" i="1"/>
  <c r="R10" i="1" s="1"/>
  <c r="G28" i="1"/>
  <c r="R28" i="1" s="1"/>
  <c r="R27" i="1"/>
  <c r="G19" i="1"/>
  <c r="R19" i="1" s="1"/>
  <c r="G20" i="1"/>
  <c r="R20" i="1" s="1"/>
  <c r="O25" i="1"/>
  <c r="T25" i="1" s="1"/>
  <c r="R26" i="1"/>
  <c r="G18" i="1"/>
  <c r="R18" i="1" s="1"/>
  <c r="G30" i="1"/>
  <c r="R30" i="1" s="1"/>
  <c r="R22" i="1"/>
  <c r="R25" i="1"/>
  <c r="G17" i="1"/>
  <c r="R17" i="1" s="1"/>
  <c r="O28" i="1"/>
  <c r="T28" i="1" s="1"/>
  <c r="G29" i="1"/>
  <c r="R29" i="1" s="1"/>
  <c r="R21" i="1"/>
  <c r="O24" i="1"/>
  <c r="T24" i="1" s="1"/>
  <c r="O31" i="1"/>
  <c r="T31" i="1" s="1"/>
  <c r="O23" i="1"/>
  <c r="T23" i="1" s="1"/>
  <c r="O22" i="1"/>
  <c r="T22" i="1" s="1"/>
  <c r="O29" i="1"/>
  <c r="T29" i="1" s="1"/>
  <c r="O21" i="1"/>
  <c r="T21" i="1" s="1"/>
  <c r="O27" i="1"/>
  <c r="T27" i="1" s="1"/>
  <c r="O19" i="1"/>
  <c r="T19" i="1" s="1"/>
  <c r="O33" i="1"/>
  <c r="T33" i="1" s="1"/>
  <c r="O30" i="1"/>
  <c r="T30" i="1" s="1"/>
  <c r="O26" i="1"/>
  <c r="T26" i="1" s="1"/>
  <c r="O18" i="1"/>
  <c r="T18" i="1" s="1"/>
  <c r="R24" i="1"/>
  <c r="G31" i="1"/>
  <c r="R31" i="1" s="1"/>
  <c r="R23" i="1"/>
  <c r="O32" i="1"/>
  <c r="T32" i="1" s="1"/>
  <c r="G32" i="1"/>
  <c r="R32" i="1" s="1"/>
  <c r="G33" i="1"/>
  <c r="R33" i="1" s="1"/>
  <c r="AD38" i="1" l="1"/>
  <c r="AE38" i="1"/>
  <c r="AD19" i="1"/>
  <c r="AE19" i="1"/>
  <c r="AD34" i="1"/>
  <c r="AE34" i="1"/>
  <c r="AE15" i="1"/>
  <c r="AD15" i="1"/>
  <c r="AD10" i="1"/>
  <c r="AE10" i="1"/>
  <c r="AD30" i="1"/>
  <c r="AE30" i="1"/>
  <c r="AA27" i="1"/>
  <c r="AB27" i="1"/>
  <c r="AD16" i="1"/>
  <c r="AE16" i="1"/>
  <c r="AE14" i="1"/>
  <c r="AD14" i="1"/>
  <c r="AD28" i="1"/>
  <c r="AE28" i="1"/>
  <c r="AE24" i="1"/>
  <c r="AD24" i="1"/>
  <c r="AE36" i="1"/>
  <c r="AD36" i="1"/>
  <c r="AD33" i="1"/>
  <c r="AE33" i="1"/>
  <c r="AD25" i="1"/>
  <c r="AE25" i="1"/>
  <c r="AD26" i="1"/>
  <c r="AE26" i="1"/>
  <c r="AE20" i="1"/>
  <c r="AD20" i="1"/>
  <c r="AE12" i="1"/>
  <c r="AD12" i="1"/>
  <c r="Z5" i="1"/>
  <c r="AB5" i="1" s="1"/>
  <c r="AE22" i="1"/>
  <c r="AD22" i="1"/>
  <c r="AD6" i="1"/>
  <c r="AE6" i="1"/>
  <c r="AE21" i="1"/>
  <c r="AD21" i="1"/>
  <c r="AD35" i="1"/>
  <c r="AE35" i="1"/>
  <c r="AD18" i="1"/>
  <c r="AE18" i="1"/>
  <c r="AA23" i="1"/>
  <c r="AB23" i="1"/>
  <c r="AE29" i="1"/>
  <c r="AD29" i="1"/>
  <c r="AD17" i="1"/>
  <c r="AE17" i="1"/>
  <c r="AE31" i="1"/>
  <c r="AD31" i="1"/>
  <c r="AE40" i="1"/>
  <c r="AD40" i="1"/>
  <c r="Z42" i="1"/>
  <c r="AA12" i="1"/>
  <c r="AA10" i="1"/>
  <c r="AA20" i="1"/>
  <c r="AA38" i="1"/>
  <c r="AA19" i="1"/>
  <c r="AA36" i="1"/>
  <c r="AA35" i="1"/>
  <c r="AA31" i="1"/>
  <c r="AA24" i="1"/>
  <c r="AA28" i="1"/>
  <c r="AA14" i="1"/>
  <c r="AA33" i="1"/>
  <c r="AA17" i="1"/>
  <c r="AA29" i="1"/>
  <c r="AA15" i="1"/>
  <c r="AA30" i="1"/>
  <c r="X42" i="1"/>
  <c r="K42" i="1"/>
  <c r="O42" i="1"/>
  <c r="H42" i="1"/>
  <c r="G42" i="1"/>
  <c r="AA26" i="1"/>
  <c r="AA25" i="1"/>
  <c r="AA16" i="1"/>
  <c r="AA21" i="1"/>
  <c r="S5" i="1"/>
  <c r="AA22" i="1"/>
  <c r="AA6" i="1"/>
  <c r="AA18" i="1"/>
  <c r="AA34" i="1"/>
  <c r="T5" i="1"/>
  <c r="R5" i="1"/>
  <c r="S40" i="1"/>
  <c r="AA40" i="1" s="1"/>
  <c r="AE23" i="1" l="1"/>
  <c r="AD23" i="1"/>
  <c r="AA42" i="1"/>
  <c r="AB42" i="1"/>
  <c r="AD27" i="1"/>
  <c r="AE27" i="1"/>
  <c r="AD5" i="1"/>
  <c r="AE5" i="1"/>
  <c r="AA5" i="1"/>
  <c r="AD42" i="1" l="1"/>
  <c r="AE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Dennis</author>
  </authors>
  <commentList>
    <comment ref="S3" authorId="0" shapeId="0" xr:uid="{7EED763C-47EE-4DF0-B960-A3C4FFAAAD2D}">
      <text>
        <r>
          <rPr>
            <sz val="9"/>
            <color indexed="81"/>
            <rFont val="Tahoma"/>
            <family val="2"/>
          </rPr>
          <t>after threshold is reached, jump to next ID</t>
        </r>
      </text>
    </comment>
    <comment ref="B4" authorId="0" shapeId="0" xr:uid="{AC9B9C5F-627C-49AE-822F-31438AB230CE}">
      <text>
        <r>
          <rPr>
            <sz val="9"/>
            <color indexed="81"/>
            <rFont val="Tahoma"/>
            <family val="2"/>
          </rPr>
          <t>ID number generated by algorithm</t>
        </r>
      </text>
    </comment>
    <comment ref="C4" authorId="0" shapeId="0" xr:uid="{65BF88F9-946F-49E0-93BA-5A0504618000}">
      <text>
        <r>
          <rPr>
            <sz val="9"/>
            <color indexed="81"/>
            <rFont val="Tahoma"/>
            <family val="2"/>
          </rPr>
          <t>external resistor value acting as an ID value</t>
        </r>
      </text>
    </comment>
    <comment ref="G4" authorId="0" shapeId="0" xr:uid="{75A4195E-AD0B-4236-8035-78406BF8A015}">
      <text>
        <r>
          <rPr>
            <sz val="9"/>
            <color indexed="81"/>
            <rFont val="Tahoma"/>
            <charset val="1"/>
          </rPr>
          <t xml:space="preserve">difference between row's max value and the next row's min value. Some margin required for reliable operation, see constant table.
1st colum skipps some values to assure precision, 2nd colum are the raw data values.
</t>
        </r>
      </text>
    </comment>
    <comment ref="C43" authorId="0" shapeId="0" xr:uid="{CE3291E9-2890-43DF-94AB-50EEEF090C2C}">
      <text>
        <r>
          <rPr>
            <sz val="9"/>
            <color indexed="81"/>
            <rFont val="Tahoma"/>
            <family val="2"/>
          </rPr>
          <t>consider as open circuit; needs clean PCB to work</t>
        </r>
      </text>
    </comment>
    <comment ref="B50" authorId="0" shapeId="0" xr:uid="{359270BF-177D-41E2-81F0-0D11477A4F2F}">
      <text>
        <r>
          <rPr>
            <sz val="9"/>
            <color indexed="81"/>
            <rFont val="Tahoma"/>
            <family val="2"/>
          </rPr>
          <t>min. initial pull up resistor value</t>
        </r>
      </text>
    </comment>
    <comment ref="D51" authorId="0" shapeId="0" xr:uid="{07ECAA17-4120-49A5-B48B-67DA5F75418E}">
      <text>
        <r>
          <rPr>
            <sz val="9"/>
            <color indexed="81"/>
            <rFont val="Tahoma"/>
            <charset val="1"/>
          </rPr>
          <t>≈33k*1.03</t>
        </r>
      </text>
    </comment>
    <comment ref="B52" authorId="0" shapeId="0" xr:uid="{EC915F11-8264-46A2-BBC1-F1CB43B3EA1C}">
      <text>
        <r>
          <rPr>
            <sz val="9"/>
            <color indexed="81"/>
            <rFont val="Tahoma"/>
            <family val="2"/>
          </rPr>
          <t>max. initial pull up resistor value</t>
        </r>
      </text>
    </comment>
    <comment ref="B53" authorId="0" shapeId="0" xr:uid="{C005B05E-76AA-43AA-BF8E-AA72659B6961}">
      <text>
        <r>
          <rPr>
            <sz val="9"/>
            <color indexed="81"/>
            <rFont val="Tahoma"/>
            <family val="2"/>
          </rPr>
          <t>max. expected decrease due to:
- VCC change
- load change
- temperature change
- channel missmatch</t>
        </r>
      </text>
    </comment>
    <comment ref="B54" authorId="0" shapeId="0" xr:uid="{B119D84F-3117-4CF5-925F-BF9A1ABC0C80}">
      <text>
        <r>
          <rPr>
            <sz val="9"/>
            <color indexed="81"/>
            <rFont val="Tahoma"/>
            <family val="2"/>
          </rPr>
          <t>max. expected increase due to:
- VCC change
- load change
- temperature change
- channel missmatch</t>
        </r>
      </text>
    </comment>
    <comment ref="B55" authorId="0" shapeId="0" xr:uid="{07A8BF5C-0C70-4F4E-8025-B33A90B6B80B}">
      <text>
        <r>
          <rPr>
            <sz val="9"/>
            <color indexed="81"/>
            <rFont val="Tahoma"/>
            <family val="2"/>
          </rPr>
          <t>200kHz, noise reduction, calibrated</t>
        </r>
      </text>
    </comment>
    <comment ref="B56" authorId="0" shapeId="0" xr:uid="{3EFAB7D2-1C82-4FFB-B3C6-5034ADA7FD47}">
      <text>
        <r>
          <rPr>
            <sz val="9"/>
            <color indexed="81"/>
            <rFont val="Tahoma"/>
            <family val="2"/>
          </rPr>
          <t>1000kHz normal mode</t>
        </r>
      </text>
    </comment>
    <comment ref="B57" authorId="0" shapeId="0" xr:uid="{2CC2ACB4-26A9-41CC-B781-DA98216BF1AF}">
      <text>
        <r>
          <rPr>
            <sz val="9"/>
            <color indexed="81"/>
            <rFont val="Tahoma"/>
            <family val="2"/>
          </rPr>
          <t>worst case value</t>
        </r>
      </text>
    </comment>
  </commentList>
</comments>
</file>

<file path=xl/sharedStrings.xml><?xml version="1.0" encoding="utf-8"?>
<sst xmlns="http://schemas.openxmlformats.org/spreadsheetml/2006/main" count="38" uniqueCount="27">
  <si>
    <t>RID</t>
  </si>
  <si>
    <t>delta</t>
  </si>
  <si>
    <t>rup_min</t>
  </si>
  <si>
    <t>rup_max</t>
  </si>
  <si>
    <t>rup_tolm</t>
  </si>
  <si>
    <t>rup_tolp</t>
  </si>
  <si>
    <t>Constants</t>
  </si>
  <si>
    <t>External Resistor Simulation</t>
  </si>
  <si>
    <t>adc_typ</t>
  </si>
  <si>
    <t>adc</t>
  </si>
  <si>
    <t>adc_cal</t>
  </si>
  <si>
    <t>rup_typ</t>
  </si>
  <si>
    <t>max</t>
  </si>
  <si>
    <t>min</t>
  </si>
  <si>
    <t>rid_tolm</t>
  </si>
  <si>
    <t>rid_tolp</t>
  </si>
  <si>
    <t>threshold</t>
  </si>
  <si>
    <t>ID</t>
  </si>
  <si>
    <t>italic numbers are manually entered or have a custom formula</t>
  </si>
  <si>
    <t>max_adc</t>
  </si>
  <si>
    <t>Rref</t>
  </si>
  <si>
    <t>adc_ref</t>
  </si>
  <si>
    <t>diff</t>
  </si>
  <si>
    <t>base</t>
  </si>
  <si>
    <t>resistance</t>
  </si>
  <si>
    <t>copy this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</si>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</sst>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sz val="11"/>
      <color theme="1"/>
      <name val="Calibri"/>
      <family val="2"/>
      <scheme val="minor"/>
    </font>
    <font>
      <b/>
      <sz val="13"/>
      <color theme="3"/>
      <name val="Calibri"/>
      <family val="2"/>
      <scheme val="minor"/>
    </font>
    <font>
      <sz val="11"/>
      <color rgb="FF3F3F76"/>
      <name val="Calibri"/>
      <family val="2"/>
      <scheme val="minor"/>
    </font>
    <font>
      <b/>
      <sz val="11"/>
      <color theme="1"/>
      <name val="Calibri"/>
      <family val="2"/>
      <scheme val="minor"/>
    </font>
    <font>
      <sz val="9"/>
      <color indexed="81"/>
      <name val="Tahoma"/>
      <charset val="1"/>
    </font>
    <font>
      <sz val="9"/>
      <color indexed="81"/>
      <name val="Tahoma"/>
      <family val="2"/>
    </font>
    <font>
      <i/>
      <sz val="11"/>
      <color theme="1"/>
      <name val="Calibri"/>
      <family val="2"/>
      <scheme val="minor"/>
    </font>
    <font>
      <b/>
      <i/>
      <sz val="11"/>
      <color theme="1"/>
      <name val="Calibri"/>
      <family val="2"/>
      <scheme val="minor"/>
    </font>
    <font>
      <i/>
      <sz val="11"/>
      <color rgb="FF3F3F76"/>
      <name val="Calibri"/>
      <family val="2"/>
      <scheme val="minor"/>
    </font>
  </fonts>
  <fills count="5">
    <fill>
      <patternFill patternType="none"/>
    </fill>
    <fill>
      <patternFill patternType="gray125"/>
    </fill>
    <fill>
      <patternFill patternType="solid">
        <fgColor rgb="FFFFCC99"/>
      </patternFill>
    </fill>
    <fill>
      <patternFill patternType="solid">
        <fgColor rgb="FFFFFFCC"/>
      </patternFill>
    </fill>
    <fill>
      <patternFill patternType="solid">
        <fgColor theme="6" tint="0.59999389629810485"/>
        <bgColor indexed="65"/>
      </patternFill>
    </fill>
  </fills>
  <borders count="8">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5">
    <xf numFmtId="0" fontId="0" fillId="0" borderId="0"/>
    <xf numFmtId="0" fontId="2" fillId="0" borderId="1" applyNumberFormat="0" applyFill="0" applyAlignment="0" applyProtection="0"/>
    <xf numFmtId="0" fontId="3" fillId="2" borderId="2" applyNumberFormat="0" applyAlignment="0" applyProtection="0"/>
    <xf numFmtId="0" fontId="1" fillId="3" borderId="3" applyNumberFormat="0" applyFont="0" applyAlignment="0" applyProtection="0"/>
    <xf numFmtId="0" fontId="1" fillId="4" borderId="0" applyNumberFormat="0" applyBorder="0" applyAlignment="0" applyProtection="0"/>
  </cellStyleXfs>
  <cellXfs count="32">
    <xf numFmtId="0" fontId="0" fillId="0" borderId="0" xfId="0"/>
    <xf numFmtId="2" fontId="0" fillId="0" borderId="0" xfId="0" applyNumberFormat="1"/>
    <xf numFmtId="0" fontId="0" fillId="0" borderId="0" xfId="0" applyAlignment="1">
      <alignment horizontal="center"/>
    </xf>
    <xf numFmtId="15" fontId="0" fillId="0" borderId="0" xfId="0" applyNumberFormat="1"/>
    <xf numFmtId="0" fontId="2" fillId="0" borderId="1" xfId="1"/>
    <xf numFmtId="0" fontId="0" fillId="0" borderId="0" xfId="0" applyAlignment="1">
      <alignment horizontal="right"/>
    </xf>
    <xf numFmtId="2" fontId="0" fillId="0" borderId="0" xfId="0" applyNumberFormat="1" applyAlignment="1">
      <alignment horizontal="right"/>
    </xf>
    <xf numFmtId="0" fontId="1" fillId="4" borderId="0" xfId="4" applyAlignment="1">
      <alignment horizontal="right"/>
    </xf>
    <xf numFmtId="0" fontId="0" fillId="3" borderId="3" xfId="3" applyFont="1"/>
    <xf numFmtId="165" fontId="0" fillId="0" borderId="4" xfId="0" applyNumberFormat="1" applyBorder="1" applyAlignment="1">
      <alignment horizontal="right"/>
    </xf>
    <xf numFmtId="165" fontId="0" fillId="0" borderId="0" xfId="0" applyNumberFormat="1" applyAlignment="1">
      <alignment horizontal="right"/>
    </xf>
    <xf numFmtId="165" fontId="1" fillId="4" borderId="4" xfId="4" applyNumberFormat="1" applyBorder="1" applyAlignment="1">
      <alignment horizontal="right"/>
    </xf>
    <xf numFmtId="165" fontId="1" fillId="4" borderId="0" xfId="4" applyNumberFormat="1" applyAlignment="1">
      <alignment horizontal="right"/>
    </xf>
    <xf numFmtId="0" fontId="0" fillId="0" borderId="0" xfId="0" applyAlignment="1">
      <alignment horizontal="left"/>
    </xf>
    <xf numFmtId="0" fontId="4" fillId="0" borderId="5" xfId="0" applyFont="1" applyBorder="1" applyAlignment="1">
      <alignment horizontal="center"/>
    </xf>
    <xf numFmtId="0" fontId="4" fillId="0" borderId="6" xfId="0" applyFont="1"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165" fontId="7" fillId="0" borderId="0" xfId="0" applyNumberFormat="1" applyFont="1" applyAlignment="1">
      <alignment horizontal="right"/>
    </xf>
    <xf numFmtId="0" fontId="7" fillId="0" borderId="0" xfId="0" applyFont="1"/>
    <xf numFmtId="0" fontId="7" fillId="0" borderId="0" xfId="0" applyFont="1" applyBorder="1" applyAlignment="1">
      <alignment horizontal="right"/>
    </xf>
    <xf numFmtId="0" fontId="7" fillId="0" borderId="0" xfId="0" applyFont="1" applyAlignment="1">
      <alignment horizontal="right"/>
    </xf>
    <xf numFmtId="0" fontId="7" fillId="4" borderId="0" xfId="4" applyFont="1" applyAlignment="1">
      <alignment horizontal="right"/>
    </xf>
    <xf numFmtId="0" fontId="7" fillId="3" borderId="3" xfId="3" applyFont="1"/>
    <xf numFmtId="0" fontId="8" fillId="0" borderId="0" xfId="0" applyFont="1" applyAlignment="1">
      <alignment horizontal="center"/>
    </xf>
    <xf numFmtId="1" fontId="4" fillId="0" borderId="0" xfId="0" applyNumberFormat="1" applyFont="1" applyAlignment="1">
      <alignment horizontal="center"/>
    </xf>
    <xf numFmtId="164" fontId="4" fillId="0" borderId="0" xfId="0" applyNumberFormat="1" applyFont="1" applyAlignment="1">
      <alignment horizontal="center"/>
    </xf>
    <xf numFmtId="0" fontId="9" fillId="2" borderId="2" xfId="2" applyFont="1"/>
    <xf numFmtId="0" fontId="9" fillId="2" borderId="2" xfId="2" applyNumberFormat="1" applyFont="1"/>
    <xf numFmtId="0" fontId="4"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cellXfs>
  <cellStyles count="5">
    <cellStyle name="40% - Accent3" xfId="4" builtinId="39"/>
    <cellStyle name="Heading 2" xfId="1" builtinId="17"/>
    <cellStyle name="Input" xfId="2" builtinId="20"/>
    <cellStyle name="Normal" xfId="0" builtinId="0"/>
    <cellStyle name="Note" xfId="3" builtinId="10"/>
  </cellStyles>
  <dxfs count="0"/>
  <tableStyles count="0" defaultTableStyle="TableStyleMedium2" defaultPivotStyle="PivotStyleLight16"/>
  <colors>
    <mruColors>
      <color rgb="FFF8696B"/>
      <color rgb="FFFFEB84"/>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2B51-097A-4F0D-94C8-36FB4DE8AA5D}">
  <dimension ref="A1:AG87"/>
  <sheetViews>
    <sheetView tabSelected="1" zoomScaleNormal="100" workbookViewId="0">
      <selection activeCell="J61" sqref="J61"/>
    </sheetView>
  </sheetViews>
  <sheetFormatPr defaultRowHeight="14.5" x14ac:dyDescent="0.35"/>
  <cols>
    <col min="2" max="4" width="9.1796875" customWidth="1"/>
    <col min="5" max="5" width="2.453125" customWidth="1"/>
    <col min="6" max="17" width="9.1796875" customWidth="1"/>
    <col min="18" max="18" width="2.453125" customWidth="1"/>
    <col min="19" max="21" width="7.54296875" customWidth="1"/>
    <col min="22" max="22" width="2.453125" customWidth="1"/>
    <col min="23" max="23" width="9.26953125" bestFit="1" customWidth="1"/>
    <col min="27" max="27" width="9.54296875" bestFit="1" customWidth="1"/>
    <col min="29" max="29" width="11.81640625" customWidth="1"/>
    <col min="30" max="30" width="13.36328125" bestFit="1" customWidth="1"/>
    <col min="31" max="31" width="10.90625" customWidth="1"/>
    <col min="32" max="32" width="9.26953125" bestFit="1" customWidth="1"/>
    <col min="33" max="33" width="10.1796875" customWidth="1"/>
  </cols>
  <sheetData>
    <row r="1" spans="1:33" s="4" customFormat="1" ht="17.5" thickBot="1" x14ac:dyDescent="0.45">
      <c r="A1" s="4" t="s">
        <v>7</v>
      </c>
    </row>
    <row r="2" spans="1:33" ht="15" thickTop="1" x14ac:dyDescent="0.35">
      <c r="AD2" s="1"/>
      <c r="AE2" s="2"/>
      <c r="AF2" s="2"/>
      <c r="AG2" s="2"/>
    </row>
    <row r="3" spans="1:33" s="17" customFormat="1" x14ac:dyDescent="0.35">
      <c r="F3" s="29" t="str">
        <f>$C$52/1000 &amp;"k"</f>
        <v>46,296k</v>
      </c>
      <c r="G3" s="29"/>
      <c r="H3" s="29"/>
      <c r="I3" s="29"/>
      <c r="J3" s="29" t="str">
        <f>$C$51/1000 &amp;"k"</f>
        <v>33k</v>
      </c>
      <c r="K3" s="29"/>
      <c r="L3" s="29"/>
      <c r="M3" s="29"/>
      <c r="N3" s="29" t="str">
        <f>$C$50/1000 &amp;"k"</f>
        <v>20,408k</v>
      </c>
      <c r="O3" s="29"/>
      <c r="P3" s="29"/>
      <c r="Q3" s="29"/>
      <c r="S3" s="29" t="s">
        <v>16</v>
      </c>
      <c r="T3" s="29"/>
      <c r="U3" s="29"/>
      <c r="W3" s="29" t="str">
        <f>"test nomalized tolerance @ " &amp; $D$51/1000 &amp;"k"</f>
        <v>test nomalized tolerance @ 34k</v>
      </c>
      <c r="X3" s="29"/>
      <c r="Y3" s="29"/>
      <c r="Z3" s="29"/>
      <c r="AA3" s="29" t="s">
        <v>16</v>
      </c>
      <c r="AB3" s="29"/>
      <c r="AC3" s="29"/>
      <c r="AE3" s="29" t="s">
        <v>25</v>
      </c>
      <c r="AF3" s="29"/>
      <c r="AG3" s="24"/>
    </row>
    <row r="4" spans="1:33" s="17" customFormat="1" ht="15" thickBot="1" x14ac:dyDescent="0.4">
      <c r="B4" s="14" t="s">
        <v>17</v>
      </c>
      <c r="C4" s="14" t="s">
        <v>0</v>
      </c>
      <c r="D4" s="15"/>
      <c r="E4" s="15" t="s">
        <v>12</v>
      </c>
      <c r="F4" s="14" t="s">
        <v>13</v>
      </c>
      <c r="G4" s="30" t="s">
        <v>1</v>
      </c>
      <c r="H4" s="31"/>
      <c r="I4" s="15" t="s">
        <v>12</v>
      </c>
      <c r="J4" s="14" t="s">
        <v>13</v>
      </c>
      <c r="K4" s="30" t="s">
        <v>1</v>
      </c>
      <c r="L4" s="31"/>
      <c r="M4" s="15" t="s">
        <v>12</v>
      </c>
      <c r="N4" s="14" t="s">
        <v>13</v>
      </c>
      <c r="O4" s="30" t="s">
        <v>1</v>
      </c>
      <c r="P4" s="30"/>
      <c r="Q4" s="14"/>
      <c r="R4" s="14" t="str">
        <f>$C$52/1000 &amp;"k"</f>
        <v>46,296k</v>
      </c>
      <c r="S4" s="14" t="str">
        <f>$C$51/1000 &amp;"k"</f>
        <v>33k</v>
      </c>
      <c r="T4" s="14" t="str">
        <f>$C$50/1000 &amp;"k"</f>
        <v>20,408k</v>
      </c>
      <c r="U4" s="14"/>
      <c r="V4" s="15" t="s">
        <v>12</v>
      </c>
      <c r="W4" s="14" t="s">
        <v>13</v>
      </c>
      <c r="X4" s="30" t="s">
        <v>1</v>
      </c>
      <c r="Y4" s="31"/>
      <c r="Z4" s="14" t="str">
        <f>$D$51/1000 &amp;"k"</f>
        <v>34k</v>
      </c>
      <c r="AA4" s="16" t="s">
        <v>22</v>
      </c>
      <c r="AB4" s="16" t="s">
        <v>24</v>
      </c>
      <c r="AC4" s="26"/>
      <c r="AD4" s="17" t="s">
        <v>26</v>
      </c>
      <c r="AE4" s="17" t="s">
        <v>16</v>
      </c>
      <c r="AF4" s="25"/>
    </row>
    <row r="5" spans="1:33" s="5" customFormat="1" x14ac:dyDescent="0.35">
      <c r="B5" s="5">
        <v>0</v>
      </c>
      <c r="C5" s="20">
        <v>0</v>
      </c>
      <c r="E5" s="9">
        <f>$C5*$C$48/($C5*$C$48+$C$52*$C$54)*$C$47</f>
        <v>0</v>
      </c>
      <c r="F5" s="10">
        <f>$C5*$C$49/($C5*$C$49+$C$52*$C$53)*$C$47</f>
        <v>0</v>
      </c>
      <c r="G5" s="10">
        <f>E6-F5</f>
        <v>19.862254479730016</v>
      </c>
      <c r="H5" s="10">
        <f t="shared" ref="H5:H21" si="0">E6-F5</f>
        <v>19.862254479730016</v>
      </c>
      <c r="I5" s="9">
        <f>$C5*$C$48/($C5*$C$48+$C$51*$C$54)*$C$47</f>
        <v>0</v>
      </c>
      <c r="J5" s="10">
        <f>$C5*$C$49/($C5*$C$49+$C$51*$C$53)*$C$47</f>
        <v>0</v>
      </c>
      <c r="K5" s="10">
        <f>I6-J5</f>
        <v>27.648648648648649</v>
      </c>
      <c r="L5" s="10">
        <f t="shared" ref="L5:L22" si="1">I6-J5</f>
        <v>27.648648648648649</v>
      </c>
      <c r="M5" s="9">
        <f>$C5*$C$48/($C5*$C$48+$C$50*$C$54)*$C$47</f>
        <v>0</v>
      </c>
      <c r="N5" s="10">
        <f>$C5*$C$49/($C5*$C$49+$C$50*$C$53)*$C$47</f>
        <v>0</v>
      </c>
      <c r="O5" s="10">
        <f>M6-N5</f>
        <v>43.974896051520922</v>
      </c>
      <c r="P5" s="10">
        <f t="shared" ref="P5:P22" si="2">M6-N5</f>
        <v>43.974896051520922</v>
      </c>
      <c r="R5" s="18">
        <f>G5-G6</f>
        <v>12.632773415142722</v>
      </c>
      <c r="S5" s="18">
        <f>K5-K6</f>
        <v>17.710057944000972</v>
      </c>
      <c r="T5" s="18">
        <f>O5-O6</f>
        <v>28.578842254305258</v>
      </c>
      <c r="V5" s="9">
        <f>$C5*$C$48/($C5*$C$48+$D$51*1.05)*$C$47</f>
        <v>0</v>
      </c>
      <c r="W5" s="10">
        <f>$C5*$C$49/($C5*$C$49+$D$51*0.95)*$C$47</f>
        <v>0</v>
      </c>
      <c r="X5" s="10">
        <f>V6-W5</f>
        <v>27.603434178250204</v>
      </c>
      <c r="Y5" s="10">
        <f t="shared" ref="Y5:Y22" si="3">V6-W5</f>
        <v>27.603434178250204</v>
      </c>
      <c r="Z5" s="18">
        <f>X5-X6</f>
        <v>17.768073831009151</v>
      </c>
      <c r="AA5" s="6">
        <f>Z5-S5</f>
        <v>5.8015887008178169E-2</v>
      </c>
      <c r="AB5" s="10">
        <f>IF(Z5="","",$D$51*(Z5/($C$47-Z5)))</f>
        <v>600.97027812938029</v>
      </c>
      <c r="AC5" s="6"/>
      <c r="AD5" s="10">
        <f>IF(AB5="","",C5)</f>
        <v>0</v>
      </c>
      <c r="AE5" s="10">
        <f>IF(AB5="","",AB5)</f>
        <v>600.97027812938029</v>
      </c>
      <c r="AF5" s="6"/>
    </row>
    <row r="6" spans="1:33" s="5" customFormat="1" x14ac:dyDescent="0.35">
      <c r="B6" s="5">
        <v>1</v>
      </c>
      <c r="C6" s="21">
        <v>1000</v>
      </c>
      <c r="E6" s="9">
        <f>$C6*$C$48/($C6*$C$48+$C$52*$C$54)*$C$47</f>
        <v>19.862254479730016</v>
      </c>
      <c r="F6" s="10">
        <f>$C6*$C$49/($C6*$C$49+$C$52*$C$53)*$C$47</f>
        <v>22.277451871579348</v>
      </c>
      <c r="G6" s="10">
        <f>E8-F6</f>
        <v>7.2294810645872936</v>
      </c>
      <c r="H6" s="10">
        <f t="shared" si="0"/>
        <v>1.4650580448692985</v>
      </c>
      <c r="I6" s="9">
        <f>$C6*$C$48/($C6*$C$48+$C$51*$C$54)*$C$47</f>
        <v>27.648648648648649</v>
      </c>
      <c r="J6" s="10">
        <f>$C6*$C$49/($C6*$C$49+$C$51*$C$53)*$C$47</f>
        <v>30.981409295352325</v>
      </c>
      <c r="K6" s="10">
        <f>I8-J6</f>
        <v>9.9385907046476767</v>
      </c>
      <c r="L6" s="10">
        <f t="shared" si="1"/>
        <v>2.018590704647675</v>
      </c>
      <c r="M6" s="9">
        <f>$C6*$C$48/($C6*$C$48+$C$50*$C$54)*$C$47</f>
        <v>43.974896051520922</v>
      </c>
      <c r="N6" s="10">
        <f>$C6*$C$49/($C6*$C$49+$C$50*$C$53)*$C$47</f>
        <v>49.178384985321166</v>
      </c>
      <c r="O6" s="10">
        <f>M8-N6</f>
        <v>15.396053797215664</v>
      </c>
      <c r="P6" s="10">
        <f t="shared" si="2"/>
        <v>3.1416819665107028</v>
      </c>
      <c r="R6" s="10">
        <f>IF(G6&gt;0.01,F6+G6/2,"")</f>
        <v>25.892192403872997</v>
      </c>
      <c r="S6" s="10">
        <f>IF(K6&gt;0.01,J6+K6/2,"")</f>
        <v>35.950704647676162</v>
      </c>
      <c r="T6" s="10">
        <f>IF(O6&gt;0.01,N6+O6/2,"")</f>
        <v>56.876411883928995</v>
      </c>
      <c r="V6" s="9">
        <f>$C6*$C$48/($C6*$C$48+$D$51*1.05)*$C$47</f>
        <v>27.603434178250204</v>
      </c>
      <c r="W6" s="10">
        <f>$C6*$C$49/($C6*$C$49+$D$51*0.95)*$C$47</f>
        <v>31.018613029120385</v>
      </c>
      <c r="X6" s="10">
        <f>V8-W6</f>
        <v>9.8353603472410533</v>
      </c>
      <c r="Y6" s="10">
        <f t="shared" si="3"/>
        <v>1.9277109786870277</v>
      </c>
      <c r="Z6" s="10">
        <f t="shared" ref="Z6:Z41" si="4">IF(X6&gt;0.01,W6+X6/2,"")</f>
        <v>35.936293202740913</v>
      </c>
      <c r="AA6" s="6">
        <f>Z6-S6</f>
        <v>-1.4411444935248596E-2</v>
      </c>
      <c r="AB6" s="10">
        <f>IF(Z6="","",$D$51*(Z6/($C$47-Z6)))</f>
        <v>1237.8471222062196</v>
      </c>
      <c r="AC6" s="6"/>
      <c r="AD6" s="10">
        <f t="shared" ref="AD6:AD42" si="5">IF(AB6="","",C6)</f>
        <v>1000</v>
      </c>
      <c r="AE6" s="10">
        <f t="shared" ref="AE6:AE42" si="6">IF(AB6="","",AB6)</f>
        <v>1237.8471222062196</v>
      </c>
      <c r="AF6" s="6"/>
    </row>
    <row r="7" spans="1:33" s="5" customFormat="1" x14ac:dyDescent="0.35">
      <c r="C7" s="22">
        <v>1200</v>
      </c>
      <c r="D7" s="7"/>
      <c r="E7" s="11">
        <f>$C7*$C$48/($C7*$C$48+$C$52*$C$54)*$C$47</f>
        <v>23.742509916448647</v>
      </c>
      <c r="F7" s="12">
        <f>$C7*$C$49/($C7*$C$49+$C$52*$C$53)*$C$47</f>
        <v>26.617016672505819</v>
      </c>
      <c r="G7" s="12"/>
      <c r="H7" s="10">
        <f t="shared" si="0"/>
        <v>2.8899162636608224</v>
      </c>
      <c r="I7" s="11">
        <f>$C7*$C$48/($C7*$C$48+$C$51*$C$54)*$C$47</f>
        <v>33</v>
      </c>
      <c r="J7" s="12">
        <f>$C7*$C$49/($C7*$C$49+$C$51*$C$53)*$C$47</f>
        <v>36.953862660944203</v>
      </c>
      <c r="K7" s="12"/>
      <c r="L7" s="10">
        <f t="shared" si="1"/>
        <v>3.9661373390557983</v>
      </c>
      <c r="M7" s="11">
        <f>$C7*$C$48/($C7*$C$48+$C$50*$C$54)*$C$47</f>
        <v>52.320066951831869</v>
      </c>
      <c r="N7" s="12">
        <f>$C7*$C$49/($C7*$C$49+$C$50*$C$53)*$C$47</f>
        <v>58.452072050326613</v>
      </c>
      <c r="O7" s="12"/>
      <c r="P7" s="10">
        <f t="shared" si="2"/>
        <v>6.1223667322102173</v>
      </c>
      <c r="R7" s="10" t="str">
        <f t="shared" ref="R7:R41" si="7">IF(G7&gt;0.01,F7+G7/2,"")</f>
        <v/>
      </c>
      <c r="S7" s="10" t="str">
        <f t="shared" ref="S7:S40" si="8">IF(K7&gt;0.01,J7+K7/2,"")</f>
        <v/>
      </c>
      <c r="T7" s="10" t="str">
        <f t="shared" ref="T7:T40" si="9">IF(O7&gt;0.01,N7+O7/2,"")</f>
        <v/>
      </c>
      <c r="V7" s="9">
        <f>$C7*$C$48/($C7*$C$48+$D$51*1.05)*$C$47</f>
        <v>32.946324007807412</v>
      </c>
      <c r="W7" s="10">
        <f>$C7*$C$49/($C7*$C$49+$D$51*0.95)*$C$47</f>
        <v>36.997970876104084</v>
      </c>
      <c r="X7" s="12"/>
      <c r="Y7" s="10">
        <f t="shared" si="3"/>
        <v>3.8560025002573539</v>
      </c>
      <c r="Z7" s="10" t="str">
        <f t="shared" si="4"/>
        <v/>
      </c>
      <c r="AA7" s="6"/>
      <c r="AB7" s="10" t="str">
        <f>IF(Z7="","",$D$51*(Z7/($C$47-Z7)))</f>
        <v/>
      </c>
      <c r="AC7" s="6"/>
      <c r="AD7" s="10" t="str">
        <f t="shared" si="5"/>
        <v/>
      </c>
      <c r="AE7" s="10" t="str">
        <f t="shared" si="6"/>
        <v/>
      </c>
      <c r="AF7" s="6"/>
    </row>
    <row r="8" spans="1:33" s="5" customFormat="1" x14ac:dyDescent="0.35">
      <c r="B8" s="5">
        <v>2</v>
      </c>
      <c r="C8" s="21">
        <v>1500</v>
      </c>
      <c r="E8" s="9">
        <f>$C8*$C$48/($C8*$C$48+$C$52*$C$54)*$C$47</f>
        <v>29.506932936166642</v>
      </c>
      <c r="F8" s="10">
        <f>$C8*$C$49/($C8*$C$49+$C$52*$C$53)*$C$47</f>
        <v>33.056251583659453</v>
      </c>
      <c r="G8" s="10">
        <f>E10-F8</f>
        <v>9.6458003281925144</v>
      </c>
      <c r="H8" s="10">
        <f t="shared" si="0"/>
        <v>2.1489793010858875</v>
      </c>
      <c r="I8" s="9">
        <f>$C8*$C$48/($C8*$C$48+$C$51*$C$54)*$C$47</f>
        <v>40.92</v>
      </c>
      <c r="J8" s="10">
        <f>$C8*$C$49/($C8*$C$49+$C$51*$C$53)*$C$47</f>
        <v>45.77891005759858</v>
      </c>
      <c r="K8" s="10">
        <f>I10-J8</f>
        <v>13.137320308893564</v>
      </c>
      <c r="L8" s="10">
        <f t="shared" si="1"/>
        <v>2.9353756566871283</v>
      </c>
      <c r="M8" s="9">
        <f>$C8*$C$48/($C8*$C$48+$C$50*$C$54)*$C$47</f>
        <v>64.574438782536831</v>
      </c>
      <c r="N8" s="10">
        <f>$C8*$C$49/($C8*$C$49+$C$50*$C$53)*$C$47</f>
        <v>72.036092297223675</v>
      </c>
      <c r="O8" s="10">
        <f>M10-N8</f>
        <v>19.96304555692501</v>
      </c>
      <c r="P8" s="10">
        <f t="shared" si="2"/>
        <v>4.4871645710327215</v>
      </c>
      <c r="R8" s="10">
        <f t="shared" si="7"/>
        <v>37.879151747755714</v>
      </c>
      <c r="S8" s="10">
        <f>IF(K8&gt;0.01,J8+K8/2,"")</f>
        <v>52.347570212045362</v>
      </c>
      <c r="T8" s="10">
        <f t="shared" si="9"/>
        <v>82.01761507568618</v>
      </c>
      <c r="V8" s="9">
        <f>$C8*$C$48/($C8*$C$48+$D$51*1.05)*$C$47</f>
        <v>40.853973376361438</v>
      </c>
      <c r="W8" s="10">
        <f>$C8*$C$49/($C8*$C$49+$D$51*0.95)*$C$47</f>
        <v>45.833062250480559</v>
      </c>
      <c r="X8" s="10">
        <f>V10-W8</f>
        <v>12.98984286594586</v>
      </c>
      <c r="Y8" s="10">
        <f t="shared" si="3"/>
        <v>2.8032431761242123</v>
      </c>
      <c r="Z8" s="10">
        <f t="shared" si="4"/>
        <v>52.327983683453489</v>
      </c>
      <c r="AA8" s="6">
        <f>Z8-S8</f>
        <v>-1.958652859187282E-2</v>
      </c>
      <c r="AB8" s="10">
        <f>IF(Z8="","",$D$51*(Z8/($C$47-Z8)))</f>
        <v>1832.9069091626293</v>
      </c>
      <c r="AC8" s="6"/>
      <c r="AD8" s="10">
        <f t="shared" si="5"/>
        <v>1500</v>
      </c>
      <c r="AE8" s="10">
        <f t="shared" si="6"/>
        <v>1832.9069091626293</v>
      </c>
      <c r="AF8" s="6"/>
    </row>
    <row r="9" spans="1:33" s="5" customFormat="1" x14ac:dyDescent="0.35">
      <c r="C9" s="22">
        <v>1800</v>
      </c>
      <c r="D9" s="7"/>
      <c r="E9" s="11">
        <f>$C9*$C$48/($C9*$C$48+$C$52*$C$54)*$C$47</f>
        <v>35.20523088474534</v>
      </c>
      <c r="F9" s="12">
        <f>$C9*$C$49/($C9*$C$49+$C$52*$C$53)*$C$47</f>
        <v>39.412792383161168</v>
      </c>
      <c r="G9" s="12"/>
      <c r="H9" s="10">
        <f t="shared" si="0"/>
        <v>3.2892595286907991</v>
      </c>
      <c r="I9" s="11">
        <f>$C9*$C$48/($C9*$C$48+$C$51*$C$54)*$C$47</f>
        <v>48.714285714285708</v>
      </c>
      <c r="J9" s="12">
        <f>$C9*$C$49/($C9*$C$49+$C$51*$C$53)*$C$47</f>
        <v>54.447391533462145</v>
      </c>
      <c r="K9" s="12"/>
      <c r="L9" s="10">
        <f t="shared" si="1"/>
        <v>4.4688388330299986</v>
      </c>
      <c r="M9" s="11">
        <f>$C9*$C$48/($C9*$C$48+$C$50*$C$54)*$C$47</f>
        <v>76.523256868256397</v>
      </c>
      <c r="N9" s="12">
        <f>$C9*$C$49/($C9*$C$49+$C$50*$C$53)*$C$47</f>
        <v>85.242810470697378</v>
      </c>
      <c r="O9" s="12"/>
      <c r="P9" s="10">
        <f t="shared" si="2"/>
        <v>6.7563273834513069</v>
      </c>
      <c r="R9" s="10" t="str">
        <f t="shared" si="7"/>
        <v/>
      </c>
      <c r="S9" s="10" t="str">
        <f t="shared" si="8"/>
        <v/>
      </c>
      <c r="T9" s="10" t="str">
        <f t="shared" si="9"/>
        <v/>
      </c>
      <c r="V9" s="9">
        <f>$C9*$C$48/($C9*$C$48+$D$51*1.05)*$C$47</f>
        <v>48.636305426604771</v>
      </c>
      <c r="W9" s="10">
        <f>$C9*$C$49/($C9*$C$49+$D$51*0.95)*$C$47</f>
        <v>54.511225745940557</v>
      </c>
      <c r="X9" s="12"/>
      <c r="Y9" s="10">
        <f t="shared" si="3"/>
        <v>4.3116793704858623</v>
      </c>
      <c r="Z9" s="10" t="str">
        <f t="shared" si="4"/>
        <v/>
      </c>
      <c r="AA9" s="6"/>
      <c r="AB9" s="10" t="str">
        <f>IF(Z9="","",$D$51*(Z9/($C$47-Z9)))</f>
        <v/>
      </c>
      <c r="AC9" s="6"/>
      <c r="AD9" s="10" t="str">
        <f t="shared" si="5"/>
        <v/>
      </c>
      <c r="AE9" s="10" t="str">
        <f t="shared" si="6"/>
        <v/>
      </c>
      <c r="AF9" s="6"/>
    </row>
    <row r="10" spans="1:33" s="5" customFormat="1" x14ac:dyDescent="0.35">
      <c r="B10" s="5">
        <v>3</v>
      </c>
      <c r="C10" s="21">
        <v>2200</v>
      </c>
      <c r="E10" s="9">
        <f>$C10*$C$48/($C10*$C$48+$C$52*$C$54)*$C$47</f>
        <v>42.702051911851967</v>
      </c>
      <c r="F10" s="10">
        <f>$C10*$C$49/($C10*$C$49+$C$52*$C$53)*$C$47</f>
        <v>47.762274731425904</v>
      </c>
      <c r="G10" s="10">
        <f>E12-F10</f>
        <v>14.981282779573469</v>
      </c>
      <c r="H10" s="10">
        <f t="shared" si="0"/>
        <v>4.1522851504711227</v>
      </c>
      <c r="I10" s="9">
        <f>$C10*$C$48/($C10*$C$48+$C$51*$C$54)*$C$47</f>
        <v>58.916230366492144</v>
      </c>
      <c r="J10" s="10">
        <f>$C10*$C$49/($C10*$C$49+$C$51*$C$53)*$C$47</f>
        <v>65.768936982813486</v>
      </c>
      <c r="K10" s="10">
        <f>I12-J10</f>
        <v>20.131826375965147</v>
      </c>
      <c r="L10" s="10">
        <f t="shared" si="1"/>
        <v>5.6031560404423288</v>
      </c>
      <c r="M10" s="9">
        <f>$C10*$C$48/($C10*$C$48+$C$50*$C$54)*$C$47</f>
        <v>91.999137854148685</v>
      </c>
      <c r="N10" s="10">
        <f>$C10*$C$49/($C10*$C$49+$C$50*$C$53)*$C$47</f>
        <v>102.29152941430593</v>
      </c>
      <c r="O10" s="10">
        <f>M12-N10</f>
        <v>29.769026212374399</v>
      </c>
      <c r="P10" s="10">
        <f t="shared" si="2"/>
        <v>8.3550204261870107</v>
      </c>
      <c r="R10" s="10">
        <f t="shared" si="7"/>
        <v>55.252916121212635</v>
      </c>
      <c r="S10" s="10">
        <f t="shared" si="8"/>
        <v>75.834850170796059</v>
      </c>
      <c r="T10" s="10">
        <f t="shared" si="9"/>
        <v>117.17604252049313</v>
      </c>
      <c r="V10" s="9">
        <f>$C10*$C$48/($C10*$C$48+$D$51*1.05)*$C$47</f>
        <v>58.822905116426419</v>
      </c>
      <c r="W10" s="10">
        <f>$C10*$C$49/($C10*$C$49+$D$51*0.95)*$C$47</f>
        <v>65.845142228144368</v>
      </c>
      <c r="X10" s="10">
        <f>V12-W10</f>
        <v>19.923354191903357</v>
      </c>
      <c r="Y10" s="10">
        <f t="shared" si="3"/>
        <v>5.4153534328672777</v>
      </c>
      <c r="Z10" s="10">
        <f t="shared" si="4"/>
        <v>75.80681932409604</v>
      </c>
      <c r="AA10" s="6">
        <f>Z10-S10</f>
        <v>-2.8030846700019652E-2</v>
      </c>
      <c r="AB10" s="10">
        <f>IF(Z10="","",$D$51*(Z10/($C$47-Z10)))</f>
        <v>2721.1258585920618</v>
      </c>
      <c r="AC10" s="6"/>
      <c r="AD10" s="10">
        <f t="shared" si="5"/>
        <v>2200</v>
      </c>
      <c r="AE10" s="10">
        <f t="shared" si="6"/>
        <v>2721.1258585920618</v>
      </c>
      <c r="AF10" s="6"/>
    </row>
    <row r="11" spans="1:33" s="5" customFormat="1" x14ac:dyDescent="0.35">
      <c r="C11" s="22">
        <v>2700</v>
      </c>
      <c r="D11" s="7"/>
      <c r="E11" s="11">
        <f>$C11*$C$48/($C11*$C$48+$C$52*$C$54)*$C$47</f>
        <v>51.914559881897027</v>
      </c>
      <c r="F11" s="12">
        <f>$C11*$C$49/($C11*$C$49+$C$52*$C$53)*$C$47</f>
        <v>58.001878700328582</v>
      </c>
      <c r="G11" s="12"/>
      <c r="H11" s="10">
        <f t="shared" si="0"/>
        <v>4.7416788106707912</v>
      </c>
      <c r="I11" s="11">
        <f>$C11*$C$48/($C11*$C$48+$C$51*$C$54)*$C$47</f>
        <v>71.372093023255815</v>
      </c>
      <c r="J11" s="12">
        <f>$C11*$C$49/($C11*$C$49+$C$51*$C$53)*$C$47</f>
        <v>79.554025151852173</v>
      </c>
      <c r="K11" s="12"/>
      <c r="L11" s="10">
        <f t="shared" si="1"/>
        <v>6.3467382069264602</v>
      </c>
      <c r="M11" s="11">
        <f>$C11*$C$48/($C11*$C$48+$C$50*$C$54)*$C$47</f>
        <v>110.64654984049294</v>
      </c>
      <c r="N11" s="12">
        <f>$C11*$C$49/($C11*$C$49+$C$50*$C$53)*$C$47</f>
        <v>122.75006116116451</v>
      </c>
      <c r="O11" s="12"/>
      <c r="P11" s="10">
        <f t="shared" si="2"/>
        <v>9.3104944655158164</v>
      </c>
      <c r="R11" s="10" t="str">
        <f t="shared" si="7"/>
        <v/>
      </c>
      <c r="S11" s="10" t="str">
        <f t="shared" si="8"/>
        <v/>
      </c>
      <c r="T11" s="10" t="str">
        <f t="shared" si="9"/>
        <v/>
      </c>
      <c r="V11" s="9">
        <f>$C11*$C$48/($C11*$C$48+$D$51*1.05)*$C$47</f>
        <v>71.260495661011646</v>
      </c>
      <c r="W11" s="10">
        <f>$C11*$C$49/($C11*$C$49+$D$51*0.95)*$C$47</f>
        <v>79.644873954378042</v>
      </c>
      <c r="X11" s="12"/>
      <c r="Y11" s="10">
        <f t="shared" si="3"/>
        <v>6.1236224656696834</v>
      </c>
      <c r="Z11" s="10" t="str">
        <f t="shared" si="4"/>
        <v/>
      </c>
      <c r="AA11" s="6"/>
      <c r="AB11" s="10" t="str">
        <f>IF(Z11="","",$D$51*(Z11/($C$47-Z11)))</f>
        <v/>
      </c>
      <c r="AC11" s="6"/>
      <c r="AD11" s="10" t="str">
        <f t="shared" si="5"/>
        <v/>
      </c>
      <c r="AE11" s="10" t="str">
        <f t="shared" si="6"/>
        <v/>
      </c>
      <c r="AF11" s="6"/>
    </row>
    <row r="12" spans="1:33" s="5" customFormat="1" x14ac:dyDescent="0.35">
      <c r="B12" s="5">
        <v>4</v>
      </c>
      <c r="C12" s="21">
        <v>3300</v>
      </c>
      <c r="E12" s="9">
        <f>$C12*$C$48/($C12*$C$48+$C$52*$C$54)*$C$47</f>
        <v>62.743557510999374</v>
      </c>
      <c r="F12" s="10">
        <f>$C12*$C$49/($C12*$C$49+$C$52*$C$53)*$C$47</f>
        <v>70.00910414700671</v>
      </c>
      <c r="G12" s="10">
        <f>E14-F12</f>
        <v>17.086697925279594</v>
      </c>
      <c r="H12" s="10">
        <f t="shared" si="0"/>
        <v>3.3245968014402791</v>
      </c>
      <c r="I12" s="9">
        <f>$C12*$C$48/($C12*$C$48+$C$51*$C$54)*$C$47</f>
        <v>85.900763358778633</v>
      </c>
      <c r="J12" s="10">
        <f>$C12*$C$49/($C12*$C$49+$C$51*$C$53)*$C$47</f>
        <v>95.580943570767815</v>
      </c>
      <c r="K12" s="10">
        <f>I14-J12</f>
        <v>22.554191564367315</v>
      </c>
      <c r="L12" s="10">
        <f t="shared" si="1"/>
        <v>4.4115376322396997</v>
      </c>
      <c r="M12" s="9">
        <f>$C12*$C$48/($C12*$C$48+$C$50*$C$54)*$C$47</f>
        <v>132.06055562668033</v>
      </c>
      <c r="N12" s="10">
        <f>$C12*$C$49/($C12*$C$49+$C$50*$C$53)*$C$47</f>
        <v>146.13133249102981</v>
      </c>
      <c r="O12" s="10">
        <f>M14-N12</f>
        <v>32.189008983568613</v>
      </c>
      <c r="P12" s="10">
        <f t="shared" si="2"/>
        <v>6.3610579522008095</v>
      </c>
      <c r="R12" s="10">
        <f t="shared" si="7"/>
        <v>78.552453109646507</v>
      </c>
      <c r="S12" s="10">
        <f t="shared" si="8"/>
        <v>106.85803935295147</v>
      </c>
      <c r="T12" s="10">
        <f t="shared" si="9"/>
        <v>162.22583698281412</v>
      </c>
      <c r="V12" s="9">
        <f>$C12*$C$48/($C12*$C$48+$D$51*1.05)*$C$47</f>
        <v>85.768496420047725</v>
      </c>
      <c r="W12" s="10">
        <f>$C12*$C$49/($C12*$C$49+$D$51*0.95)*$C$47</f>
        <v>95.688238430668193</v>
      </c>
      <c r="X12" s="10">
        <f>V14-W12</f>
        <v>22.271244135683745</v>
      </c>
      <c r="Y12" s="10">
        <f t="shared" si="3"/>
        <v>4.1525896576005579</v>
      </c>
      <c r="Z12" s="10">
        <f t="shared" si="4"/>
        <v>106.82386049851007</v>
      </c>
      <c r="AA12" s="6">
        <f>Z12-S12</f>
        <v>-3.4178854441393014E-2</v>
      </c>
      <c r="AB12" s="10">
        <f>IF(Z12="","",$D$51*(Z12/($C$47-Z12)))</f>
        <v>3964.3154851485147</v>
      </c>
      <c r="AC12" s="6"/>
      <c r="AD12" s="10">
        <f t="shared" si="5"/>
        <v>3300</v>
      </c>
      <c r="AE12" s="10">
        <f t="shared" si="6"/>
        <v>3964.3154851485147</v>
      </c>
      <c r="AF12" s="6"/>
    </row>
    <row r="13" spans="1:33" s="5" customFormat="1" x14ac:dyDescent="0.35">
      <c r="C13" s="22">
        <v>3900</v>
      </c>
      <c r="D13" s="7"/>
      <c r="E13" s="11">
        <f>$C13*$C$48/($C13*$C$48+$C$52*$C$54)*$C$47</f>
        <v>73.333700948446989</v>
      </c>
      <c r="F13" s="12">
        <f>$C13*$C$49/($C13*$C$49+$C$52*$C$53)*$C$47</f>
        <v>81.721196177255791</v>
      </c>
      <c r="G13" s="12"/>
      <c r="H13" s="10">
        <f t="shared" si="0"/>
        <v>5.3746058950305127</v>
      </c>
      <c r="I13" s="11">
        <f>$C13*$C$48/($C13*$C$48+$C$51*$C$54)*$C$47</f>
        <v>99.992481203007515</v>
      </c>
      <c r="J13" s="12">
        <f>$C13*$C$49/($C13*$C$49+$C$51*$C$53)*$C$47</f>
        <v>111.07243860084345</v>
      </c>
      <c r="K13" s="12"/>
      <c r="L13" s="10">
        <f t="shared" si="1"/>
        <v>7.0626965342916748</v>
      </c>
      <c r="M13" s="11">
        <f>$C13*$C$48/($C13*$C$48+$C$50*$C$54)*$C$47</f>
        <v>152.49239044323062</v>
      </c>
      <c r="N13" s="12">
        <f>$C13*$C$49/($C13*$C$49+$C$50*$C$53)*$C$47</f>
        <v>168.32883297603394</v>
      </c>
      <c r="O13" s="12"/>
      <c r="P13" s="10">
        <f t="shared" si="2"/>
        <v>9.9915084985644853</v>
      </c>
      <c r="R13" s="10" t="str">
        <f t="shared" si="7"/>
        <v/>
      </c>
      <c r="S13" s="10" t="str">
        <f t="shared" si="8"/>
        <v/>
      </c>
      <c r="T13" s="10" t="str">
        <f t="shared" si="9"/>
        <v/>
      </c>
      <c r="V13" s="9">
        <f>$C13*$C$48/($C13*$C$48+$D$51*1.05)*$C$47</f>
        <v>99.840828088268751</v>
      </c>
      <c r="W13" s="10">
        <f>$C13*$C$49/($C13*$C$49+$D$51*0.95)*$C$47</f>
        <v>111.19503849443969</v>
      </c>
      <c r="X13" s="12"/>
      <c r="Y13" s="10">
        <f t="shared" si="3"/>
        <v>6.7644440719122514</v>
      </c>
      <c r="Z13" s="10" t="str">
        <f t="shared" si="4"/>
        <v/>
      </c>
      <c r="AA13" s="6"/>
      <c r="AB13" s="10" t="str">
        <f>IF(Z13="","",$D$51*(Z13/($C$47-Z13)))</f>
        <v/>
      </c>
      <c r="AC13" s="6"/>
      <c r="AD13" s="10" t="str">
        <f t="shared" si="5"/>
        <v/>
      </c>
      <c r="AE13" s="10" t="str">
        <f t="shared" si="6"/>
        <v/>
      </c>
      <c r="AF13" s="6"/>
    </row>
    <row r="14" spans="1:33" s="5" customFormat="1" x14ac:dyDescent="0.35">
      <c r="B14" s="5">
        <v>5</v>
      </c>
      <c r="C14" s="21">
        <v>4700</v>
      </c>
      <c r="E14" s="9">
        <f>$C14*$C$48/($C14*$C$48+$C$52*$C$54)*$C$47</f>
        <v>87.095802072286304</v>
      </c>
      <c r="F14" s="10">
        <f>$C14*$C$49/($C14*$C$49+$C$52*$C$53)*$C$47</f>
        <v>96.896726624935056</v>
      </c>
      <c r="G14" s="10">
        <f t="shared" ref="G14:G32" si="10">E15-F14</f>
        <v>5.2123162040600732</v>
      </c>
      <c r="H14" s="10">
        <f t="shared" si="0"/>
        <v>5.2123162040600732</v>
      </c>
      <c r="I14" s="9">
        <f>$C14*$C$48/($C14*$C$48+$C$51*$C$54)*$C$47</f>
        <v>118.13513513513513</v>
      </c>
      <c r="J14" s="10">
        <f>$C14*$C$49/($C14*$C$49+$C$51*$C$53)*$C$47</f>
        <v>130.94024860463236</v>
      </c>
      <c r="K14" s="10">
        <f t="shared" ref="K14:K35" si="11">I15-J14</f>
        <v>6.771289856906094</v>
      </c>
      <c r="L14" s="10">
        <f t="shared" si="1"/>
        <v>6.771289856906094</v>
      </c>
      <c r="M14" s="9">
        <f>$C14*$C$48/($C14*$C$48+$C$50*$C$54)*$C$47</f>
        <v>178.32034147459842</v>
      </c>
      <c r="N14" s="10">
        <f>$C14*$C$49/($C14*$C$49+$C$50*$C$53)*$C$47</f>
        <v>196.23438790568815</v>
      </c>
      <c r="O14" s="10">
        <f t="shared" ref="O14" si="12">M15-N14</f>
        <v>9.3696004008476166</v>
      </c>
      <c r="P14" s="10">
        <f t="shared" si="2"/>
        <v>9.3696004008476166</v>
      </c>
      <c r="R14" s="10">
        <f t="shared" si="7"/>
        <v>99.502884726965092</v>
      </c>
      <c r="S14" s="10">
        <f t="shared" si="8"/>
        <v>134.32589353308541</v>
      </c>
      <c r="T14" s="10">
        <f t="shared" si="9"/>
        <v>200.91918810611196</v>
      </c>
      <c r="V14" s="9">
        <f>$C14*$C$48/($C14*$C$48+$D$51*1.05)*$C$47</f>
        <v>117.95948256635194</v>
      </c>
      <c r="W14" s="10">
        <f>$C14*$C$49/($C14*$C$49+$D$51*0.95)*$C$47</f>
        <v>131.08162604259456</v>
      </c>
      <c r="X14" s="10">
        <f t="shared" ref="X14:X22" si="13">V15-W14</f>
        <v>6.4295755867333355</v>
      </c>
      <c r="Y14" s="10">
        <f t="shared" si="3"/>
        <v>6.4295755867333355</v>
      </c>
      <c r="Z14" s="10">
        <f t="shared" si="4"/>
        <v>134.29641383596123</v>
      </c>
      <c r="AA14" s="6">
        <f t="shared" ref="AA14:AA36" si="14">Z14-S14</f>
        <v>-2.9479697124173754E-2</v>
      </c>
      <c r="AB14" s="10">
        <f>IF(Z14="","",$D$51*(Z14/($C$47-Z14)))</f>
        <v>5137.9089063109341</v>
      </c>
      <c r="AC14" s="6"/>
      <c r="AD14" s="10">
        <f t="shared" si="5"/>
        <v>4700</v>
      </c>
      <c r="AE14" s="10">
        <f t="shared" si="6"/>
        <v>5137.9089063109341</v>
      </c>
      <c r="AF14" s="6"/>
    </row>
    <row r="15" spans="1:33" s="5" customFormat="1" x14ac:dyDescent="0.35">
      <c r="B15" s="5">
        <v>6</v>
      </c>
      <c r="C15" s="19">
        <v>5600</v>
      </c>
      <c r="E15" s="9">
        <f>$C15*$C$48/($C15*$C$48+$C$52*$C$54)*$C$47</f>
        <v>102.10904282899513</v>
      </c>
      <c r="F15" s="10">
        <f>$C15*$C$49/($C15*$C$49+$C$52*$C$53)*$C$47</f>
        <v>113.39471893588534</v>
      </c>
      <c r="G15" s="10">
        <f t="shared" si="10"/>
        <v>7.9984074442958928</v>
      </c>
      <c r="H15" s="10">
        <f t="shared" si="0"/>
        <v>7.9984074442958928</v>
      </c>
      <c r="I15" s="9">
        <f>$C15*$C$48/($C15*$C$48+$C$51*$C$54)*$C$47</f>
        <v>137.71153846153845</v>
      </c>
      <c r="J15" s="10">
        <f>$C15*$C$49/($C15*$C$49+$C$51*$C$53)*$C$47</f>
        <v>152.28150331613855</v>
      </c>
      <c r="K15" s="10">
        <f t="shared" si="11"/>
        <v>10.25120696423528</v>
      </c>
      <c r="L15" s="10">
        <f t="shared" si="1"/>
        <v>10.25120696423528</v>
      </c>
      <c r="M15" s="9">
        <f>$C15*$C$48/($C15*$C$48+$C$50*$C$54)*$C$47</f>
        <v>205.60398830653577</v>
      </c>
      <c r="N15" s="10">
        <f>$C15*$C$49/($C15*$C$49+$C$50*$C$53)*$C$47</f>
        <v>225.52713144453659</v>
      </c>
      <c r="O15" s="10">
        <f t="shared" ref="O15" si="15">M16-N15</f>
        <v>13.826504509619809</v>
      </c>
      <c r="P15" s="10">
        <f t="shared" si="2"/>
        <v>13.826504509619809</v>
      </c>
      <c r="R15" s="10">
        <f t="shared" si="7"/>
        <v>117.39392265803329</v>
      </c>
      <c r="S15" s="10">
        <f t="shared" si="8"/>
        <v>157.40710679825619</v>
      </c>
      <c r="T15" s="10">
        <f t="shared" si="9"/>
        <v>232.44038369934651</v>
      </c>
      <c r="V15" s="9">
        <f>$C15*$C$48/($C15*$C$48+$D$51*1.05)*$C$47</f>
        <v>137.5112016293279</v>
      </c>
      <c r="W15" s="10">
        <f>$C15*$C$49/($C15*$C$49+$D$51*0.95)*$C$47</f>
        <v>152.44198545684478</v>
      </c>
      <c r="X15" s="10">
        <f t="shared" si="13"/>
        <v>9.8608991585398371</v>
      </c>
      <c r="Y15" s="10">
        <f t="shared" si="3"/>
        <v>9.8608991585398371</v>
      </c>
      <c r="Z15" s="10">
        <f t="shared" si="4"/>
        <v>157.37243503611469</v>
      </c>
      <c r="AA15" s="6">
        <f t="shared" si="14"/>
        <v>-3.4671762141499585E-2</v>
      </c>
      <c r="AB15" s="10">
        <f>IF(Z15="","",$D$51*(Z15/($C$47-Z15)))</f>
        <v>6181.2527786717756</v>
      </c>
      <c r="AC15" s="6"/>
      <c r="AD15" s="10">
        <f t="shared" si="5"/>
        <v>5600</v>
      </c>
      <c r="AE15" s="10">
        <f t="shared" si="6"/>
        <v>6181.2527786717756</v>
      </c>
      <c r="AF15" s="6"/>
    </row>
    <row r="16" spans="1:33" s="5" customFormat="1" x14ac:dyDescent="0.35">
      <c r="B16" s="5">
        <v>7</v>
      </c>
      <c r="C16" s="21">
        <v>6800</v>
      </c>
      <c r="E16" s="9">
        <f>$C16*$C$48/($C16*$C$48+$C$52*$C$54)*$C$47</f>
        <v>121.39312638018123</v>
      </c>
      <c r="F16" s="10">
        <f>$C16*$C$49/($C16*$C$49+$C$52*$C$53)*$C$47</f>
        <v>134.49889429320527</v>
      </c>
      <c r="G16" s="10">
        <f t="shared" si="10"/>
        <v>8.3959012320118234</v>
      </c>
      <c r="H16" s="10">
        <f t="shared" si="0"/>
        <v>8.3959012320118234</v>
      </c>
      <c r="I16" s="9">
        <f>$C16*$C$48/($C16*$C$48+$C$51*$C$54)*$C$47</f>
        <v>162.53271028037383</v>
      </c>
      <c r="J16" s="10">
        <f>$C16*$C$49/($C16*$C$49+$C$51*$C$53)*$C$47</f>
        <v>179.19720465211179</v>
      </c>
      <c r="K16" s="10">
        <f t="shared" si="11"/>
        <v>10.590125664630307</v>
      </c>
      <c r="L16" s="10">
        <f t="shared" si="1"/>
        <v>10.590125664630307</v>
      </c>
      <c r="M16" s="9">
        <f>$C16*$C$48/($C16*$C$48+$C$50*$C$54)*$C$47</f>
        <v>239.3536359541564</v>
      </c>
      <c r="N16" s="10">
        <f>$C16*$C$49/($C16*$C$49+$C$50*$C$53)*$C$47</f>
        <v>261.50088730616233</v>
      </c>
      <c r="O16" s="10">
        <f t="shared" ref="O16:O32" si="16">M17-N16</f>
        <v>13.866768529777232</v>
      </c>
      <c r="P16" s="10">
        <f t="shared" si="2"/>
        <v>13.866768529777232</v>
      </c>
      <c r="R16" s="10">
        <f t="shared" si="7"/>
        <v>138.69684490921117</v>
      </c>
      <c r="S16" s="10">
        <f t="shared" si="8"/>
        <v>184.49226748442695</v>
      </c>
      <c r="T16" s="10">
        <f t="shared" si="9"/>
        <v>268.43427157105094</v>
      </c>
      <c r="V16" s="9">
        <f>$C16*$C$48/($C16*$C$48+$D$51*1.05)*$C$47</f>
        <v>162.30288461538461</v>
      </c>
      <c r="W16" s="10">
        <f>$C16*$C$49/($C16*$C$49+$D$51*0.95)*$C$47</f>
        <v>179.38020833333331</v>
      </c>
      <c r="X16" s="10">
        <f t="shared" si="13"/>
        <v>10.14724613743212</v>
      </c>
      <c r="Y16" s="10">
        <f t="shared" si="3"/>
        <v>10.14724613743212</v>
      </c>
      <c r="Z16" s="10">
        <f t="shared" si="4"/>
        <v>184.45383140204939</v>
      </c>
      <c r="AA16" s="6">
        <f t="shared" si="14"/>
        <v>-3.8436082377558023E-2</v>
      </c>
      <c r="AB16" s="10">
        <f>IF(Z16="","",$D$51*(Z16/($C$47-Z16)))</f>
        <v>7478.9325889539423</v>
      </c>
      <c r="AC16" s="6"/>
      <c r="AD16" s="10">
        <f t="shared" si="5"/>
        <v>6800</v>
      </c>
      <c r="AE16" s="10">
        <f t="shared" si="6"/>
        <v>7478.9325889539423</v>
      </c>
      <c r="AF16" s="6"/>
    </row>
    <row r="17" spans="2:32" s="5" customFormat="1" x14ac:dyDescent="0.35">
      <c r="B17" s="5">
        <v>8</v>
      </c>
      <c r="C17" s="21">
        <v>8200</v>
      </c>
      <c r="E17" s="9">
        <f>$C17*$C$48/($C17*$C$48+$C$52*$C$54)*$C$47</f>
        <v>142.89479552521709</v>
      </c>
      <c r="F17" s="10">
        <f>$C17*$C$49/($C17*$C$49+$C$52*$C$53)*$C$47</f>
        <v>157.91533152116378</v>
      </c>
      <c r="G17" s="10">
        <f t="shared" si="10"/>
        <v>11.162366389743255</v>
      </c>
      <c r="H17" s="10">
        <f t="shared" si="0"/>
        <v>11.162366389743255</v>
      </c>
      <c r="I17" s="9">
        <f>$C17*$C$48/($C17*$C$48+$C$51*$C$54)*$C$47</f>
        <v>189.7873303167421</v>
      </c>
      <c r="J17" s="10">
        <f>$C17*$C$49/($C17*$C$49+$C$51*$C$53)*$C$47</f>
        <v>208.56890354980061</v>
      </c>
      <c r="K17" s="10">
        <f t="shared" si="11"/>
        <v>13.822400798025484</v>
      </c>
      <c r="L17" s="10">
        <f t="shared" si="1"/>
        <v>13.822400798025484</v>
      </c>
      <c r="M17" s="9">
        <f>$C17*$C$48/($C17*$C$48+$C$50*$C$54)*$C$47</f>
        <v>275.36765583593956</v>
      </c>
      <c r="N17" s="10">
        <f>$C17*$C$49/($C17*$C$49+$C$50*$C$53)*$C$47</f>
        <v>299.57336580646802</v>
      </c>
      <c r="O17" s="10">
        <f t="shared" si="16"/>
        <v>17.505440379006018</v>
      </c>
      <c r="P17" s="10">
        <f t="shared" si="2"/>
        <v>17.505440379006018</v>
      </c>
      <c r="R17" s="10">
        <f t="shared" si="7"/>
        <v>163.49651471603539</v>
      </c>
      <c r="S17" s="10">
        <f t="shared" si="8"/>
        <v>215.48010394881334</v>
      </c>
      <c r="T17" s="10">
        <f t="shared" si="9"/>
        <v>308.32608599597103</v>
      </c>
      <c r="V17" s="9">
        <f>$C17*$C$48/($C17*$C$48+$D$51*1.05)*$C$47</f>
        <v>189.52745447076543</v>
      </c>
      <c r="W17" s="10">
        <f>$C17*$C$49/($C17*$C$49+$D$51*0.95)*$C$47</f>
        <v>208.77448129712678</v>
      </c>
      <c r="X17" s="10">
        <f t="shared" si="13"/>
        <v>13.324202913399546</v>
      </c>
      <c r="Y17" s="10">
        <f t="shared" si="3"/>
        <v>13.324202913399546</v>
      </c>
      <c r="Z17" s="10">
        <f t="shared" si="4"/>
        <v>215.43658275382654</v>
      </c>
      <c r="AA17" s="6">
        <f t="shared" si="14"/>
        <v>-4.3521194986794853E-2</v>
      </c>
      <c r="AB17" s="10">
        <f>IF(Z17="","",$D$51*(Z17/($C$47-Z17)))</f>
        <v>9070.3016719208754</v>
      </c>
      <c r="AC17" s="6"/>
      <c r="AD17" s="10">
        <f t="shared" si="5"/>
        <v>8200</v>
      </c>
      <c r="AE17" s="10">
        <f t="shared" si="6"/>
        <v>9070.3016719208754</v>
      </c>
      <c r="AF17" s="6"/>
    </row>
    <row r="18" spans="2:32" s="5" customFormat="1" x14ac:dyDescent="0.35">
      <c r="B18" s="5">
        <v>9</v>
      </c>
      <c r="C18" s="21">
        <v>10000</v>
      </c>
      <c r="E18" s="9">
        <f>$C18*$C$48/($C18*$C$48+$C$52*$C$54)*$C$47</f>
        <v>169.07769791090703</v>
      </c>
      <c r="F18" s="10">
        <f>$C18*$C$49/($C18*$C$49+$C$52*$C$53)*$C$47</f>
        <v>186.26798447018643</v>
      </c>
      <c r="G18" s="10">
        <f t="shared" si="10"/>
        <v>10.133160461396926</v>
      </c>
      <c r="H18" s="10">
        <f t="shared" si="0"/>
        <v>10.133160461396926</v>
      </c>
      <c r="I18" s="9">
        <f>$C18*$C$48/($C18*$C$48+$C$51*$C$54)*$C$47</f>
        <v>222.39130434782609</v>
      </c>
      <c r="J18" s="10">
        <f>$C18*$C$49/($C18*$C$49+$C$51*$C$53)*$C$47</f>
        <v>243.45664467483505</v>
      </c>
      <c r="K18" s="10">
        <f t="shared" si="11"/>
        <v>12.293355325164953</v>
      </c>
      <c r="L18" s="10">
        <f t="shared" si="1"/>
        <v>12.293355325164953</v>
      </c>
      <c r="M18" s="9">
        <f>$C18*$C$48/($C18*$C$48+$C$50*$C$54)*$C$47</f>
        <v>317.07880618547404</v>
      </c>
      <c r="N18" s="10">
        <f>$C18*$C$49/($C18*$C$49+$C$50*$C$53)*$C$47</f>
        <v>343.26760540919815</v>
      </c>
      <c r="O18" s="10">
        <f t="shared" si="16"/>
        <v>15.016908090547133</v>
      </c>
      <c r="P18" s="10">
        <f t="shared" si="2"/>
        <v>15.016908090547133</v>
      </c>
      <c r="R18" s="10">
        <f t="shared" si="7"/>
        <v>191.3345647008849</v>
      </c>
      <c r="S18" s="10">
        <f t="shared" si="8"/>
        <v>249.60332233741752</v>
      </c>
      <c r="T18" s="10">
        <f t="shared" si="9"/>
        <v>350.77605945447169</v>
      </c>
      <c r="V18" s="9">
        <f>$C18*$C$48/($C18*$C$48+$D$51*1.05)*$C$47</f>
        <v>222.09868421052633</v>
      </c>
      <c r="W18" s="10">
        <f>$C18*$C$49/($C18*$C$49+$D$51*0.95)*$C$47</f>
        <v>243.68632075471697</v>
      </c>
      <c r="X18" s="10">
        <f t="shared" si="13"/>
        <v>11.741169787527667</v>
      </c>
      <c r="Y18" s="10">
        <f t="shared" si="3"/>
        <v>11.741169787527667</v>
      </c>
      <c r="Z18" s="10">
        <f t="shared" si="4"/>
        <v>249.55690564848081</v>
      </c>
      <c r="AA18" s="6">
        <f t="shared" si="14"/>
        <v>-4.6416688936716355E-2</v>
      </c>
      <c r="AB18" s="10">
        <f>IF(Z18="","",$D$51*(Z18/($C$47-Z18)))</f>
        <v>10970.34139164744</v>
      </c>
      <c r="AC18" s="6"/>
      <c r="AD18" s="10">
        <f t="shared" si="5"/>
        <v>10000</v>
      </c>
      <c r="AE18" s="10">
        <f t="shared" si="6"/>
        <v>10970.34139164744</v>
      </c>
      <c r="AF18" s="6"/>
    </row>
    <row r="19" spans="2:32" s="5" customFormat="1" x14ac:dyDescent="0.35">
      <c r="B19" s="5">
        <v>10</v>
      </c>
      <c r="C19" s="21">
        <v>12000</v>
      </c>
      <c r="E19" s="9">
        <f>$C19*$C$48/($C19*$C$48+$C$52*$C$54)*$C$47</f>
        <v>196.40114493158336</v>
      </c>
      <c r="F19" s="10">
        <f>$C19*$C$49/($C19*$C$49+$C$52*$C$53)*$C$47</f>
        <v>215.66781608235718</v>
      </c>
      <c r="G19" s="10">
        <f t="shared" si="10"/>
        <v>18.590086192565366</v>
      </c>
      <c r="H19" s="10">
        <f t="shared" si="0"/>
        <v>18.590086192565366</v>
      </c>
      <c r="I19" s="9">
        <f>$C19*$C$48/($C19*$C$48+$C$51*$C$54)*$C$47</f>
        <v>255.75</v>
      </c>
      <c r="J19" s="10">
        <f>$C19*$C$49/($C19*$C$49+$C$51*$C$53)*$C$47</f>
        <v>278.87449392712551</v>
      </c>
      <c r="K19" s="10">
        <f t="shared" si="11"/>
        <v>22.00785901405095</v>
      </c>
      <c r="L19" s="10">
        <f t="shared" si="1"/>
        <v>22.00785901405095</v>
      </c>
      <c r="M19" s="9">
        <f>$C19*$C$48/($C19*$C$48+$C$50*$C$54)*$C$47</f>
        <v>358.28451349974529</v>
      </c>
      <c r="N19" s="10">
        <f>$C19*$C$49/($C19*$C$49+$C$50*$C$53)*$C$47</f>
        <v>386.01562149749191</v>
      </c>
      <c r="O19" s="10">
        <f t="shared" si="16"/>
        <v>25.78395693215856</v>
      </c>
      <c r="P19" s="10">
        <f t="shared" si="2"/>
        <v>25.78395693215856</v>
      </c>
      <c r="R19" s="10">
        <f t="shared" si="7"/>
        <v>224.96285917863986</v>
      </c>
      <c r="S19" s="10">
        <f t="shared" si="8"/>
        <v>289.87842343415099</v>
      </c>
      <c r="T19" s="10">
        <f t="shared" si="9"/>
        <v>398.90759996357122</v>
      </c>
      <c r="V19" s="9">
        <f>$C19*$C$48/($C19*$C$48+$D$51*1.05)*$C$47</f>
        <v>255.42749054224464</v>
      </c>
      <c r="W19" s="10">
        <f>$C19*$C$49/($C19*$C$49+$D$51*0.95)*$C$47</f>
        <v>279.12561909049975</v>
      </c>
      <c r="X19" s="10">
        <f t="shared" si="13"/>
        <v>21.399603461429024</v>
      </c>
      <c r="Y19" s="10">
        <f t="shared" si="3"/>
        <v>21.399603461429024</v>
      </c>
      <c r="Z19" s="10">
        <f t="shared" si="4"/>
        <v>289.82542082121427</v>
      </c>
      <c r="AA19" s="6">
        <f t="shared" si="14"/>
        <v>-5.3002612936722926E-2</v>
      </c>
      <c r="AB19" s="10">
        <f>IF(Z19="","",$D$51*(Z19/($C$47-Z19)))</f>
        <v>13440.27000903199</v>
      </c>
      <c r="AC19" s="6"/>
      <c r="AD19" s="10">
        <f t="shared" si="5"/>
        <v>12000</v>
      </c>
      <c r="AE19" s="10">
        <f t="shared" si="6"/>
        <v>13440.27000903199</v>
      </c>
      <c r="AF19" s="6"/>
    </row>
    <row r="20" spans="2:32" s="5" customFormat="1" x14ac:dyDescent="0.35">
      <c r="B20" s="5">
        <v>11</v>
      </c>
      <c r="C20" s="21">
        <v>15000</v>
      </c>
      <c r="E20" s="9">
        <f>$C20*$C$48/($C20*$C$48+$C$52*$C$54)*$C$47</f>
        <v>234.25790227492254</v>
      </c>
      <c r="F20" s="10">
        <f>$C20*$C$49/($C20*$C$49+$C$52*$C$53)*$C$47</f>
        <v>256.08773154298535</v>
      </c>
      <c r="G20" s="10">
        <f t="shared" si="10"/>
        <v>12.711236544153962</v>
      </c>
      <c r="H20" s="10">
        <f t="shared" si="0"/>
        <v>12.711236544153962</v>
      </c>
      <c r="I20" s="9">
        <f>$C20*$C$48/($C20*$C$48+$C$51*$C$54)*$C$47</f>
        <v>300.88235294117646</v>
      </c>
      <c r="J20" s="10">
        <f>$C20*$C$49/($C20*$C$49+$C$51*$C$53)*$C$47</f>
        <v>326.35186355022108</v>
      </c>
      <c r="K20" s="10">
        <f t="shared" si="11"/>
        <v>14.648136449778917</v>
      </c>
      <c r="L20" s="10">
        <f t="shared" si="1"/>
        <v>14.648136449778917</v>
      </c>
      <c r="M20" s="9">
        <f>$C20*$C$48/($C20*$C$48+$C$50*$C$54)*$C$47</f>
        <v>411.79957842965047</v>
      </c>
      <c r="N20" s="10">
        <f>$C20*$C$49/($C20*$C$49+$C$50*$C$53)*$C$47</f>
        <v>440.9251934005959</v>
      </c>
      <c r="O20" s="10">
        <f t="shared" si="16"/>
        <v>16.414678713850833</v>
      </c>
      <c r="P20" s="10">
        <f t="shared" si="2"/>
        <v>16.414678713850833</v>
      </c>
      <c r="R20" s="10">
        <f t="shared" si="7"/>
        <v>262.44334981506233</v>
      </c>
      <c r="S20" s="10">
        <f t="shared" si="8"/>
        <v>333.67593177511054</v>
      </c>
      <c r="T20" s="10">
        <f t="shared" si="9"/>
        <v>449.13253275752129</v>
      </c>
      <c r="V20" s="9">
        <f>$C20*$C$48/($C20*$C$48+$D$51*1.05)*$C$47</f>
        <v>300.52522255192878</v>
      </c>
      <c r="W20" s="10">
        <f>$C20*$C$49/($C20*$C$49+$D$51*0.95)*$C$47</f>
        <v>326.62697576396204</v>
      </c>
      <c r="X20" s="10">
        <f t="shared" si="13"/>
        <v>13.990737240522265</v>
      </c>
      <c r="Y20" s="10">
        <f t="shared" si="3"/>
        <v>13.990737240522265</v>
      </c>
      <c r="Z20" s="10">
        <f t="shared" si="4"/>
        <v>333.6223443842232</v>
      </c>
      <c r="AA20" s="6">
        <f t="shared" si="14"/>
        <v>-5.35873908873441E-2</v>
      </c>
      <c r="AB20" s="10">
        <f>IF(Z20="","",$D$51*(Z20/($C$47-Z20)))</f>
        <v>16454.202738746259</v>
      </c>
      <c r="AC20" s="6"/>
      <c r="AD20" s="10">
        <f t="shared" si="5"/>
        <v>15000</v>
      </c>
      <c r="AE20" s="10">
        <f t="shared" si="6"/>
        <v>16454.202738746259</v>
      </c>
      <c r="AF20" s="6"/>
    </row>
    <row r="21" spans="2:32" s="5" customFormat="1" x14ac:dyDescent="0.35">
      <c r="B21" s="5">
        <v>12</v>
      </c>
      <c r="C21" s="21">
        <v>18000</v>
      </c>
      <c r="E21" s="9">
        <f>$C21*$C$48/($C21*$C$48+$C$52*$C$54)*$C$47</f>
        <v>268.79896808713931</v>
      </c>
      <c r="F21" s="10">
        <f>$C21*$C$49/($C21*$C$49+$C$52*$C$53)*$C$47</f>
        <v>292.65329012961115</v>
      </c>
      <c r="G21" s="10">
        <f t="shared" si="10"/>
        <v>17.754056350618384</v>
      </c>
      <c r="H21" s="10">
        <f t="shared" si="0"/>
        <v>17.754056350618384</v>
      </c>
      <c r="I21" s="9">
        <f>$C21*$C$48/($C21*$C$48+$C$51*$C$54)*$C$47</f>
        <v>341</v>
      </c>
      <c r="J21" s="10">
        <f>$C21*$C$49/($C21*$C$49+$C$51*$C$53)*$C$47</f>
        <v>368.13420427553444</v>
      </c>
      <c r="K21" s="10">
        <f t="shared" si="11"/>
        <v>19.900278483086254</v>
      </c>
      <c r="L21" s="10">
        <f t="shared" si="1"/>
        <v>19.900278483086254</v>
      </c>
      <c r="M21" s="9">
        <f>$C21*$C$48/($C21*$C$48+$C$50*$C$54)*$C$47</f>
        <v>457.33987211444673</v>
      </c>
      <c r="N21" s="10">
        <f>$C21*$C$49/($C21*$C$49+$C$50*$C$53)*$C$47</f>
        <v>487.11938028027362</v>
      </c>
      <c r="O21" s="10">
        <f t="shared" si="16"/>
        <v>21.338278028687625</v>
      </c>
      <c r="P21" s="10">
        <f t="shared" si="2"/>
        <v>21.338278028687625</v>
      </c>
      <c r="R21" s="10">
        <f t="shared" si="7"/>
        <v>301.53031830492034</v>
      </c>
      <c r="S21" s="10">
        <f t="shared" si="8"/>
        <v>378.08434351707757</v>
      </c>
      <c r="T21" s="10">
        <f t="shared" si="9"/>
        <v>497.78851929461746</v>
      </c>
      <c r="V21" s="9">
        <f>$C21*$C$48/($C21*$C$48+$D$51*1.05)*$C$47</f>
        <v>340.6177130044843</v>
      </c>
      <c r="W21" s="10">
        <f>$C21*$C$49/($C21*$C$49+$D$51*0.95)*$C$47</f>
        <v>368.42591125198095</v>
      </c>
      <c r="X21" s="10">
        <f t="shared" si="13"/>
        <v>19.203525073697563</v>
      </c>
      <c r="Y21" s="10">
        <f t="shared" si="3"/>
        <v>19.203525073697563</v>
      </c>
      <c r="Z21" s="10">
        <f t="shared" si="4"/>
        <v>378.0276737888297</v>
      </c>
      <c r="AA21" s="6">
        <f t="shared" si="14"/>
        <v>-5.6669728247868534E-2</v>
      </c>
      <c r="AB21" s="10">
        <f>IF(Z21="","",$D$51*(Z21/($C$47-Z21)))</f>
        <v>19927.895177028156</v>
      </c>
      <c r="AC21" s="6"/>
      <c r="AD21" s="10">
        <f t="shared" si="5"/>
        <v>18000</v>
      </c>
      <c r="AE21" s="10">
        <f t="shared" si="6"/>
        <v>19927.895177028156</v>
      </c>
      <c r="AF21" s="6"/>
    </row>
    <row r="22" spans="2:32" s="5" customFormat="1" x14ac:dyDescent="0.35">
      <c r="B22" s="5">
        <v>13</v>
      </c>
      <c r="C22" s="21">
        <v>22000</v>
      </c>
      <c r="E22" s="9">
        <f>$C22*$C$48/($C22*$C$48+$C$52*$C$54)*$C$47</f>
        <v>310.40734648022953</v>
      </c>
      <c r="F22" s="10">
        <f>$C22*$C$49/($C22*$C$49+$C$52*$C$53)*$C$47</f>
        <v>336.30763567671465</v>
      </c>
      <c r="G22" s="10">
        <f t="shared" si="10"/>
        <v>20.0706262944027</v>
      </c>
      <c r="H22" s="10">
        <f>E23-F22</f>
        <v>20.0706262944027</v>
      </c>
      <c r="I22" s="9">
        <f>$C22*$C$48/($C22*$C$48+$C$51*$C$54)*$C$47</f>
        <v>388.0344827586207</v>
      </c>
      <c r="J22" s="10">
        <f>$C22*$C$49/($C22*$C$49+$C$51*$C$53)*$C$47</f>
        <v>416.625</v>
      </c>
      <c r="K22" s="10">
        <f t="shared" si="11"/>
        <v>21.803571428571388</v>
      </c>
      <c r="L22" s="10">
        <f t="shared" si="1"/>
        <v>21.803571428571388</v>
      </c>
      <c r="M22" s="9">
        <f>$C22*$C$48/($C22*$C$48+$C$50*$C$54)*$C$47</f>
        <v>508.45765830896124</v>
      </c>
      <c r="N22" s="10">
        <f>$C22*$C$49/($C22*$C$49+$C$50*$C$53)*$C$47</f>
        <v>538.39758748493603</v>
      </c>
      <c r="O22" s="10">
        <f t="shared" si="16"/>
        <v>22.283797873140088</v>
      </c>
      <c r="P22" s="10">
        <f t="shared" si="2"/>
        <v>22.283797873140088</v>
      </c>
      <c r="R22" s="10">
        <f t="shared" si="7"/>
        <v>346.342948823916</v>
      </c>
      <c r="S22" s="10">
        <f t="shared" si="8"/>
        <v>427.52678571428567</v>
      </c>
      <c r="T22" s="10">
        <f t="shared" si="9"/>
        <v>549.53948642150613</v>
      </c>
      <c r="V22" s="9">
        <f>$C22*$C$48/($C22*$C$48+$D$51*1.05)*$C$47</f>
        <v>387.62943632567851</v>
      </c>
      <c r="W22" s="10">
        <f>$C22*$C$49/($C22*$C$49+$D$51*0.95)*$C$47</f>
        <v>416.93066764490095</v>
      </c>
      <c r="X22" s="10">
        <f t="shared" si="13"/>
        <v>21.076540428140902</v>
      </c>
      <c r="Y22" s="10">
        <f t="shared" si="3"/>
        <v>21.076540428140902</v>
      </c>
      <c r="Z22" s="10">
        <f t="shared" si="4"/>
        <v>427.4689378589714</v>
      </c>
      <c r="AA22" s="6">
        <f t="shared" si="14"/>
        <v>-5.7847855314264507E-2</v>
      </c>
      <c r="AB22" s="10">
        <f>IF(Z22="","",$D$51*(Z22/($C$47-Z22)))</f>
        <v>24405.013963424841</v>
      </c>
      <c r="AC22" s="6"/>
      <c r="AD22" s="10">
        <f t="shared" si="5"/>
        <v>22000</v>
      </c>
      <c r="AE22" s="10">
        <f t="shared" si="6"/>
        <v>24405.013963424841</v>
      </c>
      <c r="AF22" s="6"/>
    </row>
    <row r="23" spans="2:32" s="5" customFormat="1" x14ac:dyDescent="0.35">
      <c r="B23" s="5">
        <v>14</v>
      </c>
      <c r="C23" s="21">
        <v>27000</v>
      </c>
      <c r="E23" s="9">
        <f>$C23*$C$48/($C23*$C$48+$C$52*$C$54)*$C$47</f>
        <v>356.37826197111735</v>
      </c>
      <c r="F23" s="10">
        <f>$C23*$C$49/($C23*$C$49+$C$52*$C$53)*$C$47</f>
        <v>384.04707153406218</v>
      </c>
      <c r="G23" s="10">
        <f>E24-F23</f>
        <v>20.229441934963006</v>
      </c>
      <c r="H23" s="10">
        <f>E24-F23</f>
        <v>20.229441934963006</v>
      </c>
      <c r="I23" s="9">
        <f>$C23*$C$48/($C23*$C$48+$C$51*$C$54)*$C$47</f>
        <v>438.42857142857139</v>
      </c>
      <c r="J23" s="10">
        <f>$C23*$C$49/($C23*$C$49+$C$51*$C$53)*$C$47</f>
        <v>467.99547055863115</v>
      </c>
      <c r="K23" s="10">
        <f>I24-J23</f>
        <v>21.265399006586279</v>
      </c>
      <c r="L23" s="10">
        <f>I24-J23</f>
        <v>21.265399006586279</v>
      </c>
      <c r="M23" s="9">
        <f>$C23*$C$48/($C23*$C$48+$C$50*$C$54)*$C$47</f>
        <v>560.68138535807611</v>
      </c>
      <c r="N23" s="10">
        <f>$C23*$C$49/($C23*$C$49+$C$50*$C$53)*$C$47</f>
        <v>590.16933418856513</v>
      </c>
      <c r="O23" s="10">
        <f>M24-N23</f>
        <v>20.706539316113322</v>
      </c>
      <c r="P23" s="10">
        <f>M24-N23</f>
        <v>20.706539316113322</v>
      </c>
      <c r="R23" s="10">
        <f t="shared" si="7"/>
        <v>394.16179250154369</v>
      </c>
      <c r="S23" s="10">
        <f t="shared" si="8"/>
        <v>478.62817006192427</v>
      </c>
      <c r="T23" s="10">
        <f t="shared" si="9"/>
        <v>600.52260384662179</v>
      </c>
      <c r="V23" s="9">
        <f>$C23*$C$48/($C23*$C$48+$D$51*1.05)*$C$47</f>
        <v>438.00720807304185</v>
      </c>
      <c r="W23" s="10">
        <f>$C23*$C$49/($C23*$C$49+$D$51*0.95)*$C$47</f>
        <v>468.30971965754571</v>
      </c>
      <c r="X23" s="10">
        <f>V24-W23</f>
        <v>20.521785388527178</v>
      </c>
      <c r="Y23" s="10">
        <f>V24-W23</f>
        <v>20.521785388527178</v>
      </c>
      <c r="Z23" s="10">
        <f t="shared" si="4"/>
        <v>478.5706123518093</v>
      </c>
      <c r="AA23" s="6">
        <f t="shared" si="14"/>
        <v>-5.7557710114963356E-2</v>
      </c>
      <c r="AB23" s="10">
        <f>IF(Z23="","",$D$51*(Z23/($C$47-Z23)))</f>
        <v>29887.072941176473</v>
      </c>
      <c r="AC23" s="6"/>
      <c r="AD23" s="10">
        <f t="shared" si="5"/>
        <v>27000</v>
      </c>
      <c r="AE23" s="10">
        <f t="shared" si="6"/>
        <v>29887.072941176473</v>
      </c>
      <c r="AF23" s="6"/>
    </row>
    <row r="24" spans="2:32" s="5" customFormat="1" x14ac:dyDescent="0.35">
      <c r="B24" s="5">
        <v>15</v>
      </c>
      <c r="C24" s="21">
        <v>33000</v>
      </c>
      <c r="E24" s="9">
        <f>$C24*$C$48/($C24*$C$48+$C$52*$C$54)*$C$47</f>
        <v>404.27651346902519</v>
      </c>
      <c r="F24" s="10">
        <f>$C24*$C$49/($C24*$C$49+$C$52*$C$53)*$C$47</f>
        <v>433.24720889737341</v>
      </c>
      <c r="G24" s="10">
        <f>E25-F24</f>
        <v>12.505783326501046</v>
      </c>
      <c r="H24" s="10">
        <f>E25-F24</f>
        <v>12.505783326501046</v>
      </c>
      <c r="I24" s="9">
        <f>$C24*$C$48/($C24*$C$48+$C$51*$C$54)*$C$47</f>
        <v>489.26086956521743</v>
      </c>
      <c r="J24" s="10">
        <f>$C24*$C$49/($C24*$C$49+$C$51*$C$53)*$C$47</f>
        <v>519.2110552763819</v>
      </c>
      <c r="K24" s="10">
        <f>I25-J24</f>
        <v>12.748944723618138</v>
      </c>
      <c r="L24" s="10">
        <f>I25-J24</f>
        <v>12.748944723618138</v>
      </c>
      <c r="M24" s="9">
        <f>$C24*$C$48/($C24*$C$48+$C$50*$C$54)*$C$47</f>
        <v>610.87587350467845</v>
      </c>
      <c r="N24" s="10">
        <f>$C24*$C$49/($C24*$C$49+$C$50*$C$53)*$C$47</f>
        <v>639.35294011757776</v>
      </c>
      <c r="O24" s="10">
        <f>M25-N24</f>
        <v>11.885529913406344</v>
      </c>
      <c r="P24" s="10">
        <f>M25-N24</f>
        <v>11.885529913406344</v>
      </c>
      <c r="R24" s="10">
        <f t="shared" si="7"/>
        <v>439.50010056062393</v>
      </c>
      <c r="S24" s="10">
        <f t="shared" si="8"/>
        <v>525.58552763819102</v>
      </c>
      <c r="T24" s="10">
        <f t="shared" si="9"/>
        <v>645.29570507428093</v>
      </c>
      <c r="V24" s="9">
        <f>$C24*$C$48/($C24*$C$48+$D$51*1.05)*$C$47</f>
        <v>488.83150504607289</v>
      </c>
      <c r="W24" s="10">
        <f>$C24*$C$49/($C24*$C$49+$D$51*0.95)*$C$47</f>
        <v>519.52750266646342</v>
      </c>
      <c r="X24" s="10">
        <f>V25-W24</f>
        <v>12.002977753399364</v>
      </c>
      <c r="Y24" s="10">
        <f>V25-W24</f>
        <v>12.002977753399364</v>
      </c>
      <c r="Z24" s="10">
        <f t="shared" si="4"/>
        <v>525.5289915431631</v>
      </c>
      <c r="AA24" s="6">
        <f t="shared" si="14"/>
        <v>-5.6536095027922784E-2</v>
      </c>
      <c r="AB24" s="10">
        <f>IF(Z24="","",$D$51*(Z24/($C$47-Z24)))</f>
        <v>35917.642251946148</v>
      </c>
      <c r="AC24" s="6"/>
      <c r="AD24" s="10">
        <f t="shared" si="5"/>
        <v>33000</v>
      </c>
      <c r="AE24" s="10">
        <f t="shared" si="6"/>
        <v>35917.642251946148</v>
      </c>
      <c r="AF24" s="6"/>
    </row>
    <row r="25" spans="2:32" s="5" customFormat="1" x14ac:dyDescent="0.35">
      <c r="B25" s="5">
        <v>16</v>
      </c>
      <c r="C25" s="21">
        <v>39000</v>
      </c>
      <c r="E25" s="9">
        <f>$C25*$C$48/($C25*$C$48+$C$52*$C$54)*$C$47</f>
        <v>445.75299222387446</v>
      </c>
      <c r="F25" s="10">
        <f>$C25*$C$49/($C25*$C$49+$C$52*$C$53)*$C$47</f>
        <v>475.41212797345167</v>
      </c>
      <c r="G25" s="10">
        <f t="shared" si="10"/>
        <v>17.702424980624244</v>
      </c>
      <c r="H25" s="10">
        <f t="shared" ref="H25:H42" si="17">E26-F25</f>
        <v>17.702424980624244</v>
      </c>
      <c r="I25" s="9">
        <f>$C25*$C$48/($C25*$C$48+$C$51*$C$54)*$C$47</f>
        <v>531.96</v>
      </c>
      <c r="J25" s="10">
        <f>$C25*$C$49/($C25*$C$49+$C$51*$C$53)*$C$47</f>
        <v>561.77289836888326</v>
      </c>
      <c r="K25" s="10">
        <f t="shared" si="11"/>
        <v>17.516258257622781</v>
      </c>
      <c r="L25" s="10">
        <f t="shared" ref="L25:L42" si="18">I26-J25</f>
        <v>17.516258257622781</v>
      </c>
      <c r="M25" s="9">
        <f>$C25*$C$48/($C25*$C$48+$C$50*$C$54)*$C$47</f>
        <v>651.2384700309841</v>
      </c>
      <c r="N25" s="10">
        <f>$C25*$C$49/($C25*$C$49+$C$50*$C$53)*$C$47</f>
        <v>678.49938642703864</v>
      </c>
      <c r="O25" s="10">
        <f t="shared" si="16"/>
        <v>15.678034113297599</v>
      </c>
      <c r="P25" s="10">
        <f t="shared" ref="P25:P42" si="19">M26-N25</f>
        <v>15.678034113297599</v>
      </c>
      <c r="R25" s="10">
        <f t="shared" si="7"/>
        <v>484.26334046376383</v>
      </c>
      <c r="S25" s="10">
        <f t="shared" si="8"/>
        <v>570.53102749769459</v>
      </c>
      <c r="T25" s="10">
        <f t="shared" si="9"/>
        <v>686.33840348368744</v>
      </c>
      <c r="V25" s="9">
        <f>$C25*$C$48/($C25*$C$48+$D$51*1.05)*$C$47</f>
        <v>531.53048041986278</v>
      </c>
      <c r="W25" s="10">
        <f>$C25*$C$49/($C25*$C$49+$D$51*0.95)*$C$47</f>
        <v>562.08634398102936</v>
      </c>
      <c r="X25" s="10">
        <f t="shared" ref="X25:X35" si="20">V26-W25</f>
        <v>16.780128109448583</v>
      </c>
      <c r="Y25" s="10">
        <f t="shared" ref="Y25:Y42" si="21">V26-W25</f>
        <v>16.780128109448583</v>
      </c>
      <c r="Z25" s="10">
        <f t="shared" si="4"/>
        <v>570.47640803575359</v>
      </c>
      <c r="AA25" s="6">
        <f t="shared" si="14"/>
        <v>-5.4619461941001646E-2</v>
      </c>
      <c r="AB25" s="10">
        <f>IF(Z25="","",$D$51*(Z25/($C$47-Z25)))</f>
        <v>42862.290978075907</v>
      </c>
      <c r="AC25" s="6"/>
      <c r="AD25" s="10">
        <f t="shared" si="5"/>
        <v>39000</v>
      </c>
      <c r="AE25" s="10">
        <f t="shared" si="6"/>
        <v>42862.290978075907</v>
      </c>
      <c r="AF25" s="6"/>
    </row>
    <row r="26" spans="2:32" s="5" customFormat="1" x14ac:dyDescent="0.35">
      <c r="B26" s="5">
        <v>17</v>
      </c>
      <c r="C26" s="21">
        <v>47000</v>
      </c>
      <c r="E26" s="9">
        <f>$C26*$C$48/($C26*$C$48+$C$52*$C$54)*$C$47</f>
        <v>493.11455295407592</v>
      </c>
      <c r="F26" s="10">
        <f>$C26*$C$49/($C26*$C$49+$C$52*$C$53)*$C$47</f>
        <v>523.06945448560577</v>
      </c>
      <c r="G26" s="10">
        <f t="shared" si="10"/>
        <v>14.822162787891216</v>
      </c>
      <c r="H26" s="10">
        <f t="shared" si="17"/>
        <v>14.822162787891216</v>
      </c>
      <c r="I26" s="9">
        <f>$C26*$C$48/($C26*$C$48+$C$51*$C$54)*$C$47</f>
        <v>579.28915662650604</v>
      </c>
      <c r="J26" s="10">
        <f>$C26*$C$49/($C26*$C$49+$C$51*$C$53)*$C$47</f>
        <v>608.46773587269763</v>
      </c>
      <c r="K26" s="10">
        <f t="shared" si="11"/>
        <v>14.227916301215487</v>
      </c>
      <c r="L26" s="10">
        <f t="shared" si="18"/>
        <v>14.227916301215487</v>
      </c>
      <c r="M26" s="9">
        <f>$C26*$C$48/($C26*$C$48+$C$50*$C$54)*$C$47</f>
        <v>694.17742054033624</v>
      </c>
      <c r="N26" s="10">
        <f>$C26*$C$49/($C26*$C$49+$C$50*$C$53)*$C$47</f>
        <v>719.75581978555169</v>
      </c>
      <c r="O26" s="10">
        <f t="shared" si="16"/>
        <v>12.235036252808413</v>
      </c>
      <c r="P26" s="10">
        <f t="shared" si="19"/>
        <v>12.235036252808413</v>
      </c>
      <c r="R26" s="10">
        <f t="shared" si="7"/>
        <v>530.48053587955133</v>
      </c>
      <c r="S26" s="10">
        <f t="shared" si="8"/>
        <v>615.58169402330532</v>
      </c>
      <c r="T26" s="10">
        <f t="shared" si="9"/>
        <v>725.8733379119559</v>
      </c>
      <c r="V26" s="9">
        <f>$C26*$C$48/($C26*$C$48+$D$51*1.05)*$C$47</f>
        <v>578.86647209047794</v>
      </c>
      <c r="W26" s="10">
        <f>$C26*$C$49/($C26*$C$49+$D$51*0.95)*$C$47</f>
        <v>608.77284693493789</v>
      </c>
      <c r="X26" s="10">
        <f t="shared" si="20"/>
        <v>13.512867350776446</v>
      </c>
      <c r="Y26" s="10">
        <f t="shared" si="21"/>
        <v>13.512867350776446</v>
      </c>
      <c r="Z26" s="10">
        <f t="shared" si="4"/>
        <v>615.52928061032617</v>
      </c>
      <c r="AA26" s="6">
        <f t="shared" si="14"/>
        <v>-5.2413412979149143E-2</v>
      </c>
      <c r="AB26" s="10">
        <f>IF(Z26="","",$D$51*(Z26/($C$47-Z26)))</f>
        <v>51360.734759292376</v>
      </c>
      <c r="AC26" s="6"/>
      <c r="AD26" s="10">
        <f t="shared" si="5"/>
        <v>47000</v>
      </c>
      <c r="AE26" s="10">
        <f t="shared" si="6"/>
        <v>51360.734759292376</v>
      </c>
      <c r="AF26" s="6"/>
    </row>
    <row r="27" spans="2:32" s="5" customFormat="1" x14ac:dyDescent="0.35">
      <c r="B27" s="5">
        <v>18</v>
      </c>
      <c r="C27" s="21">
        <v>56000</v>
      </c>
      <c r="E27" s="9">
        <f>$C27*$C$48/($C27*$C$48+$C$52*$C$54)*$C$47</f>
        <v>537.89161727349699</v>
      </c>
      <c r="F27" s="10">
        <f>$C27*$C$49/($C27*$C$49+$C$52*$C$53)*$C$47</f>
        <v>567.65264973793808</v>
      </c>
      <c r="G27" s="10">
        <f t="shared" si="10"/>
        <v>19.361907410530193</v>
      </c>
      <c r="H27" s="10">
        <f t="shared" si="17"/>
        <v>19.361907410530193</v>
      </c>
      <c r="I27" s="9">
        <f>$C27*$C$48/($C27*$C$48+$C$51*$C$54)*$C$47</f>
        <v>622.69565217391312</v>
      </c>
      <c r="J27" s="10">
        <f>$C27*$C$49/($C27*$C$49+$C$51*$C$53)*$C$47</f>
        <v>650.85354330708662</v>
      </c>
      <c r="K27" s="10">
        <f t="shared" si="11"/>
        <v>18.031072077528734</v>
      </c>
      <c r="L27" s="10">
        <f t="shared" si="18"/>
        <v>18.031072077528734</v>
      </c>
      <c r="M27" s="9">
        <f>$C27*$C$48/($C27*$C$48+$C$50*$C$54)*$C$47</f>
        <v>731.99085603836011</v>
      </c>
      <c r="N27" s="10">
        <f>$C27*$C$49/($C27*$C$49+$C$50*$C$53)*$C$47</f>
        <v>755.76020012581012</v>
      </c>
      <c r="O27" s="10">
        <f t="shared" si="16"/>
        <v>14.918702800578899</v>
      </c>
      <c r="P27" s="10">
        <f t="shared" si="19"/>
        <v>14.918702800578899</v>
      </c>
      <c r="R27" s="10">
        <f t="shared" si="7"/>
        <v>577.33360344320317</v>
      </c>
      <c r="S27" s="10">
        <f t="shared" si="8"/>
        <v>659.86907934585099</v>
      </c>
      <c r="T27" s="10">
        <f t="shared" si="9"/>
        <v>763.21955152609962</v>
      </c>
      <c r="V27" s="9">
        <f>$C27*$C$48/($C27*$C$48+$D$51*1.05)*$C$47</f>
        <v>622.28571428571433</v>
      </c>
      <c r="W27" s="10">
        <f>$C27*$C$49/($C27*$C$49+$D$51*0.95)*$C$47</f>
        <v>651.14652261985145</v>
      </c>
      <c r="X27" s="10">
        <f t="shared" si="20"/>
        <v>17.348526885099091</v>
      </c>
      <c r="Y27" s="10">
        <f t="shared" si="21"/>
        <v>17.348526885099091</v>
      </c>
      <c r="Z27" s="10">
        <f t="shared" si="4"/>
        <v>659.820786062401</v>
      </c>
      <c r="AA27" s="6">
        <f t="shared" si="14"/>
        <v>-4.8293283449993396E-2</v>
      </c>
      <c r="AB27" s="10">
        <f>IF(Z27="","",$D$51*(Z27/($C$47-Z27)))</f>
        <v>61770.89950411149</v>
      </c>
      <c r="AC27" s="6"/>
      <c r="AD27" s="10">
        <f t="shared" si="5"/>
        <v>56000</v>
      </c>
      <c r="AE27" s="10">
        <f t="shared" si="6"/>
        <v>61770.89950411149</v>
      </c>
      <c r="AF27" s="6"/>
    </row>
    <row r="28" spans="2:32" s="5" customFormat="1" x14ac:dyDescent="0.35">
      <c r="B28" s="5">
        <v>19</v>
      </c>
      <c r="C28" s="21">
        <v>68000</v>
      </c>
      <c r="E28" s="9">
        <f>$C28*$C$48/($C28*$C$48+$C$52*$C$54)*$C$47</f>
        <v>587.01455714846827</v>
      </c>
      <c r="F28" s="10">
        <f>$C28*$C$49/($C28*$C$49+$C$52*$C$53)*$C$47</f>
        <v>616.04200540674753</v>
      </c>
      <c r="G28" s="10">
        <f t="shared" si="10"/>
        <v>17.037294679973229</v>
      </c>
      <c r="H28" s="10">
        <f t="shared" si="17"/>
        <v>17.037294679973229</v>
      </c>
      <c r="I28" s="9">
        <f>$C28*$C$48/($C28*$C$48+$C$51*$C$54)*$C$47</f>
        <v>668.88461538461536</v>
      </c>
      <c r="J28" s="10">
        <f>$C28*$C$49/($C28*$C$49+$C$51*$C$53)*$C$47</f>
        <v>695.50227677687576</v>
      </c>
      <c r="K28" s="10">
        <f t="shared" si="11"/>
        <v>15.396028307869983</v>
      </c>
      <c r="L28" s="10">
        <f t="shared" si="18"/>
        <v>15.396028307869983</v>
      </c>
      <c r="M28" s="9">
        <f>$C28*$C$48/($C28*$C$48+$C$50*$C$54)*$C$47</f>
        <v>770.67890292638901</v>
      </c>
      <c r="N28" s="10">
        <f>$C28*$C$49/($C28*$C$49+$C$50*$C$53)*$C$47</f>
        <v>792.28424408523961</v>
      </c>
      <c r="O28" s="10">
        <f t="shared" si="16"/>
        <v>12.275192864579708</v>
      </c>
      <c r="P28" s="10">
        <f t="shared" si="19"/>
        <v>12.275192864579708</v>
      </c>
      <c r="R28" s="10">
        <f t="shared" si="7"/>
        <v>624.56065274673415</v>
      </c>
      <c r="S28" s="10">
        <f t="shared" si="8"/>
        <v>703.20029093081075</v>
      </c>
      <c r="T28" s="10">
        <f t="shared" si="9"/>
        <v>798.42184051752952</v>
      </c>
      <c r="V28" s="9">
        <f>$C28*$C$48/($C28*$C$48+$D$51*1.05)*$C$47</f>
        <v>668.49504950495054</v>
      </c>
      <c r="W28" s="10">
        <f>$C28*$C$49/($C28*$C$49+$D$51*0.95)*$C$47</f>
        <v>695.77777777777783</v>
      </c>
      <c r="X28" s="10">
        <f t="shared" si="20"/>
        <v>14.755589778690364</v>
      </c>
      <c r="Y28" s="10">
        <f t="shared" si="21"/>
        <v>14.755589778690364</v>
      </c>
      <c r="Z28" s="10">
        <f t="shared" si="4"/>
        <v>703.15557266712301</v>
      </c>
      <c r="AA28" s="6">
        <f t="shared" si="14"/>
        <v>-4.4718263687741455E-2</v>
      </c>
      <c r="AB28" s="10">
        <f>IF(Z28="","",$D$51*(Z28/($C$47-Z28)))</f>
        <v>74746.618754750903</v>
      </c>
      <c r="AC28" s="6"/>
      <c r="AD28" s="10">
        <f t="shared" si="5"/>
        <v>68000</v>
      </c>
      <c r="AE28" s="10">
        <f t="shared" si="6"/>
        <v>74746.618754750903</v>
      </c>
      <c r="AF28" s="6"/>
    </row>
    <row r="29" spans="2:32" s="5" customFormat="1" x14ac:dyDescent="0.35">
      <c r="B29" s="5">
        <v>20</v>
      </c>
      <c r="C29" s="21">
        <v>82000</v>
      </c>
      <c r="E29" s="9">
        <f>$C29*$C$48/($C29*$C$48+$C$52*$C$54)*$C$47</f>
        <v>633.07930008672076</v>
      </c>
      <c r="F29" s="10">
        <f>$C29*$C$49/($C29*$C$49+$C$52*$C$53)*$C$47</f>
        <v>660.93148549404134</v>
      </c>
      <c r="G29" s="10">
        <f t="shared" si="10"/>
        <v>18.781383687959647</v>
      </c>
      <c r="H29" s="10">
        <f t="shared" si="17"/>
        <v>18.781383687959647</v>
      </c>
      <c r="I29" s="9">
        <f>$C29*$C$48/($C29*$C$48+$C$51*$C$54)*$C$47</f>
        <v>710.89830508474574</v>
      </c>
      <c r="J29" s="10">
        <f>$C29*$C$49/($C29*$C$49+$C$51*$C$53)*$C$47</f>
        <v>735.7143105244877</v>
      </c>
      <c r="K29" s="10">
        <f t="shared" si="11"/>
        <v>16.491571828453516</v>
      </c>
      <c r="L29" s="10">
        <f t="shared" si="18"/>
        <v>16.491571828453516</v>
      </c>
      <c r="M29" s="9">
        <f>$C29*$C$48/($C29*$C$48+$C$50*$C$54)*$C$47</f>
        <v>804.55943694981931</v>
      </c>
      <c r="N29" s="10">
        <f>$C29*$C$49/($C29*$C$49+$C$50*$C$53)*$C$47</f>
        <v>824.01275862712873</v>
      </c>
      <c r="O29" s="10">
        <f t="shared" si="16"/>
        <v>12.706214438446636</v>
      </c>
      <c r="P29" s="10">
        <f t="shared" si="19"/>
        <v>12.706214438446636</v>
      </c>
      <c r="R29" s="10">
        <f t="shared" si="7"/>
        <v>670.32217733802122</v>
      </c>
      <c r="S29" s="10">
        <f t="shared" si="8"/>
        <v>743.96009643871446</v>
      </c>
      <c r="T29" s="10">
        <f t="shared" si="9"/>
        <v>830.36586584635211</v>
      </c>
      <c r="V29" s="9">
        <f>$C29*$C$48/($C29*$C$48+$D$51*1.05)*$C$47</f>
        <v>710.53336755646819</v>
      </c>
      <c r="W29" s="10">
        <f>$C29*$C$49/($C29*$C$49+$D$51*0.95)*$C$47</f>
        <v>735.9699444058374</v>
      </c>
      <c r="X29" s="10">
        <f t="shared" si="20"/>
        <v>15.900879647614715</v>
      </c>
      <c r="Y29" s="10">
        <f t="shared" si="21"/>
        <v>15.900879647614715</v>
      </c>
      <c r="Z29" s="10">
        <f t="shared" si="4"/>
        <v>743.9203842296447</v>
      </c>
      <c r="AA29" s="6">
        <f t="shared" si="14"/>
        <v>-3.9712209069762139E-2</v>
      </c>
      <c r="AB29" s="10">
        <f>IF(Z29="","",$D$51*(Z29/($C$47-Z29)))</f>
        <v>90631.101787888634</v>
      </c>
      <c r="AC29" s="6"/>
      <c r="AD29" s="10">
        <f t="shared" si="5"/>
        <v>82000</v>
      </c>
      <c r="AE29" s="10">
        <f t="shared" si="6"/>
        <v>90631.101787888634</v>
      </c>
      <c r="AF29" s="6"/>
    </row>
    <row r="30" spans="2:32" s="5" customFormat="1" x14ac:dyDescent="0.35">
      <c r="B30" s="5">
        <v>21</v>
      </c>
      <c r="C30" s="21">
        <v>100000</v>
      </c>
      <c r="E30" s="9">
        <f>$C30*$C$48/($C30*$C$48+$C$52*$C$54)*$C$47</f>
        <v>679.71286918200099</v>
      </c>
      <c r="F30" s="10">
        <f>$C30*$C$49/($C30*$C$49+$C$52*$C$53)*$C$47</f>
        <v>705.90246312634383</v>
      </c>
      <c r="G30" s="10">
        <f t="shared" si="10"/>
        <v>14.077574750505278</v>
      </c>
      <c r="H30" s="10">
        <f t="shared" si="17"/>
        <v>14.077574750505278</v>
      </c>
      <c r="I30" s="9">
        <f>$C30*$C$48/($C30*$C$48+$C$51*$C$54)*$C$47</f>
        <v>752.20588235294122</v>
      </c>
      <c r="J30" s="10">
        <f>$C30*$C$49/($C30*$C$49+$C$51*$C$53)*$C$47</f>
        <v>774.88375581220942</v>
      </c>
      <c r="K30" s="10">
        <f t="shared" si="11"/>
        <v>12.039321110867604</v>
      </c>
      <c r="L30" s="10">
        <f t="shared" si="18"/>
        <v>12.039321110867604</v>
      </c>
      <c r="M30" s="9">
        <f>$C30*$C$48/($C30*$C$48+$C$50*$C$54)*$C$47</f>
        <v>836.71897306557537</v>
      </c>
      <c r="N30" s="10">
        <f>$C30*$C$49/($C30*$C$49+$C$50*$C$53)*$C$47</f>
        <v>853.91022004657202</v>
      </c>
      <c r="O30" s="10">
        <f t="shared" si="16"/>
        <v>8.9969635617954964</v>
      </c>
      <c r="P30" s="10">
        <f t="shared" si="19"/>
        <v>8.9969635617954964</v>
      </c>
      <c r="R30" s="10">
        <f t="shared" si="7"/>
        <v>712.94125050159641</v>
      </c>
      <c r="S30" s="10">
        <f t="shared" si="8"/>
        <v>780.90341636764322</v>
      </c>
      <c r="T30" s="10">
        <f t="shared" si="9"/>
        <v>858.40870182746971</v>
      </c>
      <c r="V30" s="9">
        <f>$C30*$C$48/($C30*$C$48+$D$51*1.05)*$C$47</f>
        <v>751.87082405345211</v>
      </c>
      <c r="W30" s="10">
        <f>$C30*$C$49/($C30*$C$49+$D$51*0.95)*$C$47</f>
        <v>775.11627906976742</v>
      </c>
      <c r="X30" s="10">
        <f t="shared" si="20"/>
        <v>11.501196658387926</v>
      </c>
      <c r="Y30" s="10">
        <f t="shared" si="21"/>
        <v>11.501196658387926</v>
      </c>
      <c r="Z30" s="10">
        <f t="shared" si="4"/>
        <v>780.86687739896138</v>
      </c>
      <c r="AA30" s="6">
        <f t="shared" si="14"/>
        <v>-3.6538968681838924E-2</v>
      </c>
      <c r="AB30" s="10">
        <f>IF(Z30="","",$D$51*(Z30/($C$47-Z30)))</f>
        <v>109648.25277254655</v>
      </c>
      <c r="AC30" s="6"/>
      <c r="AD30" s="10">
        <f t="shared" si="5"/>
        <v>100000</v>
      </c>
      <c r="AE30" s="10">
        <f t="shared" si="6"/>
        <v>109648.25277254655</v>
      </c>
      <c r="AF30" s="6"/>
    </row>
    <row r="31" spans="2:32" s="5" customFormat="1" x14ac:dyDescent="0.35">
      <c r="B31" s="5">
        <v>22</v>
      </c>
      <c r="C31" s="21">
        <v>120000</v>
      </c>
      <c r="E31" s="9">
        <f>$C31*$C$48/($C31*$C$48+$C$52*$C$54)*$C$47</f>
        <v>719.98003787684911</v>
      </c>
      <c r="F31" s="10">
        <f>$C31*$C$49/($C31*$C$49+$C$52*$C$53)*$C$47</f>
        <v>744.35696975111</v>
      </c>
      <c r="G31" s="10">
        <f t="shared" si="10"/>
        <v>20.961644364540007</v>
      </c>
      <c r="H31" s="10">
        <f t="shared" si="17"/>
        <v>20.961644364540007</v>
      </c>
      <c r="I31" s="9">
        <f>$C31*$C$48/($C31*$C$48+$C$51*$C$54)*$C$47</f>
        <v>786.92307692307702</v>
      </c>
      <c r="J31" s="10">
        <f>$C31*$C$49/($C31*$C$49+$C$51*$C$53)*$C$47</f>
        <v>807.52637749120754</v>
      </c>
      <c r="K31" s="10">
        <f t="shared" si="11"/>
        <v>17.473622508792459</v>
      </c>
      <c r="L31" s="10">
        <f t="shared" si="18"/>
        <v>17.473622508792459</v>
      </c>
      <c r="M31" s="9">
        <f>$C31*$C$48/($C31*$C$48+$C$50*$C$54)*$C$47</f>
        <v>862.90718360836752</v>
      </c>
      <c r="N31" s="10">
        <f>$C31*$C$49/($C31*$C$49+$C$50*$C$53)*$C$47</f>
        <v>878.10014515597186</v>
      </c>
      <c r="O31" s="10">
        <f t="shared" si="16"/>
        <v>12.687528679425895</v>
      </c>
      <c r="P31" s="10">
        <f t="shared" si="19"/>
        <v>12.687528679425895</v>
      </c>
      <c r="R31" s="10">
        <f t="shared" si="7"/>
        <v>754.83779193338</v>
      </c>
      <c r="S31" s="10">
        <f t="shared" si="8"/>
        <v>816.26318874560377</v>
      </c>
      <c r="T31" s="10">
        <f t="shared" si="9"/>
        <v>884.44390949568481</v>
      </c>
      <c r="V31" s="9">
        <f>$C31*$C$48/($C31*$C$48+$D$51*1.05)*$C$47</f>
        <v>786.61747572815534</v>
      </c>
      <c r="W31" s="10">
        <f>$C31*$C$49/($C31*$C$49+$D$51*0.95)*$C$47</f>
        <v>807.73680781758958</v>
      </c>
      <c r="X31" s="10">
        <f t="shared" si="20"/>
        <v>16.994462540716654</v>
      </c>
      <c r="Y31" s="10">
        <f t="shared" si="21"/>
        <v>16.994462540716654</v>
      </c>
      <c r="Z31" s="10">
        <f t="shared" si="4"/>
        <v>816.23403908794785</v>
      </c>
      <c r="AA31" s="6">
        <f t="shared" si="14"/>
        <v>-2.9149657655921146E-2</v>
      </c>
      <c r="AB31" s="10">
        <f>IF(Z31="","",$D$51*(Z31/($C$47-Z31)))</f>
        <v>134219.17808219176</v>
      </c>
      <c r="AC31" s="6"/>
      <c r="AD31" s="10">
        <f t="shared" si="5"/>
        <v>120000</v>
      </c>
      <c r="AE31" s="10">
        <f t="shared" si="6"/>
        <v>134219.17808219176</v>
      </c>
      <c r="AF31" s="6"/>
    </row>
    <row r="32" spans="2:32" s="5" customFormat="1" x14ac:dyDescent="0.35">
      <c r="B32" s="5">
        <v>23</v>
      </c>
      <c r="C32" s="21">
        <v>150000</v>
      </c>
      <c r="E32" s="9">
        <f>$C32*$C$48/($C32*$C$48+$C$52*$C$54)*$C$47</f>
        <v>765.31861411565001</v>
      </c>
      <c r="F32" s="10">
        <f>$C32*$C$49/($C32*$C$49+$C$52*$C$53)*$C$47</f>
        <v>787.24253070857685</v>
      </c>
      <c r="G32" s="10">
        <f t="shared" si="10"/>
        <v>11.613103094240046</v>
      </c>
      <c r="H32" s="10">
        <f t="shared" si="17"/>
        <v>11.613103094240046</v>
      </c>
      <c r="I32" s="9">
        <f>$C32*$C$48/($C32*$C$48+$C$51*$C$54)*$C$47</f>
        <v>825</v>
      </c>
      <c r="J32" s="10">
        <f>$C32*$C$49/($C32*$C$49+$C$51*$C$53)*$C$47</f>
        <v>843.04014360313317</v>
      </c>
      <c r="K32" s="10">
        <f t="shared" si="11"/>
        <v>9.4598563968668259</v>
      </c>
      <c r="L32" s="10">
        <f t="shared" si="18"/>
        <v>9.4598563968668259</v>
      </c>
      <c r="M32" s="9">
        <f>$C32*$C$48/($C32*$C$48+$C$50*$C$54)*$C$47</f>
        <v>890.78767383539775</v>
      </c>
      <c r="N32" s="10">
        <f>$C32*$C$49/($C32*$C$49+$C$50*$C$53)*$C$47</f>
        <v>903.70055155736588</v>
      </c>
      <c r="O32" s="10">
        <f t="shared" si="16"/>
        <v>6.6970580387680911</v>
      </c>
      <c r="P32" s="10">
        <f t="shared" si="19"/>
        <v>6.6970580387680911</v>
      </c>
      <c r="R32" s="10">
        <f t="shared" si="7"/>
        <v>793.04908225569693</v>
      </c>
      <c r="S32" s="10">
        <f t="shared" si="8"/>
        <v>847.77007180156659</v>
      </c>
      <c r="T32" s="10">
        <f t="shared" si="9"/>
        <v>907.04908057674993</v>
      </c>
      <c r="V32" s="9">
        <f>$C32*$C$48/($C32*$C$48+$D$51*1.05)*$C$47</f>
        <v>824.73127035830623</v>
      </c>
      <c r="W32" s="10">
        <f>$C32*$C$49/($C32*$C$49+$D$51*0.95)*$C$47</f>
        <v>843.22361262241566</v>
      </c>
      <c r="X32" s="10">
        <f t="shared" si="20"/>
        <v>9.0372569428017187</v>
      </c>
      <c r="Y32" s="10">
        <f t="shared" si="21"/>
        <v>9.0372569428017187</v>
      </c>
      <c r="Z32" s="10">
        <f t="shared" si="4"/>
        <v>847.74224109381657</v>
      </c>
      <c r="AA32" s="6">
        <f t="shared" si="14"/>
        <v>-2.7830707750013062E-2</v>
      </c>
      <c r="AB32" s="10">
        <f>IF(Z32="","",$D$51*(Z32/($C$47-Z32)))</f>
        <v>164461.96948472349</v>
      </c>
      <c r="AC32" s="6"/>
      <c r="AD32" s="10">
        <f t="shared" si="5"/>
        <v>150000</v>
      </c>
      <c r="AE32" s="10">
        <f t="shared" si="6"/>
        <v>164461.96948472349</v>
      </c>
      <c r="AF32" s="6"/>
    </row>
    <row r="33" spans="1:32" s="5" customFormat="1" x14ac:dyDescent="0.35">
      <c r="B33" s="5">
        <v>24</v>
      </c>
      <c r="C33" s="21">
        <v>180000</v>
      </c>
      <c r="E33" s="9">
        <f>$C33*$C$48/($C33*$C$48+$C$52*$C$54)*$C$47</f>
        <v>798.8556338028169</v>
      </c>
      <c r="F33" s="10">
        <f>$C33*$C$49/($C33*$C$49+$C$52*$C$53)*$C$47</f>
        <v>818.68791876113255</v>
      </c>
      <c r="G33" s="10">
        <f t="shared" ref="G33:G35" si="22">E34-F33</f>
        <v>13.312328587930779</v>
      </c>
      <c r="H33" s="10">
        <f t="shared" si="17"/>
        <v>13.312328587930779</v>
      </c>
      <c r="I33" s="9">
        <f>$C33*$C$48/($C33*$C$48+$C$51*$C$54)*$C$47</f>
        <v>852.5</v>
      </c>
      <c r="J33" s="10">
        <f>$C33*$C$49/($C33*$C$49+$C$51*$C$53)*$C$47</f>
        <v>868.50378257214902</v>
      </c>
      <c r="K33" s="10">
        <f t="shared" si="11"/>
        <v>10.636842427850979</v>
      </c>
      <c r="L33" s="10">
        <f t="shared" si="18"/>
        <v>10.636842427850979</v>
      </c>
      <c r="M33" s="9">
        <f>$C33*$C$48/($C33*$C$48+$C$50*$C$54)*$C$47</f>
        <v>910.39760959613398</v>
      </c>
      <c r="N33" s="10">
        <f>$C33*$C$49/($C33*$C$49+$C$50*$C$53)*$C$47</f>
        <v>921.61321832564386</v>
      </c>
      <c r="O33" s="10">
        <f t="shared" ref="O33:O35" si="23">M34-N33</f>
        <v>7.3761306020440998</v>
      </c>
      <c r="P33" s="10">
        <f t="shared" si="19"/>
        <v>7.3761306020440998</v>
      </c>
      <c r="R33" s="10">
        <f t="shared" si="7"/>
        <v>825.34408305509794</v>
      </c>
      <c r="S33" s="10">
        <f t="shared" si="8"/>
        <v>873.82220378607451</v>
      </c>
      <c r="T33" s="10">
        <f t="shared" si="9"/>
        <v>925.30128362666596</v>
      </c>
      <c r="V33" s="9">
        <f>$C33*$C$48/($C33*$C$48+$D$51*1.05)*$C$47</f>
        <v>852.26086956521738</v>
      </c>
      <c r="W33" s="10">
        <f>$C33*$C$49/($C33*$C$49+$D$51*0.95)*$C$47</f>
        <v>868.66604390471741</v>
      </c>
      <c r="X33" s="10">
        <f t="shared" si="20"/>
        <v>10.266500473980841</v>
      </c>
      <c r="Y33" s="10">
        <f t="shared" si="21"/>
        <v>10.266500473980841</v>
      </c>
      <c r="Z33" s="10">
        <f t="shared" si="4"/>
        <v>873.79929414170783</v>
      </c>
      <c r="AA33" s="6">
        <f t="shared" si="14"/>
        <v>-2.2909644366677639E-2</v>
      </c>
      <c r="AB33" s="10">
        <f>IF(Z33="","",$D$51*(Z33/($C$47-Z33)))</f>
        <v>199122.22150634625</v>
      </c>
      <c r="AC33" s="6"/>
      <c r="AD33" s="10">
        <f t="shared" si="5"/>
        <v>180000</v>
      </c>
      <c r="AE33" s="10">
        <f t="shared" si="6"/>
        <v>199122.22150634625</v>
      </c>
      <c r="AF33" s="6"/>
    </row>
    <row r="34" spans="1:32" s="5" customFormat="1" x14ac:dyDescent="0.35">
      <c r="B34" s="5">
        <v>25</v>
      </c>
      <c r="C34" s="21">
        <v>220000</v>
      </c>
      <c r="E34" s="9">
        <f>$C34*$C$48/($C34*$C$48+$C$52*$C$54)*$C$47</f>
        <v>832.00024734906333</v>
      </c>
      <c r="F34" s="10">
        <f>$C34*$C$49/($C34*$C$49+$C$52*$C$53)*$C$47</f>
        <v>849.53668960296307</v>
      </c>
      <c r="G34" s="10">
        <f t="shared" si="22"/>
        <v>12.260271553758002</v>
      </c>
      <c r="H34" s="10">
        <f t="shared" si="17"/>
        <v>12.260271553758002</v>
      </c>
      <c r="I34" s="9">
        <f>$C34*$C$48/($C34*$C$48+$C$51*$C$54)*$C$47</f>
        <v>879.140625</v>
      </c>
      <c r="J34" s="10">
        <f>$C34*$C$49/($C34*$C$49+$C$51*$C$53)*$C$47</f>
        <v>893.02506482281763</v>
      </c>
      <c r="K34" s="10">
        <f t="shared" si="11"/>
        <v>9.6219940007117657</v>
      </c>
      <c r="L34" s="10">
        <f t="shared" si="18"/>
        <v>9.6219940007117657</v>
      </c>
      <c r="M34" s="9">
        <f>$C34*$C$48/($C34*$C$48+$C$50*$C$54)*$C$47</f>
        <v>928.98934892768796</v>
      </c>
      <c r="N34" s="10">
        <f>$C34*$C$49/($C34*$C$49+$C$50*$C$53)*$C$47</f>
        <v>938.5249800330173</v>
      </c>
      <c r="O34" s="10">
        <f t="shared" si="23"/>
        <v>6.5475821898352251</v>
      </c>
      <c r="P34" s="10">
        <f t="shared" si="19"/>
        <v>6.5475821898352251</v>
      </c>
      <c r="R34" s="10">
        <f t="shared" si="7"/>
        <v>855.66682537984207</v>
      </c>
      <c r="S34" s="10">
        <f t="shared" si="8"/>
        <v>897.83606182317351</v>
      </c>
      <c r="T34" s="10">
        <f t="shared" si="9"/>
        <v>941.79877112793497</v>
      </c>
      <c r="V34" s="9">
        <f>$C34*$C$48/($C34*$C$48+$D$51*1.05)*$C$47</f>
        <v>878.93254437869825</v>
      </c>
      <c r="W34" s="10">
        <f>$C34*$C$49/($C34*$C$49+$D$51*0.95)*$C$47</f>
        <v>893.16542239685657</v>
      </c>
      <c r="X34" s="10">
        <f t="shared" si="20"/>
        <v>9.3028944348266123</v>
      </c>
      <c r="Y34" s="10">
        <f t="shared" si="21"/>
        <v>9.3028944348266123</v>
      </c>
      <c r="Z34" s="10">
        <f t="shared" si="4"/>
        <v>897.81686961426988</v>
      </c>
      <c r="AA34" s="6">
        <f t="shared" si="14"/>
        <v>-1.9192208903632491E-2</v>
      </c>
      <c r="AB34" s="10">
        <f>IF(Z34="","",$D$51*(Z34/($C$47-Z34)))</f>
        <v>243848.93933252263</v>
      </c>
      <c r="AC34" s="6"/>
      <c r="AD34" s="10">
        <f t="shared" si="5"/>
        <v>220000</v>
      </c>
      <c r="AE34" s="10">
        <f t="shared" si="6"/>
        <v>243848.93933252263</v>
      </c>
      <c r="AF34" s="6"/>
    </row>
    <row r="35" spans="1:32" s="5" customFormat="1" x14ac:dyDescent="0.35">
      <c r="B35" s="5">
        <v>26</v>
      </c>
      <c r="C35" s="19">
        <v>270000</v>
      </c>
      <c r="E35" s="9">
        <f>$C35*$C$48/($C35*$C$48+$C$52*$C$54)*$C$47</f>
        <v>861.79696115672107</v>
      </c>
      <c r="F35" s="10">
        <f>$C35*$C$49/($C35*$C$49+$C$52*$C$53)*$C$47</f>
        <v>877.07746670167785</v>
      </c>
      <c r="G35" s="10">
        <f t="shared" si="22"/>
        <v>10.138843118388877</v>
      </c>
      <c r="H35" s="10">
        <f t="shared" si="17"/>
        <v>10.138843118388877</v>
      </c>
      <c r="I35" s="9">
        <f>$C35*$C$48/($C35*$C$48+$C$51*$C$54)*$C$47</f>
        <v>902.64705882352939</v>
      </c>
      <c r="J35" s="10">
        <f>$C35*$C$49/($C35*$C$49+$C$51*$C$53)*$C$47</f>
        <v>914.54268292682923</v>
      </c>
      <c r="K35" s="10">
        <f t="shared" si="11"/>
        <v>7.8343662534986152</v>
      </c>
      <c r="L35" s="10">
        <f t="shared" si="18"/>
        <v>7.8343662534986152</v>
      </c>
      <c r="M35" s="9">
        <f>$C35*$C$48/($C35*$C$48+$C$50*$C$54)*$C$47</f>
        <v>945.07256222285253</v>
      </c>
      <c r="N35" s="10">
        <f>$C35*$C$49/($C35*$C$49+$C$50*$C$53)*$C$47</f>
        <v>953.09959855119826</v>
      </c>
      <c r="O35" s="10">
        <f t="shared" si="23"/>
        <v>5.2461222113718122</v>
      </c>
      <c r="P35" s="10">
        <f t="shared" si="19"/>
        <v>5.2461222113718122</v>
      </c>
      <c r="R35" s="10">
        <f t="shared" si="7"/>
        <v>882.14688826087229</v>
      </c>
      <c r="S35" s="10">
        <f t="shared" si="8"/>
        <v>918.45986605357848</v>
      </c>
      <c r="T35" s="10">
        <f t="shared" si="9"/>
        <v>955.72265965688416</v>
      </c>
      <c r="V35" s="9">
        <f>$C35*$C$48/($C35*$C$48+$D$51*1.05)*$C$47</f>
        <v>902.46831683168318</v>
      </c>
      <c r="W35" s="10">
        <f>$C35*$C$49/($C35*$C$49+$D$51*0.95)*$C$47</f>
        <v>914.66262295081958</v>
      </c>
      <c r="X35" s="10">
        <f t="shared" si="20"/>
        <v>7.5617147975248145</v>
      </c>
      <c r="Y35" s="10">
        <f t="shared" si="21"/>
        <v>7.5617147975248145</v>
      </c>
      <c r="Z35" s="10">
        <f t="shared" si="4"/>
        <v>918.44348034958193</v>
      </c>
      <c r="AA35" s="6">
        <f t="shared" si="14"/>
        <v>-1.6385703996547818E-2</v>
      </c>
      <c r="AB35" s="10">
        <f>IF(Z35="","",$D$51*(Z35/($C$47-Z35)))</f>
        <v>298662.18229425279</v>
      </c>
      <c r="AC35" s="6"/>
      <c r="AD35" s="10">
        <f t="shared" si="5"/>
        <v>270000</v>
      </c>
      <c r="AE35" s="10">
        <f t="shared" si="6"/>
        <v>298662.18229425279</v>
      </c>
      <c r="AF35" s="6"/>
    </row>
    <row r="36" spans="1:32" s="5" customFormat="1" x14ac:dyDescent="0.35">
      <c r="B36" s="5">
        <v>27</v>
      </c>
      <c r="C36" s="21">
        <v>330000</v>
      </c>
      <c r="E36" s="9">
        <f>$C36*$C$48/($C36*$C$48+$C$52*$C$54)*$C$47</f>
        <v>887.21630982006673</v>
      </c>
      <c r="F36" s="10">
        <f>$C36*$C$49/($C36*$C$49+$C$52*$C$53)*$C$47</f>
        <v>900.42999964507362</v>
      </c>
      <c r="G36" s="10">
        <f>E38-F36</f>
        <v>23.308008498071331</v>
      </c>
      <c r="H36" s="10">
        <f t="shared" si="17"/>
        <v>5.2810524703510282</v>
      </c>
      <c r="I36" s="9">
        <f>$C36*$C$48/($C36*$C$48+$C$51*$C$54)*$C$47</f>
        <v>922.37704918032784</v>
      </c>
      <c r="J36" s="10">
        <f>$C36*$C$49/($C36*$C$49+$C$51*$C$53)*$C$47</f>
        <v>932.51805054151623</v>
      </c>
      <c r="K36" s="10">
        <f>I38-J36</f>
        <v>17.699340762831525</v>
      </c>
      <c r="L36" s="10">
        <f t="shared" si="18"/>
        <v>4.031245233131699</v>
      </c>
      <c r="M36" s="9">
        <f>$C36*$C$48/($C36*$C$48+$C$50*$C$54)*$C$47</f>
        <v>958.34572076257007</v>
      </c>
      <c r="N36" s="10">
        <f>$C36*$C$49/($C36*$C$49+$C$50*$C$53)*$C$47</f>
        <v>965.08931337189381</v>
      </c>
      <c r="O36" s="10">
        <f>M38-N36</f>
        <v>11.644127122623445</v>
      </c>
      <c r="P36" s="10">
        <f t="shared" si="19"/>
        <v>2.6660662443091496</v>
      </c>
      <c r="R36" s="10">
        <f t="shared" si="7"/>
        <v>912.08400389410929</v>
      </c>
      <c r="S36" s="10">
        <f t="shared" si="8"/>
        <v>941.36772092293199</v>
      </c>
      <c r="T36" s="10">
        <f t="shared" si="9"/>
        <v>970.91137693320547</v>
      </c>
      <c r="V36" s="9">
        <f>$C36*$C$48/($C36*$C$48+$D$51*1.05)*$C$47</f>
        <v>922.2243377483444</v>
      </c>
      <c r="W36" s="10">
        <f>$C36*$C$49/($C36*$C$49+$D$51*0.95)*$C$47</f>
        <v>932.62007658643324</v>
      </c>
      <c r="X36" s="10">
        <f>V38-W36</f>
        <v>17.483516227938026</v>
      </c>
      <c r="Y36" s="10">
        <f t="shared" si="21"/>
        <v>3.7959973822722759</v>
      </c>
      <c r="Z36" s="10">
        <f t="shared" si="4"/>
        <v>941.36183470040226</v>
      </c>
      <c r="AA36" s="6">
        <f t="shared" si="14"/>
        <v>-5.8862225297389159E-3</v>
      </c>
      <c r="AB36" s="10">
        <f>IF(Z36="","",$D$51*(Z36/($C$47-Z36)))</f>
        <v>392050.73095844529</v>
      </c>
      <c r="AC36" s="6"/>
      <c r="AD36" s="10">
        <f t="shared" si="5"/>
        <v>330000</v>
      </c>
      <c r="AE36" s="10">
        <f t="shared" si="6"/>
        <v>392050.73095844529</v>
      </c>
      <c r="AF36" s="6"/>
    </row>
    <row r="37" spans="1:32" s="5" customFormat="1" x14ac:dyDescent="0.35">
      <c r="C37" s="22">
        <v>390000</v>
      </c>
      <c r="D37" s="7"/>
      <c r="E37" s="11">
        <f>$C37*$C$48/($C37*$C$48+$C$52*$C$54)*$C$47</f>
        <v>905.71105211542465</v>
      </c>
      <c r="F37" s="12">
        <f>$C37*$C$49/($C37*$C$49+$C$52*$C$53)*$C$47</f>
        <v>917.33928247514598</v>
      </c>
      <c r="G37" s="12"/>
      <c r="H37" s="10">
        <f t="shared" si="17"/>
        <v>6.3987256679989741</v>
      </c>
      <c r="I37" s="11">
        <f>$C37*$C$48/($C37*$C$48+$C$51*$C$54)*$C$47</f>
        <v>936.54929577464793</v>
      </c>
      <c r="J37" s="12">
        <f>$C37*$C$49/($C37*$C$49+$C$51*$C$53)*$C$47</f>
        <v>945.38217905405406</v>
      </c>
      <c r="K37" s="12"/>
      <c r="L37" s="10">
        <f t="shared" si="18"/>
        <v>4.8352122502936936</v>
      </c>
      <c r="M37" s="11">
        <f>$C37*$C$48/($C37*$C$48+$C$50*$C$54)*$C$47</f>
        <v>967.75537961620296</v>
      </c>
      <c r="N37" s="12">
        <f>$C37*$C$49/($C37*$C$49+$C$50*$C$53)*$C$47</f>
        <v>973.56814634187822</v>
      </c>
      <c r="O37" s="12"/>
      <c r="P37" s="10">
        <f t="shared" si="19"/>
        <v>3.165294152639035</v>
      </c>
      <c r="R37" s="10" t="str">
        <f t="shared" si="7"/>
        <v/>
      </c>
      <c r="S37" s="10" t="str">
        <f t="shared" si="8"/>
        <v/>
      </c>
      <c r="T37" s="10" t="str">
        <f t="shared" si="9"/>
        <v/>
      </c>
      <c r="V37" s="9">
        <f>$C37*$C$48/($C37*$C$48+$D$51*1.05)*$C$47</f>
        <v>936.41607396870552</v>
      </c>
      <c r="W37" s="10">
        <f>$C37*$C$49/($C37*$C$49+$D$51*0.95)*$C$47</f>
        <v>945.47090567808539</v>
      </c>
      <c r="X37" s="12"/>
      <c r="Y37" s="10">
        <f t="shared" si="21"/>
        <v>4.632687136285881</v>
      </c>
      <c r="Z37" s="10" t="str">
        <f t="shared" si="4"/>
        <v/>
      </c>
      <c r="AA37" s="6"/>
      <c r="AB37" s="10" t="str">
        <f>IF(Z37="","",$D$51*(Z37/($C$47-Z37)))</f>
        <v/>
      </c>
      <c r="AC37" s="6"/>
      <c r="AD37" s="10" t="str">
        <f t="shared" si="5"/>
        <v/>
      </c>
      <c r="AE37" s="10" t="str">
        <f t="shared" si="6"/>
        <v/>
      </c>
      <c r="AF37" s="6"/>
    </row>
    <row r="38" spans="1:32" s="5" customFormat="1" x14ac:dyDescent="0.35">
      <c r="B38" s="5">
        <v>28</v>
      </c>
      <c r="C38" s="21">
        <v>470000</v>
      </c>
      <c r="E38" s="9">
        <f>$C38*$C$48/($C38*$C$48+$C$52*$C$54)*$C$47</f>
        <v>923.73800814314495</v>
      </c>
      <c r="F38" s="10">
        <f>$C38*$C$49/($C38*$C$49+$C$52*$C$53)*$C$47</f>
        <v>933.75512007920156</v>
      </c>
      <c r="G38" s="10">
        <f>E40-F38</f>
        <v>18.517978271726747</v>
      </c>
      <c r="H38" s="10">
        <f t="shared" si="17"/>
        <v>4.6159922284687127</v>
      </c>
      <c r="I38" s="9">
        <f>$C38*$C$48/($C38*$C$48+$C$51*$C$54)*$C$47</f>
        <v>950.21739130434776</v>
      </c>
      <c r="J38" s="10">
        <f>$C38*$C$49/($C38*$C$49+$C$51*$C$53)*$C$47</f>
        <v>957.75106500473339</v>
      </c>
      <c r="K38" s="10">
        <f>I40-J38</f>
        <v>13.813180805322418</v>
      </c>
      <c r="L38" s="10">
        <f t="shared" si="18"/>
        <v>3.4569886865417629</v>
      </c>
      <c r="M38" s="9">
        <f>$C38*$C$48/($C38*$C$48+$C$50*$C$54)*$C$47</f>
        <v>976.73344049451725</v>
      </c>
      <c r="N38" s="10">
        <f>$C38*$C$49/($C38*$C$49+$C$50*$C$53)*$C$47</f>
        <v>981.64191846110157</v>
      </c>
      <c r="O38" s="10">
        <f>M40-N38</f>
        <v>8.9267571560200167</v>
      </c>
      <c r="P38" s="10">
        <f t="shared" si="19"/>
        <v>2.242909645396935</v>
      </c>
      <c r="R38" s="10">
        <f t="shared" si="7"/>
        <v>943.01410921506499</v>
      </c>
      <c r="S38" s="10">
        <f t="shared" si="8"/>
        <v>964.6576554073946</v>
      </c>
      <c r="T38" s="10">
        <f t="shared" si="9"/>
        <v>986.10529703911152</v>
      </c>
      <c r="V38" s="9">
        <f>$C38*$C$48/($C38*$C$48+$D$51*1.05)*$C$47</f>
        <v>950.10359281437127</v>
      </c>
      <c r="W38" s="10">
        <f>$C38*$C$49/($C38*$C$49+$D$51*0.95)*$C$47</f>
        <v>957.82662721893496</v>
      </c>
      <c r="X38" s="10">
        <f>V40-W38</f>
        <v>13.655387169554274</v>
      </c>
      <c r="Y38" s="10">
        <f t="shared" si="21"/>
        <v>3.2836930657625771</v>
      </c>
      <c r="Z38" s="10">
        <f t="shared" si="4"/>
        <v>964.65432080371215</v>
      </c>
      <c r="AA38" s="6">
        <f>Z38-S38</f>
        <v>-3.3346036824468683E-3</v>
      </c>
      <c r="AB38" s="10">
        <f>IF(Z38="","",$D$51*(Z38/($C$47-Z38)))</f>
        <v>562136.68876808533</v>
      </c>
      <c r="AC38" s="6"/>
      <c r="AD38" s="10">
        <f t="shared" si="5"/>
        <v>470000</v>
      </c>
      <c r="AE38" s="10">
        <f t="shared" si="6"/>
        <v>562136.68876808533</v>
      </c>
      <c r="AF38" s="6"/>
    </row>
    <row r="39" spans="1:32" s="5" customFormat="1" x14ac:dyDescent="0.35">
      <c r="C39" s="22">
        <v>560000</v>
      </c>
      <c r="D39" s="7"/>
      <c r="E39" s="11">
        <f>$C39*$C$48/($C39*$C$48+$C$52*$C$54)*$C$47</f>
        <v>938.37111230767027</v>
      </c>
      <c r="F39" s="12">
        <f>$C39*$C$49/($C39*$C$49+$C$52*$C$53)*$C$47</f>
        <v>947.03295454337149</v>
      </c>
      <c r="G39" s="12"/>
      <c r="H39" s="10">
        <f t="shared" si="17"/>
        <v>5.2401438075568194</v>
      </c>
      <c r="I39" s="11">
        <f>$C39*$C$48/($C39*$C$48+$C$51*$C$54)*$C$47</f>
        <v>961.20805369127515</v>
      </c>
      <c r="J39" s="12">
        <f>$C39*$C$49/($C39*$C$49+$C$51*$C$53)*$C$47</f>
        <v>967.67033481620228</v>
      </c>
      <c r="K39" s="12"/>
      <c r="L39" s="10">
        <f t="shared" si="18"/>
        <v>3.8939109938535239</v>
      </c>
      <c r="M39" s="11">
        <f>$C39*$C$48/($C39*$C$48+$C$50*$C$54)*$C$47</f>
        <v>983.8848281064985</v>
      </c>
      <c r="N39" s="12">
        <f>$C39*$C$49/($C39*$C$49+$C$50*$C$53)*$C$47</f>
        <v>988.06174537206164</v>
      </c>
      <c r="O39" s="12"/>
      <c r="P39" s="10">
        <f t="shared" si="19"/>
        <v>2.506930245059948</v>
      </c>
      <c r="R39" s="10" t="str">
        <f t="shared" si="7"/>
        <v/>
      </c>
      <c r="S39" s="10" t="str">
        <f t="shared" si="8"/>
        <v/>
      </c>
      <c r="T39" s="10" t="str">
        <f t="shared" si="9"/>
        <v/>
      </c>
      <c r="V39" s="9">
        <f>$C39*$C$48/($C39*$C$48+$D$51*1.05)*$C$47</f>
        <v>961.11032028469754</v>
      </c>
      <c r="W39" s="10">
        <f>$C39*$C$49/($C39*$C$49+$D$51*0.95)*$C$47</f>
        <v>967.73507275464124</v>
      </c>
      <c r="X39" s="12"/>
      <c r="Y39" s="10">
        <f t="shared" si="21"/>
        <v>3.7469416338479959</v>
      </c>
      <c r="Z39" s="10" t="str">
        <f t="shared" si="4"/>
        <v/>
      </c>
      <c r="AA39" s="6"/>
      <c r="AB39" s="10" t="str">
        <f>IF(Z39="","",$D$51*(Z39/($C$47-Z39)))</f>
        <v/>
      </c>
      <c r="AC39" s="6"/>
      <c r="AD39" s="10" t="str">
        <f t="shared" si="5"/>
        <v/>
      </c>
      <c r="AE39" s="10" t="str">
        <f t="shared" si="6"/>
        <v/>
      </c>
      <c r="AF39" s="6"/>
    </row>
    <row r="40" spans="1:32" s="5" customFormat="1" x14ac:dyDescent="0.35">
      <c r="B40" s="5">
        <v>29</v>
      </c>
      <c r="C40" s="21">
        <v>680000</v>
      </c>
      <c r="E40" s="9">
        <f>$C40*$C$48/($C40*$C$48+$C$52*$C$54)*$C$47</f>
        <v>952.27309835092831</v>
      </c>
      <c r="F40" s="10">
        <f>$C40*$C$49/($C40*$C$49+$C$52*$C$53)*$C$47</f>
        <v>959.60818284188838</v>
      </c>
      <c r="G40" s="10">
        <f>E42-F40</f>
        <v>14.209424486606167</v>
      </c>
      <c r="H40" s="10">
        <f t="shared" si="17"/>
        <v>4.0396569902172814</v>
      </c>
      <c r="I40" s="9">
        <f>$C40*$C$48/($C40*$C$48+$C$51*$C$54)*$C$47</f>
        <v>971.56424581005581</v>
      </c>
      <c r="J40" s="10">
        <f>$C40*$C$49/($C40*$C$49+$C$51*$C$53)*$C$47</f>
        <v>976.99529994159684</v>
      </c>
      <c r="K40" s="10">
        <f>I42-J40</f>
        <v>10.456437510140518</v>
      </c>
      <c r="L40" s="10">
        <f t="shared" si="18"/>
        <v>2.9813355724219264</v>
      </c>
      <c r="M40" s="9">
        <f>$C40*$C$48/($C40*$C$48+$C$50*$C$54)*$C$47</f>
        <v>990.56867561712158</v>
      </c>
      <c r="N40" s="10">
        <f>$C40*$C$49/($C40*$C$49+$C$50*$C$53)*$C$47</f>
        <v>994.05285660506092</v>
      </c>
      <c r="O40" s="10">
        <f>M42-N40</f>
        <v>6.6678259161469668</v>
      </c>
      <c r="P40" s="10">
        <f t="shared" si="19"/>
        <v>1.9065152000839589</v>
      </c>
      <c r="R40" s="10">
        <f t="shared" si="7"/>
        <v>966.71289508519146</v>
      </c>
      <c r="S40" s="10">
        <f t="shared" si="8"/>
        <v>982.22351869666704</v>
      </c>
      <c r="T40" s="10">
        <f t="shared" si="9"/>
        <v>997.38676956313441</v>
      </c>
      <c r="V40" s="9">
        <f>$C40*$C$48/($C40*$C$48+$D$51*1.05)*$C$47</f>
        <v>971.48201438848923</v>
      </c>
      <c r="W40" s="10">
        <f>$C40*$C$49/($C40*$C$49+$D$51*0.95)*$C$47</f>
        <v>977.04964539007096</v>
      </c>
      <c r="X40" s="10">
        <f>V42-W40</f>
        <v>10.344329456375362</v>
      </c>
      <c r="Y40" s="10">
        <f t="shared" si="21"/>
        <v>2.8576112470971111</v>
      </c>
      <c r="Z40" s="10">
        <f t="shared" si="4"/>
        <v>982.22181011825865</v>
      </c>
      <c r="AA40" s="6">
        <f>Z40-S40</f>
        <v>-1.7085784083974431E-3</v>
      </c>
      <c r="AB40" s="10">
        <f>IF(Z40="","",$D$51*(Z40/($C$47-Z40)))</f>
        <v>818955.95760550967</v>
      </c>
      <c r="AC40" s="6"/>
      <c r="AD40" s="10">
        <f t="shared" si="5"/>
        <v>680000</v>
      </c>
      <c r="AE40" s="10">
        <f t="shared" si="6"/>
        <v>818955.95760550967</v>
      </c>
      <c r="AF40" s="6"/>
    </row>
    <row r="41" spans="1:32" s="5" customFormat="1" x14ac:dyDescent="0.35">
      <c r="C41" s="22">
        <v>820000</v>
      </c>
      <c r="D41" s="7"/>
      <c r="E41" s="11">
        <f>$C41*$C$48/($C41*$C$48+$C$52*$C$54)*$C$47</f>
        <v>963.64783983210566</v>
      </c>
      <c r="F41" s="12">
        <f>$C41*$C$49/($C41*$C$49+$C$52*$C$53)*$C$47</f>
        <v>969.86906877579884</v>
      </c>
      <c r="G41" s="12"/>
      <c r="H41" s="10">
        <f t="shared" si="17"/>
        <v>3.9485385526957089</v>
      </c>
      <c r="I41" s="11">
        <f>$C41*$C$48/($C41*$C$48+$C$51*$C$54)*$C$47</f>
        <v>979.97663551401877</v>
      </c>
      <c r="J41" s="12">
        <f>$C41*$C$49/($C41*$C$49+$C$51*$C$53)*$C$47</f>
        <v>984.55458200664702</v>
      </c>
      <c r="K41" s="12"/>
      <c r="L41" s="10">
        <f t="shared" si="18"/>
        <v>2.8971554450903341</v>
      </c>
      <c r="M41" s="11">
        <f>$C41*$C$48/($C41*$C$48+$C$50*$C$54)*$C$47</f>
        <v>995.95937180514488</v>
      </c>
      <c r="N41" s="12">
        <f>$C41*$C$49/($C41*$C$49+$C$50*$C$53)*$C$47</f>
        <v>998.87851900561554</v>
      </c>
      <c r="O41" s="12"/>
      <c r="P41" s="10">
        <f t="shared" si="19"/>
        <v>1.8421635155923468</v>
      </c>
      <c r="R41" s="10" t="str">
        <f t="shared" si="7"/>
        <v/>
      </c>
      <c r="S41" s="10" t="str">
        <f t="shared" ref="S41" si="24">IF(K41&gt;0.01,J41+K41/2,"")</f>
        <v/>
      </c>
      <c r="T41" s="10" t="str">
        <f t="shared" ref="T41" si="25">IF(O41&gt;0.01,N41+O41/2,"")</f>
        <v/>
      </c>
      <c r="V41" s="9">
        <f>$C41*$C$48/($C41*$C$48+$D$51*1.05)*$C$47</f>
        <v>979.90725663716808</v>
      </c>
      <c r="W41" s="10">
        <f>$C41*$C$49/($C41*$C$49+$D$51*0.95)*$C$47</f>
        <v>984.60034863451483</v>
      </c>
      <c r="X41" s="12"/>
      <c r="Y41" s="10">
        <f t="shared" si="21"/>
        <v>2.7936262119314961</v>
      </c>
      <c r="Z41" s="10" t="str">
        <f t="shared" si="4"/>
        <v/>
      </c>
      <c r="AA41" s="6"/>
      <c r="AB41" s="10" t="str">
        <f>IF(Z41="","",$D$51*(Z41/($C$47-Z41)))</f>
        <v/>
      </c>
      <c r="AC41" s="6"/>
      <c r="AD41" s="10" t="str">
        <f t="shared" si="5"/>
        <v/>
      </c>
      <c r="AE41" s="10" t="str">
        <f t="shared" si="6"/>
        <v/>
      </c>
      <c r="AF41" s="6"/>
    </row>
    <row r="42" spans="1:32" s="5" customFormat="1" x14ac:dyDescent="0.35">
      <c r="B42" s="5">
        <v>30</v>
      </c>
      <c r="C42" s="21">
        <v>1000000</v>
      </c>
      <c r="E42" s="9">
        <f>$C42*$C$48/($C42*$C$48+$C$52*$C$54)*$C$47</f>
        <v>973.81760732849455</v>
      </c>
      <c r="F42" s="10">
        <f>$C42*$C$49/($C42*$C$49+$C$52*$C$53)*$C$47</f>
        <v>979.02150115910047</v>
      </c>
      <c r="G42" s="10">
        <f>E43-F42</f>
        <v>12.675143481613304</v>
      </c>
      <c r="H42" s="10">
        <f t="shared" si="17"/>
        <v>12.675143481613304</v>
      </c>
      <c r="I42" s="9">
        <f>$C42*$C$48/($C42*$C$48+$C$51*$C$54)*$C$47</f>
        <v>987.45173745173736</v>
      </c>
      <c r="J42" s="10">
        <f>$C42*$C$49/($C42*$C$49+$C$51*$C$53)*$C$47</f>
        <v>991.26004950400056</v>
      </c>
      <c r="K42" s="10">
        <f>I43-J42</f>
        <v>9.2289480510115709</v>
      </c>
      <c r="L42" s="10">
        <f t="shared" si="18"/>
        <v>9.2289480510115709</v>
      </c>
      <c r="M42" s="9">
        <f>$C42*$C$48/($C42*$C$48+$C$50*$C$54)*$C$47</f>
        <v>1000.7206825212079</v>
      </c>
      <c r="N42" s="10">
        <f>$C42*$C$49/($C42*$C$49+$C$50*$C$53)*$C$47</f>
        <v>1003.1360781570606</v>
      </c>
      <c r="O42" s="10">
        <f>M43-N42</f>
        <v>5.8246913537283262</v>
      </c>
      <c r="P42" s="10">
        <f t="shared" si="19"/>
        <v>5.8246913537283262</v>
      </c>
      <c r="R42" s="18">
        <f>F42+G40</f>
        <v>993.23092564570663</v>
      </c>
      <c r="S42" s="18">
        <f>J42+K40</f>
        <v>1001.7164870141411</v>
      </c>
      <c r="T42" s="18">
        <f>N42+O40</f>
        <v>1009.8039040732076</v>
      </c>
      <c r="V42" s="9">
        <f>$C42*$C$48/($C42*$C$48+$D$51*1.05)*$C$47</f>
        <v>987.39397484644633</v>
      </c>
      <c r="W42" s="10">
        <f>$C42*$C$49/($C42*$C$49+$D$51*0.95)*$C$47</f>
        <v>991.29809076081733</v>
      </c>
      <c r="X42" s="10">
        <f>V43-W42</f>
        <v>9.1538447828019116</v>
      </c>
      <c r="Y42" s="10">
        <f t="shared" si="21"/>
        <v>9.1538447828019116</v>
      </c>
      <c r="Z42" s="10">
        <f>W42+X40</f>
        <v>1001.6424202171927</v>
      </c>
      <c r="AA42" s="6">
        <f>Z42-S42</f>
        <v>-7.4066796948386582E-2</v>
      </c>
      <c r="AB42" s="10">
        <f>IF(Z42="","",$D$51*(Z42/($C$47-Z42)))</f>
        <v>1594555.3116837356</v>
      </c>
      <c r="AC42" s="6"/>
      <c r="AD42" s="10">
        <f t="shared" si="5"/>
        <v>1000000</v>
      </c>
      <c r="AE42" s="10">
        <f t="shared" si="6"/>
        <v>1594555.3116837356</v>
      </c>
      <c r="AF42" s="6"/>
    </row>
    <row r="43" spans="1:32" s="5" customFormat="1" x14ac:dyDescent="0.35">
      <c r="B43" s="5">
        <v>31</v>
      </c>
      <c r="C43" s="21">
        <v>1600000</v>
      </c>
      <c r="E43" s="9">
        <f>$C43*$C$48/($C43*$C$48+$C$52*$C$54)*$C$47</f>
        <v>991.69664464071377</v>
      </c>
      <c r="F43" s="10">
        <f>$C43*$C$49/($C43*$C$49+$C$52*$C$53)*$C$47</f>
        <v>995.06306265007493</v>
      </c>
      <c r="G43" s="10"/>
      <c r="H43" s="10"/>
      <c r="I43" s="9">
        <f>$C43*$C$48/($C43*$C$48+$C$51*$C$54)*$C$47</f>
        <v>1000.4889975550121</v>
      </c>
      <c r="J43" s="10">
        <f>$C43*$C$49/($C43*$C$49+$C$51*$C$53)*$C$47</f>
        <v>1002.9290073649854</v>
      </c>
      <c r="K43" s="10"/>
      <c r="L43" s="10"/>
      <c r="M43" s="9">
        <f>$C43*$C$48/($C43*$C$48+$C$50*$C$54)*$C$47</f>
        <v>1008.960769510789</v>
      </c>
      <c r="N43" s="10">
        <f>$C43*$C$49/($C43*$C$49+$C$50*$C$53)*$C$47</f>
        <v>1010.49398635638</v>
      </c>
      <c r="O43" s="10"/>
      <c r="P43" s="10"/>
      <c r="S43" s="21">
        <f>$C$47+1</f>
        <v>1024</v>
      </c>
      <c r="V43" s="9">
        <f>$C43*$C$48/($C43*$C$48+$D$51*1.05)*$C$47</f>
        <v>1000.4519355436192</v>
      </c>
      <c r="W43" s="10">
        <f>$C43*$C$49/($C43*$C$49+$D$51*0.95)*$C$47</f>
        <v>1002.953345871504</v>
      </c>
      <c r="X43" s="10"/>
      <c r="Y43" s="10"/>
      <c r="Z43" s="21">
        <f>$C$47+1</f>
        <v>1024</v>
      </c>
      <c r="AC43" s="6"/>
      <c r="AD43" s="6"/>
      <c r="AE43" s="6"/>
      <c r="AF43" s="6"/>
    </row>
    <row r="45" spans="1:32" s="4" customFormat="1" ht="17.5" thickBot="1" x14ac:dyDescent="0.45">
      <c r="A45" s="4" t="s">
        <v>6</v>
      </c>
    </row>
    <row r="46" spans="1:32" ht="15" thickTop="1" x14ac:dyDescent="0.35"/>
    <row r="47" spans="1:32" x14ac:dyDescent="0.35">
      <c r="B47" t="s">
        <v>19</v>
      </c>
      <c r="C47" s="27">
        <v>1023</v>
      </c>
      <c r="Q47" s="19"/>
      <c r="S47" s="19"/>
    </row>
    <row r="48" spans="1:32" x14ac:dyDescent="0.35">
      <c r="B48" t="s">
        <v>14</v>
      </c>
      <c r="C48" s="27">
        <v>0.99</v>
      </c>
      <c r="E48" s="2"/>
      <c r="G48" s="2"/>
    </row>
    <row r="49" spans="2:23" x14ac:dyDescent="0.35">
      <c r="B49" t="s">
        <v>15</v>
      </c>
      <c r="C49" s="27">
        <v>1.01</v>
      </c>
      <c r="O49" s="2"/>
      <c r="P49" s="2"/>
      <c r="Q49" s="2"/>
      <c r="R49" s="2"/>
      <c r="S49" s="2"/>
      <c r="T49" s="2"/>
      <c r="U49" s="2"/>
      <c r="V49" s="2"/>
      <c r="W49" s="2"/>
    </row>
    <row r="50" spans="2:23" x14ac:dyDescent="0.35">
      <c r="B50" t="s">
        <v>2</v>
      </c>
      <c r="C50" s="27">
        <f>ROUND(20000*(1/$C$53),0)</f>
        <v>20408</v>
      </c>
      <c r="O50" s="20"/>
    </row>
    <row r="51" spans="2:23" ht="14.5" customHeight="1" x14ac:dyDescent="0.35">
      <c r="B51" t="s">
        <v>11</v>
      </c>
      <c r="C51" s="27">
        <v>33000</v>
      </c>
      <c r="D51">
        <v>34000</v>
      </c>
    </row>
    <row r="52" spans="2:23" x14ac:dyDescent="0.35">
      <c r="B52" t="s">
        <v>3</v>
      </c>
      <c r="C52" s="27">
        <f>ROUND(50000*(1/$C$54),0)</f>
        <v>46296</v>
      </c>
    </row>
    <row r="53" spans="2:23" x14ac:dyDescent="0.35">
      <c r="B53" t="s">
        <v>4</v>
      </c>
      <c r="C53" s="27">
        <v>0.98</v>
      </c>
      <c r="D53">
        <v>1.05</v>
      </c>
    </row>
    <row r="54" spans="2:23" x14ac:dyDescent="0.35">
      <c r="B54" t="s">
        <v>5</v>
      </c>
      <c r="C54" s="27">
        <v>1.08</v>
      </c>
      <c r="D54">
        <v>1.05</v>
      </c>
    </row>
    <row r="55" spans="2:23" x14ac:dyDescent="0.35">
      <c r="B55" t="s">
        <v>10</v>
      </c>
      <c r="C55" s="28">
        <v>2</v>
      </c>
      <c r="K55" s="3"/>
    </row>
    <row r="56" spans="2:23" x14ac:dyDescent="0.35">
      <c r="B56" t="s">
        <v>8</v>
      </c>
      <c r="C56" s="28">
        <v>4</v>
      </c>
    </row>
    <row r="57" spans="2:23" x14ac:dyDescent="0.35">
      <c r="B57" t="s">
        <v>9</v>
      </c>
      <c r="C57" s="28">
        <v>16</v>
      </c>
    </row>
    <row r="58" spans="2:23" x14ac:dyDescent="0.35">
      <c r="B58" t="s">
        <v>23</v>
      </c>
      <c r="C58" s="27">
        <v>1</v>
      </c>
    </row>
    <row r="60" spans="2:23" x14ac:dyDescent="0.35">
      <c r="B60" s="23" t="s">
        <v>18</v>
      </c>
      <c r="C60" s="8"/>
      <c r="D60" s="8"/>
      <c r="E60" s="8"/>
      <c r="F60" s="8"/>
      <c r="G60" s="8"/>
      <c r="H60" s="8"/>
    </row>
    <row r="61" spans="2:23" x14ac:dyDescent="0.35">
      <c r="N61" s="2"/>
    </row>
    <row r="62" spans="2:23" x14ac:dyDescent="0.35">
      <c r="B62" t="s">
        <v>20</v>
      </c>
      <c r="C62">
        <v>22000</v>
      </c>
      <c r="N62" s="13"/>
    </row>
    <row r="63" spans="2:23" x14ac:dyDescent="0.35">
      <c r="B63" t="s">
        <v>21</v>
      </c>
      <c r="N63" s="13"/>
    </row>
    <row r="64" spans="2:23" x14ac:dyDescent="0.35">
      <c r="O64" s="13"/>
    </row>
    <row r="65" spans="15:15" x14ac:dyDescent="0.35">
      <c r="O65" s="13"/>
    </row>
    <row r="66" spans="15:15" x14ac:dyDescent="0.35">
      <c r="O66" s="13"/>
    </row>
    <row r="67" spans="15:15" x14ac:dyDescent="0.35">
      <c r="O67" s="13"/>
    </row>
    <row r="68" spans="15:15" x14ac:dyDescent="0.35">
      <c r="O68" s="13"/>
    </row>
    <row r="69" spans="15:15" x14ac:dyDescent="0.35">
      <c r="O69" s="13"/>
    </row>
    <row r="70" spans="15:15" x14ac:dyDescent="0.35">
      <c r="O70" s="13"/>
    </row>
    <row r="87" ht="14.5" customHeight="1" x14ac:dyDescent="0.35"/>
  </sheetData>
  <mergeCells count="11">
    <mergeCell ref="AA3:AC3"/>
    <mergeCell ref="AE3:AF3"/>
    <mergeCell ref="S3:U3"/>
    <mergeCell ref="W3:Z3"/>
    <mergeCell ref="X4:Y4"/>
    <mergeCell ref="G4:H4"/>
    <mergeCell ref="K4:L4"/>
    <mergeCell ref="O4:P4"/>
    <mergeCell ref="F3:I3"/>
    <mergeCell ref="J3:M3"/>
    <mergeCell ref="N3:Q3"/>
  </mergeCells>
  <conditionalFormatting sqref="G5:H42 K5:L42 O5:P42 C55:C57">
    <cfRule type="colorScale" priority="9">
      <colorScale>
        <cfvo type="num" val="$C$55"/>
        <cfvo type="num" val="$C$56"/>
        <cfvo type="num" val="$C$57"/>
        <color rgb="FFF8696B"/>
        <color rgb="FFFFEB84"/>
        <color rgb="FF63BE7B"/>
      </colorScale>
    </cfRule>
  </conditionalFormatting>
  <conditionalFormatting sqref="X5:Y42">
    <cfRule type="colorScale" priority="4">
      <colorScale>
        <cfvo type="num" val="$C$55"/>
        <cfvo type="num" val="$C$56"/>
        <cfvo type="num" val="$C$57"/>
        <color rgb="FFF8696B"/>
        <color rgb="FFFFEB84"/>
        <color rgb="FF63BE7B"/>
      </colorScale>
    </cfRule>
  </conditionalFormatting>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cp:lastModifiedBy>
  <dcterms:created xsi:type="dcterms:W3CDTF">2020-12-14T18:39:49Z</dcterms:created>
  <dcterms:modified xsi:type="dcterms:W3CDTF">2021-02-08T14:13:11Z</dcterms:modified>
</cp:coreProperties>
</file>