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8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10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1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12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F:\Mi unidad\ITBA\5to\simulacion\Ejercicios\"/>
    </mc:Choice>
  </mc:AlternateContent>
  <xr:revisionPtr revIDLastSave="0" documentId="13_ncr:1_{32953BE8-AAE4-4192-957C-4DB0CF546E44}" xr6:coauthVersionLast="44" xr6:coauthVersionMax="44" xr10:uidLastSave="{00000000-0000-0000-0000-000000000000}"/>
  <bookViews>
    <workbookView xWindow="-120" yWindow="-120" windowWidth="20730" windowHeight="11760" activeTab="2" xr2:uid="{00000000-000D-0000-FFFF-FFFF00000000}"/>
  </bookViews>
  <sheets>
    <sheet name="1.1. GREATSTARS" sheetId="1" r:id="rId1"/>
    <sheet name="1.2. AEROVIP" sheetId="8" r:id="rId2"/>
    <sheet name="1.3. PLANEAMIENTO FABRIL" sheetId="15" r:id="rId3"/>
    <sheet name="1.6. CUBA'S SUNSCREEN" sheetId="16" r:id="rId4"/>
    <sheet name="1.7. COOLING S.A." sheetId="13" r:id="rId5"/>
    <sheet name="1.8. elCORREO" sheetId="17" r:id="rId6"/>
    <sheet name="1.10. SERVERPLACE" sheetId="12" r:id="rId7"/>
    <sheet name="1.11. ENERGIZAR S.A." sheetId="18" r:id="rId8"/>
  </sheets>
  <definedNames>
    <definedName name="_xlnm._FilterDatabase" localSheetId="0" hidden="1">'1.1. GREATSTARS'!$A$1:$E$41</definedName>
    <definedName name="_xlnm._FilterDatabase" localSheetId="7" hidden="1">'1.11. ENERGIZAR S.A.'!$A$1:$F$31</definedName>
    <definedName name="_xlnm._FilterDatabase" localSheetId="4" hidden="1">'1.7. COOLING S.A.'!$F$1:$I$29</definedName>
    <definedName name="_xlchart.v1.0" hidden="1">'1.1. GREATSTARS'!$K$26:$K$29</definedName>
    <definedName name="_xlchart.v1.1" hidden="1">'1.1. GREATSTARS'!$D$2:$D$41</definedName>
    <definedName name="_xlchart.v1.10" hidden="1">'1.10. SERVERPLACE'!$A$52:$A$61</definedName>
    <definedName name="_xlchart.v1.11" hidden="1">'1.11. ENERGIZAR S.A.'!$C$2:$C$31</definedName>
    <definedName name="_xlchart.v1.12" hidden="1">'1.11. ENERGIZAR S.A.'!$E$2:$E$31</definedName>
    <definedName name="_xlchart.v1.13" hidden="1">'1.11. ENERGIZAR S.A.'!$B$2:$B$31</definedName>
    <definedName name="_xlchart.v1.14" hidden="1">'1.11. ENERGIZAR S.A.'!$E$2:$E$31</definedName>
    <definedName name="_xlchart.v1.2" hidden="1">'1.1. GREATSTARS'!$E$2:$E$41</definedName>
    <definedName name="_xlchart.v1.3" hidden="1">'1.1. GREATSTARS'!$K$12:$K$23</definedName>
    <definedName name="_xlchart.v1.4" hidden="1">'1.3. PLANEAMIENTO FABRIL'!$W$24:$W$59</definedName>
    <definedName name="_xlchart.v1.5" hidden="1">'1.3. PLANEAMIENTO FABRIL'!$W$24:$W$59</definedName>
    <definedName name="_xlchart.v1.6" hidden="1">'1.6. CUBA''S SUNSCREEN'!$B$5:$U$5</definedName>
    <definedName name="_xlchart.v1.7" hidden="1">'1.6. CUBA''S SUNSCREEN'!$B$3:$U$3</definedName>
    <definedName name="_xlchart.v1.8" hidden="1">'1.6. CUBA''S SUNSCREEN'!$B$4:$U$4</definedName>
    <definedName name="_xlchart.v1.9" hidden="1">'1.8. elCORREO'!$B$9:$K$9</definedName>
  </definedName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4" i="15" l="1"/>
  <c r="U24" i="15"/>
  <c r="O24" i="15"/>
  <c r="O37" i="15"/>
  <c r="N37" i="15"/>
  <c r="J38" i="15"/>
  <c r="N35" i="15"/>
  <c r="N24" i="15"/>
  <c r="N28" i="15"/>
  <c r="N25" i="15"/>
  <c r="N26" i="15"/>
  <c r="N27" i="15"/>
  <c r="N29" i="15"/>
  <c r="N30" i="15"/>
  <c r="N31" i="15"/>
  <c r="N32" i="15"/>
  <c r="N33" i="15"/>
  <c r="N34" i="15"/>
  <c r="J12" i="18" l="1"/>
  <c r="J11" i="18"/>
  <c r="J10" i="18"/>
  <c r="I13" i="18"/>
  <c r="P44" i="17" l="1"/>
  <c r="P43" i="17"/>
  <c r="B9" i="17" l="1"/>
  <c r="O18" i="17"/>
  <c r="O17" i="17"/>
  <c r="C9" i="17"/>
  <c r="D9" i="17"/>
  <c r="E9" i="17"/>
  <c r="F9" i="17"/>
  <c r="G9" i="17"/>
  <c r="H9" i="17"/>
  <c r="I9" i="17"/>
  <c r="J9" i="17"/>
  <c r="K9" i="17"/>
  <c r="C8" i="17"/>
  <c r="D8" i="17"/>
  <c r="E8" i="17"/>
  <c r="F8" i="17"/>
  <c r="G8" i="17"/>
  <c r="H8" i="17"/>
  <c r="I8" i="17"/>
  <c r="J8" i="17"/>
  <c r="K8" i="17"/>
  <c r="B8" i="17"/>
  <c r="C7" i="17"/>
  <c r="D7" i="17"/>
  <c r="E7" i="17"/>
  <c r="F7" i="17"/>
  <c r="G7" i="17"/>
  <c r="H7" i="17"/>
  <c r="I7" i="17"/>
  <c r="J7" i="17"/>
  <c r="K7" i="17"/>
  <c r="B7" i="17"/>
  <c r="C6" i="17"/>
  <c r="D6" i="17"/>
  <c r="E6" i="17"/>
  <c r="F6" i="17"/>
  <c r="G6" i="17"/>
  <c r="H6" i="17"/>
  <c r="I6" i="17"/>
  <c r="J6" i="17"/>
  <c r="K6" i="17"/>
  <c r="B6" i="17"/>
  <c r="I78" i="16" l="1"/>
  <c r="I77" i="16"/>
  <c r="I76" i="16"/>
  <c r="I75" i="16"/>
  <c r="J57" i="16"/>
  <c r="J56" i="16"/>
  <c r="H62" i="16"/>
  <c r="I62" i="16"/>
  <c r="H63" i="16"/>
  <c r="I57" i="16"/>
  <c r="I56" i="16"/>
  <c r="I55" i="16"/>
  <c r="I54" i="16"/>
  <c r="A28" i="16"/>
  <c r="Z55" i="15" l="1"/>
  <c r="Z50" i="15"/>
  <c r="K41" i="15" l="1"/>
  <c r="K42" i="15"/>
  <c r="L42" i="15"/>
  <c r="L41" i="15"/>
  <c r="J42" i="15"/>
  <c r="J43" i="15" s="1"/>
  <c r="J41" i="15"/>
  <c r="K36" i="15"/>
  <c r="L36" i="15"/>
  <c r="J36" i="15"/>
  <c r="M25" i="15"/>
  <c r="M26" i="15"/>
  <c r="M27" i="15"/>
  <c r="M28" i="15"/>
  <c r="M29" i="15"/>
  <c r="M30" i="15"/>
  <c r="M31" i="15"/>
  <c r="M32" i="15"/>
  <c r="M33" i="15"/>
  <c r="M34" i="15"/>
  <c r="M35" i="15"/>
  <c r="M24" i="15"/>
  <c r="K21" i="15"/>
  <c r="E14" i="15"/>
  <c r="F14" i="15"/>
  <c r="D14" i="15"/>
  <c r="G3" i="15"/>
  <c r="G4" i="15"/>
  <c r="G5" i="15"/>
  <c r="G6" i="15"/>
  <c r="G7" i="15"/>
  <c r="G8" i="15"/>
  <c r="G9" i="15"/>
  <c r="G10" i="15"/>
  <c r="G11" i="15"/>
  <c r="G12" i="15"/>
  <c r="G13" i="15"/>
  <c r="G2" i="15"/>
  <c r="K43" i="15" l="1"/>
  <c r="P28" i="15"/>
  <c r="M41" i="15"/>
  <c r="M42" i="15"/>
  <c r="L43" i="15"/>
  <c r="M43" i="15" s="1"/>
  <c r="P43" i="15" s="1"/>
  <c r="M36" i="15"/>
  <c r="P27" i="15" s="1"/>
  <c r="M2" i="13"/>
  <c r="N2" i="13"/>
  <c r="O2" i="13"/>
  <c r="M3" i="13"/>
  <c r="M4" i="13"/>
  <c r="N4" i="13"/>
  <c r="O4" i="13"/>
  <c r="M5" i="13"/>
  <c r="N5" i="13"/>
  <c r="O5" i="13"/>
  <c r="M6" i="13"/>
  <c r="M7" i="13" s="1"/>
  <c r="N6" i="13"/>
  <c r="N7" i="13" s="1"/>
  <c r="O6" i="13"/>
  <c r="O7" i="13" s="1"/>
  <c r="M8" i="13"/>
  <c r="N8" i="13"/>
  <c r="O8" i="13"/>
  <c r="O25" i="15" l="1"/>
  <c r="O29" i="15"/>
  <c r="O33" i="15"/>
  <c r="O26" i="15"/>
  <c r="O30" i="15"/>
  <c r="O34" i="15"/>
  <c r="O35" i="15"/>
  <c r="O32" i="15"/>
  <c r="O27" i="15"/>
  <c r="O31" i="15"/>
  <c r="O28" i="15"/>
  <c r="P42" i="15"/>
  <c r="P25" i="15"/>
  <c r="P29" i="15"/>
  <c r="P33" i="15"/>
  <c r="P30" i="15"/>
  <c r="P36" i="15"/>
  <c r="P26" i="15"/>
  <c r="P34" i="15"/>
  <c r="P41" i="15"/>
  <c r="P32" i="15"/>
  <c r="P31" i="15"/>
  <c r="P24" i="15"/>
  <c r="P35" i="15"/>
  <c r="E2" i="12"/>
  <c r="E3" i="12"/>
  <c r="E4" i="12"/>
  <c r="E5" i="12"/>
  <c r="A55" i="12" s="1"/>
  <c r="E6" i="12"/>
  <c r="E7" i="12"/>
  <c r="E8" i="12"/>
  <c r="E9" i="12"/>
  <c r="A59" i="12" s="1"/>
  <c r="E10" i="12"/>
  <c r="E11" i="12"/>
  <c r="X13" i="12"/>
  <c r="X14" i="12"/>
  <c r="X15" i="12"/>
  <c r="X16" i="12"/>
  <c r="T17" i="12"/>
  <c r="T18" i="12" s="1"/>
  <c r="U17" i="12"/>
  <c r="V17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T40" i="12" a="1"/>
  <c r="T40" i="12" s="1"/>
  <c r="U40" i="12" s="1"/>
  <c r="V40" i="12" s="1"/>
  <c r="T41" i="12" a="1"/>
  <c r="T41" i="12" s="1"/>
  <c r="U41" i="12" s="1"/>
  <c r="V41" i="12" s="1"/>
  <c r="Z41" i="12"/>
  <c r="H42" i="12"/>
  <c r="T42" i="12" a="1"/>
  <c r="T42" i="12" s="1"/>
  <c r="U42" i="12" s="1"/>
  <c r="V42" i="12" s="1"/>
  <c r="T43" i="12" a="1"/>
  <c r="T43" i="12" s="1"/>
  <c r="U43" i="12" s="1"/>
  <c r="V43" i="12" s="1"/>
  <c r="T44" i="12" a="1"/>
  <c r="T44" i="12" s="1"/>
  <c r="U44" i="12" s="1"/>
  <c r="V44" i="12" s="1"/>
  <c r="T45" i="12" a="1"/>
  <c r="T45" i="12" s="1"/>
  <c r="U45" i="12" s="1"/>
  <c r="V45" i="12" s="1"/>
  <c r="T46" i="12" a="1"/>
  <c r="T46" i="12" s="1"/>
  <c r="U46" i="12" s="1"/>
  <c r="V46" i="12" s="1"/>
  <c r="T47" i="12" a="1"/>
  <c r="T47" i="12" s="1"/>
  <c r="U47" i="12" s="1"/>
  <c r="V47" i="12" s="1"/>
  <c r="T48" i="12" a="1"/>
  <c r="T48" i="12" s="1"/>
  <c r="U48" i="12" s="1"/>
  <c r="V48" i="12" s="1"/>
  <c r="T49" i="12" a="1"/>
  <c r="T49" i="12" s="1"/>
  <c r="A52" i="12"/>
  <c r="A53" i="12"/>
  <c r="A54" i="12"/>
  <c r="A56" i="12"/>
  <c r="A57" i="12"/>
  <c r="A58" i="12"/>
  <c r="A60" i="12"/>
  <c r="A61" i="12"/>
  <c r="U53" i="15" l="1"/>
  <c r="V53" i="15" s="1"/>
  <c r="U40" i="15"/>
  <c r="V40" i="15" s="1"/>
  <c r="U27" i="15"/>
  <c r="V27" i="15" s="1"/>
  <c r="U56" i="15"/>
  <c r="V56" i="15" s="1"/>
  <c r="U43" i="15"/>
  <c r="V43" i="15" s="1"/>
  <c r="U30" i="15"/>
  <c r="U51" i="15"/>
  <c r="V51" i="15" s="1"/>
  <c r="U38" i="15"/>
  <c r="V38" i="15" s="1"/>
  <c r="U25" i="15"/>
  <c r="U45" i="15"/>
  <c r="V45" i="15" s="1"/>
  <c r="U32" i="15"/>
  <c r="V32" i="15" s="1"/>
  <c r="U58" i="15"/>
  <c r="V58" i="15" s="1"/>
  <c r="U52" i="15"/>
  <c r="U39" i="15"/>
  <c r="V39" i="15" s="1"/>
  <c r="U26" i="15"/>
  <c r="V26" i="15" s="1"/>
  <c r="U50" i="15"/>
  <c r="U37" i="15"/>
  <c r="V37" i="15" s="1"/>
  <c r="U54" i="15"/>
  <c r="V54" i="15" s="1"/>
  <c r="U41" i="15"/>
  <c r="V41" i="15" s="1"/>
  <c r="U28" i="15"/>
  <c r="V28" i="15" s="1"/>
  <c r="U61" i="15"/>
  <c r="V61" i="15" s="1"/>
  <c r="U48" i="15"/>
  <c r="V48" i="15" s="1"/>
  <c r="U35" i="15"/>
  <c r="V35" i="15" s="1"/>
  <c r="U59" i="15"/>
  <c r="V59" i="15" s="1"/>
  <c r="U46" i="15"/>
  <c r="V46" i="15" s="1"/>
  <c r="U33" i="15"/>
  <c r="V33" i="15" s="1"/>
  <c r="U31" i="15"/>
  <c r="V31" i="15" s="1"/>
  <c r="U57" i="15"/>
  <c r="V57" i="15" s="1"/>
  <c r="U44" i="15"/>
  <c r="V44" i="15" s="1"/>
  <c r="U60" i="15"/>
  <c r="V60" i="15" s="1"/>
  <c r="U47" i="15"/>
  <c r="V47" i="15" s="1"/>
  <c r="U34" i="15"/>
  <c r="U55" i="15"/>
  <c r="V55" i="15" s="1"/>
  <c r="U42" i="15"/>
  <c r="V42" i="15" s="1"/>
  <c r="U29" i="15"/>
  <c r="V29" i="15" s="1"/>
  <c r="V25" i="15"/>
  <c r="V50" i="15"/>
  <c r="V34" i="15"/>
  <c r="V30" i="15"/>
  <c r="V52" i="15"/>
  <c r="G54" i="12"/>
  <c r="G52" i="12"/>
  <c r="Y13" i="12"/>
  <c r="Z15" i="12" s="1"/>
  <c r="Y44" i="15" l="1"/>
  <c r="Y43" i="15"/>
  <c r="Z14" i="12"/>
  <c r="Z16" i="12"/>
  <c r="Z13" i="12"/>
  <c r="F38" i="8"/>
  <c r="F37" i="8"/>
  <c r="F36" i="8"/>
  <c r="C38" i="8"/>
  <c r="C37" i="8"/>
  <c r="C36" i="8"/>
  <c r="E38" i="8"/>
  <c r="E37" i="8"/>
  <c r="E36" i="8"/>
  <c r="B38" i="8"/>
  <c r="B37" i="8"/>
  <c r="B36" i="8"/>
  <c r="F32" i="8"/>
  <c r="E32" i="8"/>
  <c r="C32" i="8"/>
  <c r="B32" i="8"/>
  <c r="T43" i="1"/>
  <c r="T42" i="1" a="1"/>
  <c r="T42" i="1" s="1"/>
  <c r="T41" i="1"/>
  <c r="T18" i="1"/>
  <c r="B46" i="1"/>
  <c r="C46" i="1" s="1"/>
  <c r="B47" i="1"/>
  <c r="C47" i="1" s="1"/>
  <c r="B45" i="1"/>
  <c r="C45" i="1" s="1"/>
  <c r="T17" i="1"/>
  <c r="T16" i="1"/>
  <c r="X18" i="12" l="1"/>
  <c r="C39" i="8"/>
  <c r="C40" i="8" s="1"/>
  <c r="C41" i="8" s="1"/>
  <c r="C42" i="8" s="1"/>
  <c r="C43" i="8" s="1"/>
  <c r="C44" i="8" s="1"/>
  <c r="F39" i="8"/>
  <c r="F40" i="8" s="1"/>
  <c r="F41" i="8" s="1"/>
  <c r="F42" i="8" s="1"/>
  <c r="F43" i="8" s="1"/>
  <c r="F44" i="8" s="1"/>
  <c r="E39" i="8"/>
  <c r="E40" i="8" s="1"/>
  <c r="E41" i="8" s="1"/>
  <c r="E42" i="8" s="1"/>
  <c r="E43" i="8" s="1"/>
  <c r="E44" i="8" s="1"/>
  <c r="B39" i="8"/>
  <c r="B40" i="8" s="1"/>
  <c r="B41" i="8" s="1"/>
  <c r="B42" i="8" s="1"/>
  <c r="B43" i="8" s="1"/>
  <c r="B44" i="8" s="1"/>
  <c r="Y50" i="15" l="1"/>
  <c r="Z51" i="15" s="1"/>
  <c r="Z52" i="15" s="1"/>
  <c r="Z53" i="15" s="1"/>
  <c r="Z54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<sst xmlns="http://schemas.openxmlformats.org/spreadsheetml/2006/main" count="719" uniqueCount="398">
  <si>
    <t>#</t>
  </si>
  <si>
    <t>Día</t>
  </si>
  <si>
    <t>Fecha</t>
  </si>
  <si>
    <t>Subcontratista</t>
  </si>
  <si>
    <t>Horas</t>
  </si>
  <si>
    <t>S&amp;S</t>
  </si>
  <si>
    <t>CompuServices</t>
  </si>
  <si>
    <t>NetSystems</t>
  </si>
  <si>
    <t>Se requiere:</t>
  </si>
  <si>
    <t>a)</t>
  </si>
  <si>
    <t>b)</t>
  </si>
  <si>
    <t xml:space="preserve">Construir un diagrama de flujo de la estion de los proyectos </t>
  </si>
  <si>
    <t>de Greatstars, indicando las variables que intervienen</t>
  </si>
  <si>
    <t xml:space="preserve"> (incluyendo las VA que definidas en el pto anterior),</t>
  </si>
  <si>
    <t xml:space="preserve"> considerando que el proposito del estudio es reducir el plazo de ejecucion</t>
  </si>
  <si>
    <t>Notas:</t>
  </si>
  <si>
    <t>Aca el estudio se compone de mirar cuantos costos extra implica cada subcontratista</t>
  </si>
  <si>
    <t>que distribucion sigue ese ajuste extra por parte de la compania según subc</t>
  </si>
  <si>
    <t xml:space="preserve">Relacionar capaz las horas de ajuste con la fecha del mes </t>
  </si>
  <si>
    <t xml:space="preserve">Horas de ajuste según contratista (Variable continua) </t>
  </si>
  <si>
    <r>
      <t xml:space="preserve">La expresion generadora de la muestra artificial de las </t>
    </r>
    <r>
      <rPr>
        <b/>
        <sz val="12"/>
        <color theme="1"/>
        <rFont val="Calibri"/>
        <family val="2"/>
        <scheme val="minor"/>
      </rPr>
      <t xml:space="preserve">horas </t>
    </r>
  </si>
  <si>
    <r>
      <rPr>
        <b/>
        <sz val="12"/>
        <color theme="1"/>
        <rFont val="Calibri"/>
        <family val="2"/>
        <scheme val="minor"/>
      </rPr>
      <t>de ajuste</t>
    </r>
    <r>
      <rPr>
        <sz val="11"/>
        <color theme="1"/>
        <rFont val="Calibri"/>
        <family val="2"/>
        <scheme val="minor"/>
      </rPr>
      <t xml:space="preserve"> de la PTB que alimentara el modelo de simulacion.</t>
    </r>
  </si>
  <si>
    <t>Subcontratistas</t>
  </si>
  <si>
    <t>Clases</t>
  </si>
  <si>
    <t>frecuencia</t>
  </si>
  <si>
    <t>frecuencia %</t>
  </si>
  <si>
    <t>Clase</t>
  </si>
  <si>
    <t>Frecuencia</t>
  </si>
  <si>
    <t>intervalos</t>
  </si>
  <si>
    <t>Expresion generadora</t>
  </si>
  <si>
    <t>min</t>
  </si>
  <si>
    <t>max</t>
  </si>
  <si>
    <t>media</t>
  </si>
  <si>
    <t>moda</t>
  </si>
  <si>
    <t>Triangular(111,139.5,161)</t>
  </si>
  <si>
    <t>Uniforme(15,28)</t>
  </si>
  <si>
    <t>Horas según contratista</t>
  </si>
  <si>
    <t xml:space="preserve">Pareciera que como no hay superposicion de intervalos </t>
  </si>
  <si>
    <t>Hay cierta relacion en la cantidad de horas de ajuste según contratista</t>
  </si>
  <si>
    <t>Lo cual es logico que pase</t>
  </si>
  <si>
    <t>z</t>
  </si>
  <si>
    <t>DUDA ACA</t>
  </si>
  <si>
    <t>Que tomo? Promedio? Media? Mediana?</t>
  </si>
  <si>
    <t xml:space="preserve">Triangular(43,49,57) </t>
  </si>
  <si>
    <t>Arribos</t>
  </si>
  <si>
    <t>Suma</t>
  </si>
  <si>
    <t>Op(sol)</t>
  </si>
  <si>
    <t>Op(lluvia)</t>
  </si>
  <si>
    <t>Se pide:</t>
  </si>
  <si>
    <t xml:space="preserve">a) </t>
  </si>
  <si>
    <t>Elaborar expresion generadora de la muestra artificial de las 3 series</t>
  </si>
  <si>
    <t xml:space="preserve">b) </t>
  </si>
  <si>
    <t>Conclusiones?</t>
  </si>
  <si>
    <t>Arribos:</t>
  </si>
  <si>
    <t>tiempo en min desde el arribo anterior (medido desde que se lo ve en el cielo)</t>
  </si>
  <si>
    <t>Op:</t>
  </si>
  <si>
    <t xml:space="preserve">tiempo en min desde que el avion toca pista hasta que despeja la pista para la siguiente operación </t>
  </si>
  <si>
    <t>Deberia haber una relacion entre operación y si es dia soleado o de lluvia</t>
  </si>
  <si>
    <t>P. e. si llueve se tarda mas, por tener mas recaudos o lo que sea</t>
  </si>
  <si>
    <t xml:space="preserve">Tambien se puede relacionar con arribos, p. e. en dias lluviosos se toma la decision </t>
  </si>
  <si>
    <t>por si hay tormentas que no salgan tantos aviones, entonces el tiempo de arribo va a aumentar</t>
  </si>
  <si>
    <t>en dias lluviosos</t>
  </si>
  <si>
    <t>datos:</t>
  </si>
  <si>
    <t xml:space="preserve">La muestra es de dos dias (uno con sol y otro con lluvia) </t>
  </si>
  <si>
    <t>de los primeros 30 aviones</t>
  </si>
  <si>
    <t>Arribos, Op(sol) y Op(lluvia) son variables CONTINUAS</t>
  </si>
  <si>
    <t>SOL</t>
  </si>
  <si>
    <t>AUX</t>
  </si>
  <si>
    <t>distancia</t>
  </si>
  <si>
    <t>n</t>
  </si>
  <si>
    <t>LLUVIA</t>
  </si>
  <si>
    <t>El dato de la suma ya te dice que paso mas tiempo hasta que llegaron</t>
  </si>
  <si>
    <t>30 aviones en el dia lluvioso comparado con el soleado</t>
  </si>
  <si>
    <t>AUX2</t>
  </si>
  <si>
    <t>y mayor...</t>
  </si>
  <si>
    <t>Consumo = # racks * (3.05 + N(0;0.33))</t>
  </si>
  <si>
    <t xml:space="preserve">E = desvío del consumo/rack = </t>
  </si>
  <si>
    <t>Consumo = # racks * (3.05 + E)</t>
  </si>
  <si>
    <t>Consumo promedio por rack</t>
  </si>
  <si>
    <t>El consumo por rack está muy cercano a 3, por lo tanto lo voy a modelar con su promedio más un error</t>
  </si>
  <si>
    <t>Consumo/rack</t>
  </si>
  <si>
    <t>Q4-Y13</t>
  </si>
  <si>
    <t xml:space="preserve">Propongo nueva variable </t>
  </si>
  <si>
    <t>Q3-Y13</t>
  </si>
  <si>
    <t>Q2-Y13</t>
  </si>
  <si>
    <t>Q1-Y13</t>
  </si>
  <si>
    <t>Q4-Y12</t>
  </si>
  <si>
    <t>[412.02,541.4]</t>
  </si>
  <si>
    <t>Q3-Y12</t>
  </si>
  <si>
    <t>(347.33,412,02)</t>
  </si>
  <si>
    <t>Q2-Y12</t>
  </si>
  <si>
    <t>&lt;=347,33</t>
  </si>
  <si>
    <t>R2 espantoso, no se si sirve</t>
  </si>
  <si>
    <t>Q1-Y12</t>
  </si>
  <si>
    <t>% acumulado</t>
  </si>
  <si>
    <t>aux clase</t>
  </si>
  <si>
    <t>Q4-Y11</t>
  </si>
  <si>
    <t>#Intervalos</t>
  </si>
  <si>
    <t>R^2</t>
  </si>
  <si>
    <t>Q3-Y11</t>
  </si>
  <si>
    <t>Consumo --&gt; Variable continua</t>
  </si>
  <si>
    <t>B</t>
  </si>
  <si>
    <t>Q2-Y11</t>
  </si>
  <si>
    <t>A</t>
  </si>
  <si>
    <t>Q1-Y11</t>
  </si>
  <si>
    <t>minimos cuadrados</t>
  </si>
  <si>
    <t>error porcentual</t>
  </si>
  <si>
    <t>error</t>
  </si>
  <si>
    <t>calculado</t>
  </si>
  <si>
    <t>consumo</t>
  </si>
  <si>
    <t>id</t>
  </si>
  <si>
    <t>periodo</t>
  </si>
  <si>
    <t>Consumo</t>
  </si>
  <si>
    <t>distintos quarters en distintos anos</t>
  </si>
  <si>
    <t xml:space="preserve">estacionalidad ya que hay picos y valles en </t>
  </si>
  <si>
    <t xml:space="preserve">de que #racks crezca </t>
  </si>
  <si>
    <t xml:space="preserve">Se ve como dice el enunciado que no hay </t>
  </si>
  <si>
    <t>R</t>
  </si>
  <si>
    <t>Veo que se mantiene entre 350 y 500 kWh el consumo a pesar</t>
  </si>
  <si>
    <t xml:space="preserve">(enunciado dice que no) </t>
  </si>
  <si>
    <t xml:space="preserve">o esa vez se conecto uno que se comia mucha energia) </t>
  </si>
  <si>
    <t>por el consumo o por cantidad de racks solicitados</t>
  </si>
  <si>
    <t>en que hay cierta estacionalidad</t>
  </si>
  <si>
    <t>(que puede ser porque eran muchos equipos que consumian poco</t>
  </si>
  <si>
    <t>No dice como factura la empresa, si le cobra al cliente</t>
  </si>
  <si>
    <t xml:space="preserve">Por los picos y valles se podria pensar </t>
  </si>
  <si>
    <t>minimos cuadrados(RECTA…)</t>
  </si>
  <si>
    <t>Salvo por el outlayer de 163 racks que es el que mas consumio</t>
  </si>
  <si>
    <t xml:space="preserve">refieren a la demanda de racks nomas </t>
  </si>
  <si>
    <t>mencionada en el enunciado</t>
  </si>
  <si>
    <t>#racks</t>
  </si>
  <si>
    <t xml:space="preserve">No veo relacion directa entre #racks y consumo </t>
  </si>
  <si>
    <t xml:space="preserve">Capaz los datos de tendencia y estacionalidad se </t>
  </si>
  <si>
    <t xml:space="preserve">Se puede notar la tendencia creciente </t>
  </si>
  <si>
    <t>promedio generico Q</t>
  </si>
  <si>
    <t xml:space="preserve">(como dice enunciado) </t>
  </si>
  <si>
    <t>por la falta de datos del ano 3</t>
  </si>
  <si>
    <t>No, es menor al 45% de la demanda de consumo</t>
  </si>
  <si>
    <t xml:space="preserve">No tiene mucho sentido el promedio anual </t>
  </si>
  <si>
    <t>Promedio Y</t>
  </si>
  <si>
    <t>Hay estacionalidad en Q?</t>
  </si>
  <si>
    <t>Demanda anual</t>
  </si>
  <si>
    <t>Q4</t>
  </si>
  <si>
    <t>Q3</t>
  </si>
  <si>
    <t>Q2</t>
  </si>
  <si>
    <t>Q1</t>
  </si>
  <si>
    <t>factor est</t>
  </si>
  <si>
    <t>promedio Qi</t>
  </si>
  <si>
    <t>Y</t>
  </si>
  <si>
    <t>Grafico de dispersion</t>
  </si>
  <si>
    <t>Quiero ver la relacion entre las dos variables:</t>
  </si>
  <si>
    <t>VARIABLE CONTINUA</t>
  </si>
  <si>
    <t>VARIABLE DISCRETA</t>
  </si>
  <si>
    <t>#Racks</t>
  </si>
  <si>
    <t xml:space="preserve">cada periodo y no de la cantidad de racks que se utilicen </t>
  </si>
  <si>
    <t>que luego se
incorporarán al simulador.</t>
  </si>
  <si>
    <t xml:space="preserve">Por lo tanto dependera de los equipos que se conecten a los racks el consumo de </t>
  </si>
  <si>
    <t xml:space="preserve"> Encontrar la distribución/expresión matemática que mejor
represente el comportamiento de cada variable, </t>
  </si>
  <si>
    <t>electrico por rack</t>
  </si>
  <si>
    <t>a mas racks mayor consumo NO se da</t>
  </si>
  <si>
    <t>Definir las unidades de cada una de las variables</t>
  </si>
  <si>
    <t>tratando de equilibrar consumo</t>
  </si>
  <si>
    <t>En el dato del periodo Q3-Y11 y Q2-Y11 ya se puede ver que la relacion directa</t>
  </si>
  <si>
    <t>Evaluar si son variables acotadas</t>
  </si>
  <si>
    <t>#racks instalados de acuerdo a demanda</t>
  </si>
  <si>
    <t>Identificar si se trata de variables discretas, continuas o dicotomas</t>
  </si>
  <si>
    <t xml:space="preserve">*Area de ingenieria elige  </t>
  </si>
  <si>
    <t>b) Determinar los valores de #racks y Consumo que resultan para Q3-Y13 y Q4-Y13</t>
  </si>
  <si>
    <t>Identificar relaciones /dependencia entre variables</t>
  </si>
  <si>
    <t xml:space="preserve">*Hay tendencia creciente </t>
  </si>
  <si>
    <t>en funcion del tiempo (por trimestre) para programar el simulador a partir de Q3-Y13</t>
  </si>
  <si>
    <t xml:space="preserve">Identificar si se trata e una serie de tiempo </t>
  </si>
  <si>
    <t>*No hay estacionalidad</t>
  </si>
  <si>
    <t xml:space="preserve">a) La expresion de la ecuacion generadora de las variables #racks y consumo </t>
  </si>
  <si>
    <t>Tips</t>
  </si>
  <si>
    <t xml:space="preserve">Datos: </t>
  </si>
  <si>
    <t xml:space="preserve">Se  pide: </t>
  </si>
  <si>
    <t>consumo/rack</t>
  </si>
  <si>
    <t>Período</t>
  </si>
  <si>
    <t xml:space="preserve">periodo </t>
  </si>
  <si>
    <t xml:space="preserve">refrigerante </t>
  </si>
  <si>
    <t>ductos</t>
  </si>
  <si>
    <t>tipo producto</t>
  </si>
  <si>
    <t>proyecto</t>
  </si>
  <si>
    <t>tipo de proyecto 3</t>
  </si>
  <si>
    <t>refrigerante</t>
  </si>
  <si>
    <t xml:space="preserve">ductos </t>
  </si>
  <si>
    <t xml:space="preserve">tipo producto </t>
  </si>
  <si>
    <t xml:space="preserve">proyecto </t>
  </si>
  <si>
    <t>desvio ductos</t>
  </si>
  <si>
    <t xml:space="preserve">tipo de proyecto 2 </t>
  </si>
  <si>
    <t>cantidad de proyectos(%)</t>
  </si>
  <si>
    <t>cantidad de proyectos</t>
  </si>
  <si>
    <t>suma refrigerante</t>
  </si>
  <si>
    <t>suma ductos</t>
  </si>
  <si>
    <t>promedio refrigerante</t>
  </si>
  <si>
    <t>promedio ductos</t>
  </si>
  <si>
    <t xml:space="preserve">tipo 3 </t>
  </si>
  <si>
    <t xml:space="preserve">tipo 2 </t>
  </si>
  <si>
    <t xml:space="preserve">tipo 1 </t>
  </si>
  <si>
    <t xml:space="preserve">tipo de proyecto 1 </t>
  </si>
  <si>
    <t>Frecuencia relativa</t>
  </si>
  <si>
    <t>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</si>
  <si>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</si>
  <si>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</si>
  <si>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</si>
  <si>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</si>
  <si>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</si>
  <si>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</si>
  <si>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</si>
  <si>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</si>
  <si>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</si>
  <si>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</si>
  <si>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</si>
  <si>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</si>
  <si>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a) Elaborar la expresion generadora de la muestra artificial de la </t>
  </si>
  <si>
    <t>demanda de la linea, input del modelo de simulacion</t>
  </si>
  <si>
    <t>b) Es necesario elaborar una muestra artificial para cada uno de las</t>
  </si>
  <si>
    <t>otras dos lineas de producto? Siempre? En que casos? Justifique</t>
  </si>
  <si>
    <t>Explicar analisis si se tuviera la serie de los otros dos productos</t>
  </si>
  <si>
    <t>promedio mensual</t>
  </si>
  <si>
    <t>promedio anual</t>
  </si>
  <si>
    <t>Puedo ver que hay estacionalidad: Meses de calor empieza a repuntar la</t>
  </si>
  <si>
    <t xml:space="preserve">demanda, meses de frio cae la demanda (helado, mayas, etc) </t>
  </si>
  <si>
    <t>Puedo ver tendencia: De 2014 a 2016 se ve una clara suba en la demanda</t>
  </si>
  <si>
    <t>Como veo estacionalidad y tendencia, propongo la siguiente</t>
  </si>
  <si>
    <t xml:space="preserve">serie de tiempo: </t>
  </si>
  <si>
    <t>Demanda = (A + B*t)*[1+Est(Mes)] + E</t>
  </si>
  <si>
    <t>Calculo de coeficientes de tendencia (lo hago como si lo estuviera</t>
  </si>
  <si>
    <t>haciendo a mano):</t>
  </si>
  <si>
    <t>la ordenada al origen sera de donde parte la demanda, osea</t>
  </si>
  <si>
    <t>cuando t=0 --&gt; D = 16503</t>
  </si>
  <si>
    <t>el t = 0 que seria enero 2014</t>
  </si>
  <si>
    <r>
      <t>arbritariamente tomo otro punto que considero que mejor va a tomar mis datos (</t>
    </r>
    <r>
      <rPr>
        <b/>
        <i/>
        <u/>
        <sz val="12"/>
        <color rgb="FFFF0000"/>
        <rFont val="Calibri"/>
        <family val="2"/>
        <scheme val="minor"/>
      </rPr>
      <t>cuando es eso???</t>
    </r>
    <r>
      <rPr>
        <sz val="11"/>
        <color theme="1"/>
        <rFont val="Calibri"/>
        <family val="2"/>
        <scheme val="minor"/>
      </rPr>
      <t>)</t>
    </r>
  </si>
  <si>
    <t>final de mi recta, t =35</t>
  </si>
  <si>
    <t>cuando t=35--&gt; D = 32992 = 16503 + B * 35</t>
  </si>
  <si>
    <t xml:space="preserve">B = </t>
  </si>
  <si>
    <t>Ahora hay que calcular estacionalidad</t>
  </si>
  <si>
    <t>Demanda</t>
  </si>
  <si>
    <t>total</t>
  </si>
  <si>
    <t>Estacionalidad</t>
  </si>
  <si>
    <t>Agrupo por temporada</t>
  </si>
  <si>
    <t>Calor</t>
  </si>
  <si>
    <t>Frio</t>
  </si>
  <si>
    <t>VER SI TIENE SENTIDO LO QUE HICE ACA</t>
  </si>
  <si>
    <t>2014 real</t>
  </si>
  <si>
    <t>2014 estimado</t>
  </si>
  <si>
    <t xml:space="preserve">2015 real </t>
  </si>
  <si>
    <t>2015 estimado</t>
  </si>
  <si>
    <t>2015 error</t>
  </si>
  <si>
    <t>2016 real</t>
  </si>
  <si>
    <t>2016 estimado</t>
  </si>
  <si>
    <t>2016 error</t>
  </si>
  <si>
    <t>Despues calculo promedio errores, el cual me deberia dar 0</t>
  </si>
  <si>
    <t>y calculo el desvio de los errores</t>
  </si>
  <si>
    <t>Con todos los errores hago un histograma</t>
  </si>
  <si>
    <t>con el cual deberia chequear que sea una normal</t>
  </si>
  <si>
    <t xml:space="preserve">que probablemente no me de centrada en cero, por lo tanto </t>
  </si>
  <si>
    <t xml:space="preserve">tengo que modificar la serie como para centrar el error en cero </t>
  </si>
  <si>
    <t xml:space="preserve">2014 error(estimado - real) </t>
  </si>
  <si>
    <t>Si por ejemplo, me da que la media es positiva y yo mi error lo calculo como estimado menos real</t>
  </si>
  <si>
    <t>quiere decir que estoy estimando por arriba</t>
  </si>
  <si>
    <t>por lo tanto para hacer que mi normal de error quede con media cero tengo que restarle la media a la serie de tiempo</t>
  </si>
  <si>
    <t>como para que quede con media en cero mi normal de error</t>
  </si>
  <si>
    <t>y con eso ya deberia tener completa mi serie de tiempo de la demanda</t>
  </si>
  <si>
    <t>D =( 16503 + 471,114286 *t) * [1 + Est (mes)] + E</t>
  </si>
  <si>
    <t xml:space="preserve">osea A = </t>
  </si>
  <si>
    <t>PASOS</t>
  </si>
  <si>
    <t>ID</t>
  </si>
  <si>
    <t>promedio</t>
  </si>
  <si>
    <t>NO DA CERO</t>
  </si>
  <si>
    <t>promedio mensual generico</t>
  </si>
  <si>
    <t>estacionalidad</t>
  </si>
  <si>
    <t xml:space="preserve">asi va cuando se plantea D = Ftend*Fest </t>
  </si>
  <si>
    <t>Ftend = promedio anual por ejemplo</t>
  </si>
  <si>
    <t>Entonces le tengo que restar a mi serie el error ese de 5204,1959 que es por lo que me pase</t>
  </si>
  <si>
    <t>ERROR</t>
  </si>
  <si>
    <t>desvio</t>
  </si>
  <si>
    <t>tE1(min)</t>
  </si>
  <si>
    <t>tE2(min)</t>
  </si>
  <si>
    <t>tE3(min)</t>
  </si>
  <si>
    <t>Temp.E2 (°C)</t>
  </si>
  <si>
    <t>Se pide determinar las muestras artificiales de las siguientes cuatro variables:</t>
  </si>
  <si>
    <t>a)tE1 (min)</t>
  </si>
  <si>
    <t>b)tE2(min)</t>
  </si>
  <si>
    <t>c)tE3 (min)</t>
  </si>
  <si>
    <t>d)Temp.E2 (*C)</t>
  </si>
  <si>
    <t>a) La variable oscila entre los 20 C y los 22 . Grafico la variable aunque ya se que es una uniforme</t>
  </si>
  <si>
    <t>Uniforme (20,22)</t>
  </si>
  <si>
    <t xml:space="preserve">b) La variable tE2, esta fuertemente relacionada con la temperatura, pero ademas esta acotada la funcion. </t>
  </si>
  <si>
    <t xml:space="preserve">Si me mantengo en 25 C entonces el tiempo de la reaccion tenderia a infinito pero si aumento la temperatura infinitamente </t>
  </si>
  <si>
    <t>el tiempo de la reaccion se estanca en 90 minutos</t>
  </si>
  <si>
    <t>paso</t>
  </si>
  <si>
    <t xml:space="preserve"> Datos</t>
  </si>
  <si>
    <t>Especificacion del reactor indica que a temp promedio de 40 C, la reaccion dura 240 min</t>
  </si>
  <si>
    <t>y a una temp promedio de 50 dura 180 min</t>
  </si>
  <si>
    <t>todas serian variables continuas</t>
  </si>
  <si>
    <t xml:space="preserve">variable independiente ya que tiene un comportamiento </t>
  </si>
  <si>
    <t>constante sin importar las otras 3 variables</t>
  </si>
  <si>
    <t>Grafico tE2 en un histograma de frecuencias pero lo que realmente me interesa es la relacion entre tE2 y la temperatura</t>
  </si>
  <si>
    <t xml:space="preserve"># intervalos </t>
  </si>
  <si>
    <t xml:space="preserve">eligo 3 </t>
  </si>
  <si>
    <t>se puede ver que sigue una exponencial pero primero hay que definir quien es la variable</t>
  </si>
  <si>
    <t xml:space="preserve">dependiente y quien la independiente (en relacion con la temperatura) </t>
  </si>
  <si>
    <t xml:space="preserve">Por enunciado se puede ver que la temperatura elegida de reaccion, pareciera ser que </t>
  </si>
  <si>
    <t xml:space="preserve">es una variable indpendiente ya que los valores elegidos son en funcion de la eleccion </t>
  </si>
  <si>
    <t xml:space="preserve">del operario que controla el reactor </t>
  </si>
  <si>
    <t>Por lo tanto diria que tE2 depende de TempE2</t>
  </si>
  <si>
    <t xml:space="preserve">c) </t>
  </si>
  <si>
    <t xml:space="preserve">Aunque el histograma pareciera que es una exponencial (generalmente se usan para tasa de llegadas o cosas  asi asi que aca </t>
  </si>
  <si>
    <t xml:space="preserve">no tendria sentido usarla) , digo que es una triangular </t>
  </si>
  <si>
    <t>expresion generadora</t>
  </si>
  <si>
    <t>triangular(75.9,82.69,114.2)</t>
  </si>
  <si>
    <t>se toma el promedio del intervalo mas alto o de todo?</t>
  </si>
  <si>
    <t>creo que de todo porque la moda me dio mas chico que el min</t>
  </si>
  <si>
    <t>d)</t>
  </si>
  <si>
    <t xml:space="preserve">la temperatura por si sola no creo que vaya a arrojar nada, salvo las elecciones (arbritarias o no) del operario </t>
  </si>
  <si>
    <t>en cuanto a la temperatura de trabajo a elegir</t>
  </si>
  <si>
    <t xml:space="preserve">es una variable independiente y no se que expresion ponerle ya que </t>
  </si>
  <si>
    <t>es a partir de las elecciones del operario</t>
  </si>
  <si>
    <t>me la juego por una triangular</t>
  </si>
  <si>
    <t>triangular(34.3,43.2,57.5)</t>
  </si>
  <si>
    <t>yo diria que tE2 sigue una exponencial negativa</t>
  </si>
  <si>
    <t xml:space="preserve">Despues de ver el mail del ayudante </t>
  </si>
  <si>
    <t xml:space="preserve">tiene sentido que sea una hiperbolica por las </t>
  </si>
  <si>
    <t xml:space="preserve">asintotas de temp y tiempo </t>
  </si>
  <si>
    <t xml:space="preserve">quedaria entonces: </t>
  </si>
  <si>
    <t>tE2 = 90 + 1/(T-25) + Error</t>
  </si>
  <si>
    <t>PC</t>
  </si>
  <si>
    <t>PU</t>
  </si>
  <si>
    <t>Total</t>
  </si>
  <si>
    <t xml:space="preserve">Se ve claramente que se va a tratar de una serie de tiempo </t>
  </si>
  <si>
    <t>Grafico los puntos que me dieron de la muestra artificial (separo por variable)</t>
  </si>
  <si>
    <t xml:space="preserve">Ambas variables son discretas(podria permitir un estudio como continua) </t>
  </si>
  <si>
    <t>Pareciera tener una tendencia creciente</t>
  </si>
  <si>
    <t xml:space="preserve">Pareciera tener estacionalidad, picos y valles en momentos que se repiten del ano </t>
  </si>
  <si>
    <t>Las estudio por separado, ya que no veo que tengan una relacion entre ellas (HHHH)</t>
  </si>
  <si>
    <t>Modelo Serie de tiempo</t>
  </si>
  <si>
    <t>St = Fest (mes) * Ftend(mes) * Promedio + Error</t>
  </si>
  <si>
    <t>St = (a+b*t) * (1+ Est(mes)) + Error</t>
  </si>
  <si>
    <t>t = 9 (oct 2016)</t>
  </si>
  <si>
    <t>t = 0 (ene 2016)</t>
  </si>
  <si>
    <t>NOTA: Dada la poca cantidad de datos disponibles, y según el consejo de la Dirección de elCORREO, el ajuste de la demanda puede considerase linealmente creciente, sin evidenciar ningún tipo de comportamiento estacional.</t>
  </si>
  <si>
    <t xml:space="preserve">Debo estudiar si hay estacionalidad y si hay tendencia pero por enunciado, solo estudio tendencia </t>
  </si>
  <si>
    <t>NO VA, ESTA MAL, PORQUE NO ESTUDIE LA RELACION QUE TENIA CON EL #RACKS, conceptualmente mal</t>
  </si>
  <si>
    <t>Si solo estudio estacionalidad propongo D = a + b*t + E</t>
  </si>
  <si>
    <t>DC = a + b*t + E , o tambien  DC = Ftend(mes) * Promedio</t>
  </si>
  <si>
    <t>Por regresion lineal</t>
  </si>
  <si>
    <t xml:space="preserve">a = </t>
  </si>
  <si>
    <t xml:space="preserve">b = </t>
  </si>
  <si>
    <t>r^2 =</t>
  </si>
  <si>
    <t>a =</t>
  </si>
  <si>
    <t xml:space="preserve">r^2 = </t>
  </si>
  <si>
    <t>Demanda total</t>
  </si>
  <si>
    <t xml:space="preserve">Dtot = 101,46 +4,86 * t +E </t>
  </si>
  <si>
    <t>Estimado Dtot</t>
  </si>
  <si>
    <t xml:space="preserve">Error </t>
  </si>
  <si>
    <t>(aprox cero)</t>
  </si>
  <si>
    <t>Desvio</t>
  </si>
  <si>
    <t>E = N(0.03 , 5.33)</t>
  </si>
  <si>
    <t>Expresion generadora (Dtot)</t>
  </si>
  <si>
    <t>Peter ademas grafica los factores de (estacionalidad o tendencia, todavia no se que son),</t>
  </si>
  <si>
    <t xml:space="preserve"> para que me sirven?</t>
  </si>
  <si>
    <t>proporcion PC</t>
  </si>
  <si>
    <t>proporcion PU</t>
  </si>
  <si>
    <t xml:space="preserve">Por alguna razon nico dice esto: </t>
  </si>
  <si>
    <t>Prop media PC</t>
  </si>
  <si>
    <t>Prop media Pu</t>
  </si>
  <si>
    <t xml:space="preserve">Dtot = [ (101,46 - 0,03)  + 4,86 * t + N(0,5.33) ] </t>
  </si>
  <si>
    <t>Ampliación</t>
  </si>
  <si>
    <t>Reemplazo</t>
  </si>
  <si>
    <t>Obra Nueva</t>
  </si>
  <si>
    <t>Tipo de obra</t>
  </si>
  <si>
    <t>Bancos existentes en sitio</t>
  </si>
  <si>
    <t>Bancos  instalar</t>
  </si>
  <si>
    <t>Distancia a rectificadores (metros)</t>
  </si>
  <si>
    <t>Cables (metros)</t>
  </si>
  <si>
    <t>a)Tipo de obra - Variable discreta</t>
  </si>
  <si>
    <t>b) Tengo que analizar si la variable bancos a instalar depende</t>
  </si>
  <si>
    <t>de la cantidad de bancos que tengo en sitio y claramente depende del tipo de obra</t>
  </si>
  <si>
    <t xml:space="preserve">Las 3 variables estan entrelazadas (bancos a instalar, bancos en sitio y tipo de obra) </t>
  </si>
  <si>
    <t>Tengo que ver que variable es dependiente y que variable es independiente</t>
  </si>
  <si>
    <t xml:space="preserve">Veo por tipo de obra: Si es remplazo, se instalan los mismos que en sitio </t>
  </si>
  <si>
    <t xml:space="preserve">Si es ampliacion, generalmente tienen uno en sitio e instalan uno mas </t>
  </si>
  <si>
    <t>Si es obra nueva (en sitio = 0 e instalan 1)</t>
  </si>
  <si>
    <t xml:space="preserve">En conclusion </t>
  </si>
  <si>
    <t>Bancos a instalar</t>
  </si>
  <si>
    <t>Bancos en sitio</t>
  </si>
  <si>
    <t>Remplazo</t>
  </si>
  <si>
    <t>Ampliacion</t>
  </si>
  <si>
    <t>Obra nueva</t>
  </si>
  <si>
    <t>X</t>
  </si>
  <si>
    <t>Uniforme(1,3)</t>
  </si>
  <si>
    <t xml:space="preserve">Bancos en sitio </t>
  </si>
  <si>
    <t>A instalar</t>
  </si>
  <si>
    <t>La variable independiente aca va a ser la distancia a los bancos</t>
  </si>
  <si>
    <t>que es una variable continua (tiene pinta de triangular o uniforme)</t>
  </si>
  <si>
    <t>Efecitvamente se solapan, analizo todo los datos en conjunto!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</si>
</sst>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00"/>
    <numFmt numFmtId="166" formatCode="0.0000000"/>
    <numFmt numFmtId="167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5">
    <xf numFmtId="0" fontId="0" fillId="0" borderId="0" xfId="0"/>
    <xf numFmtId="15" fontId="0" fillId="0" borderId="0" xfId="0" applyNumberFormat="1"/>
    <xf numFmtId="0" fontId="0" fillId="2" borderId="1" xfId="0" applyFill="1" applyBorder="1"/>
    <xf numFmtId="164" fontId="0" fillId="0" borderId="0" xfId="1" applyNumberFormat="1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3" borderId="0" xfId="0" applyFont="1" applyFill="1"/>
    <xf numFmtId="0" fontId="0" fillId="2" borderId="5" xfId="0" applyFill="1" applyBorder="1"/>
    <xf numFmtId="0" fontId="0" fillId="0" borderId="7" xfId="0" applyBorder="1"/>
    <xf numFmtId="9" fontId="0" fillId="0" borderId="0" xfId="1" applyFont="1"/>
    <xf numFmtId="165" fontId="0" fillId="0" borderId="0" xfId="0" applyNumberFormat="1"/>
    <xf numFmtId="0" fontId="0" fillId="0" borderId="2" xfId="0" applyBorder="1"/>
    <xf numFmtId="0" fontId="4" fillId="0" borderId="4" xfId="0" applyFont="1" applyBorder="1" applyAlignment="1">
      <alignment horizontal="center"/>
    </xf>
    <xf numFmtId="2" fontId="0" fillId="0" borderId="0" xfId="0" applyNumberFormat="1"/>
    <xf numFmtId="0" fontId="6" fillId="0" borderId="0" xfId="0" applyFont="1"/>
    <xf numFmtId="0" fontId="6" fillId="0" borderId="0" xfId="0" applyFont="1" applyAlignment="1">
      <alignment horizontal="right"/>
    </xf>
    <xf numFmtId="10" fontId="0" fillId="0" borderId="2" xfId="0" applyNumberFormat="1" applyBorder="1"/>
    <xf numFmtId="10" fontId="0" fillId="0" borderId="0" xfId="0" applyNumberFormat="1"/>
    <xf numFmtId="0" fontId="4" fillId="2" borderId="4" xfId="0" applyFont="1" applyFill="1" applyBorder="1" applyAlignment="1">
      <alignment horizontal="center"/>
    </xf>
    <xf numFmtId="166" fontId="0" fillId="0" borderId="0" xfId="0" applyNumberFormat="1"/>
    <xf numFmtId="0" fontId="0" fillId="0" borderId="1" xfId="0" applyBorder="1"/>
    <xf numFmtId="0" fontId="6" fillId="0" borderId="7" xfId="0" applyFont="1" applyBorder="1"/>
    <xf numFmtId="165" fontId="0" fillId="0" borderId="1" xfId="0" applyNumberFormat="1" applyBorder="1"/>
    <xf numFmtId="0" fontId="0" fillId="0" borderId="0" xfId="0" applyAlignment="1">
      <alignment wrapText="1"/>
    </xf>
    <xf numFmtId="0" fontId="0" fillId="4" borderId="7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0" borderId="0" xfId="0" applyFill="1" applyBorder="1"/>
    <xf numFmtId="0" fontId="5" fillId="2" borderId="0" xfId="0" applyFont="1" applyFill="1" applyBorder="1"/>
    <xf numFmtId="0" fontId="5" fillId="0" borderId="0" xfId="0" applyFont="1"/>
    <xf numFmtId="9" fontId="5" fillId="0" borderId="0" xfId="1" applyFont="1"/>
    <xf numFmtId="167" fontId="0" fillId="0" borderId="9" xfId="0" applyNumberFormat="1" applyFill="1" applyBorder="1"/>
    <xf numFmtId="0" fontId="0" fillId="6" borderId="1" xfId="0" applyFill="1" applyBorder="1"/>
    <xf numFmtId="164" fontId="0" fillId="6" borderId="1" xfId="1" applyNumberFormat="1" applyFont="1" applyFill="1" applyBorder="1"/>
    <xf numFmtId="10" fontId="0" fillId="0" borderId="1" xfId="1" applyNumberFormat="1" applyFont="1" applyBorder="1"/>
    <xf numFmtId="167" fontId="0" fillId="0" borderId="1" xfId="0" applyNumberFormat="1" applyBorder="1"/>
    <xf numFmtId="43" fontId="0" fillId="0" borderId="0" xfId="2" applyFont="1"/>
    <xf numFmtId="0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17" fontId="0" fillId="0" borderId="0" xfId="0" applyNumberFormat="1"/>
    <xf numFmtId="0" fontId="5" fillId="2" borderId="0" xfId="0" applyFont="1" applyFill="1"/>
    <xf numFmtId="0" fontId="0" fillId="0" borderId="0" xfId="0" applyNumberFormat="1" applyAlignment="1"/>
    <xf numFmtId="0" fontId="0" fillId="2" borderId="0" xfId="0" applyFill="1"/>
    <xf numFmtId="0" fontId="5" fillId="7" borderId="0" xfId="0" applyFont="1" applyFill="1"/>
    <xf numFmtId="9" fontId="5" fillId="7" borderId="0" xfId="1" applyFont="1" applyFill="1"/>
    <xf numFmtId="0" fontId="0" fillId="0" borderId="0" xfId="1" applyNumberFormat="1" applyFont="1"/>
    <xf numFmtId="0" fontId="0" fillId="0" borderId="0" xfId="0" pivotButton="1"/>
    <xf numFmtId="0" fontId="8" fillId="8" borderId="10" xfId="0" applyFont="1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/>
    </xf>
    <xf numFmtId="10" fontId="0" fillId="0" borderId="9" xfId="2" applyNumberFormat="1" applyFont="1" applyFill="1" applyBorder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Subcontratistas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'1.1. GREATSTARS'!$A$45:$A$47</c:f>
              <c:strCache>
                <c:ptCount val="3"/>
                <c:pt idx="0">
                  <c:v>CompuServices</c:v>
                </c:pt>
                <c:pt idx="1">
                  <c:v>S&amp;S</c:v>
                </c:pt>
                <c:pt idx="2">
                  <c:v>NetSystems</c:v>
                </c:pt>
              </c:strCache>
            </c:strRef>
          </c:cat>
          <c:val>
            <c:numRef>
              <c:f>'1.1. GREATSTARS'!$B$45:$B$47</c:f>
              <c:numCache>
                <c:formatCode>General</c:formatCode>
                <c:ptCount val="3"/>
                <c:pt idx="0">
                  <c:v>12</c:v>
                </c:pt>
                <c:pt idx="1">
                  <c:v>24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9-4713-A72C-7D8C9ADEE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60866384"/>
        <c:axId val="659623104"/>
      </c:barChart>
      <c:catAx>
        <c:axId val="66086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9623104"/>
        <c:crosses val="autoZero"/>
        <c:auto val="1"/>
        <c:lblAlgn val="ctr"/>
        <c:lblOffset val="100"/>
        <c:noMultiLvlLbl val="0"/>
      </c:catAx>
      <c:valAx>
        <c:axId val="6596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086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Horas de Ajuste de S&amp;S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numRef>
              <c:f>'1.1. GREATSTARS'!$N$47:$N$49</c:f>
              <c:numCache>
                <c:formatCode>General</c:formatCode>
                <c:ptCount val="3"/>
                <c:pt idx="0">
                  <c:v>47.666666666666664</c:v>
                </c:pt>
                <c:pt idx="1">
                  <c:v>52.333333333333329</c:v>
                </c:pt>
                <c:pt idx="2">
                  <c:v>57</c:v>
                </c:pt>
              </c:numCache>
            </c:numRef>
          </c:cat>
          <c:val>
            <c:numRef>
              <c:f>'1.1. GREATSTARS'!$O$47:$O$49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D99-986C-150C012FD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84291968"/>
        <c:axId val="487438800"/>
      </c:barChart>
      <c:catAx>
        <c:axId val="38429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7438800"/>
        <c:crosses val="autoZero"/>
        <c:auto val="1"/>
        <c:lblAlgn val="ctr"/>
        <c:lblOffset val="100"/>
        <c:noMultiLvlLbl val="0"/>
      </c:catAx>
      <c:valAx>
        <c:axId val="48743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429196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Arribos(sol)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accent1"/>
              </a:solidFill>
            </a:ln>
          </c:spPr>
          <c:invertIfNegative val="0"/>
          <c:cat>
            <c:numRef>
              <c:f>'1.2. AEROVIP'!$H$28:$H$32</c:f>
              <c:numCache>
                <c:formatCode>General</c:formatCode>
                <c:ptCount val="5"/>
                <c:pt idx="0">
                  <c:v>8.6999999999999993</c:v>
                </c:pt>
                <c:pt idx="1">
                  <c:v>10.199999999999999</c:v>
                </c:pt>
                <c:pt idx="2">
                  <c:v>11.7</c:v>
                </c:pt>
                <c:pt idx="3">
                  <c:v>13.2</c:v>
                </c:pt>
                <c:pt idx="4">
                  <c:v>14.7</c:v>
                </c:pt>
              </c:numCache>
            </c:numRef>
          </c:cat>
          <c:val>
            <c:numRef>
              <c:f>'1.2. AEROVIP'!$I$28:$I$32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14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5-4346-9626-1EBC2118F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86556976"/>
        <c:axId val="487415920"/>
      </c:barChart>
      <c:catAx>
        <c:axId val="38655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7415920"/>
        <c:crosses val="autoZero"/>
        <c:auto val="1"/>
        <c:lblAlgn val="ctr"/>
        <c:lblOffset val="100"/>
        <c:noMultiLvlLbl val="0"/>
      </c:catAx>
      <c:valAx>
        <c:axId val="487415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655697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Arribos</a:t>
            </a:r>
            <a:r>
              <a:rPr lang="es-ES" baseline="0"/>
              <a:t> (lluvia)</a:t>
            </a:r>
            <a:endParaRPr lang="es-E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'1.2. AEROVIP'!$N$28:$N$32</c:f>
              <c:numCache>
                <c:formatCode>General</c:formatCode>
                <c:ptCount val="5"/>
                <c:pt idx="0">
                  <c:v>9.120000000000001</c:v>
                </c:pt>
                <c:pt idx="1">
                  <c:v>11.240000000000002</c:v>
                </c:pt>
                <c:pt idx="2">
                  <c:v>13.360000000000003</c:v>
                </c:pt>
                <c:pt idx="3">
                  <c:v>15.480000000000004</c:v>
                </c:pt>
                <c:pt idx="4">
                  <c:v>17.600000000000005</c:v>
                </c:pt>
              </c:numCache>
            </c:numRef>
          </c:cat>
          <c:val>
            <c:numRef>
              <c:f>'1.2. AEROVIP'!$O$28:$O$32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4-49D8-B695-C1AA003A5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506336"/>
        <c:axId val="659644320"/>
      </c:barChart>
      <c:catAx>
        <c:axId val="31250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9644320"/>
        <c:crosses val="autoZero"/>
        <c:auto val="1"/>
        <c:lblAlgn val="ctr"/>
        <c:lblOffset val="100"/>
        <c:noMultiLvlLbl val="0"/>
      </c:catAx>
      <c:valAx>
        <c:axId val="659644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5063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Op (sol)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'1.2. AEROVIP'!$H$47:$H$51</c:f>
              <c:numCache>
                <c:formatCode>General</c:formatCode>
                <c:ptCount val="5"/>
                <c:pt idx="0">
                  <c:v>2.3200000000000003</c:v>
                </c:pt>
                <c:pt idx="1">
                  <c:v>2.8400000000000003</c:v>
                </c:pt>
                <c:pt idx="2">
                  <c:v>3.3600000000000003</c:v>
                </c:pt>
                <c:pt idx="3">
                  <c:v>3.8800000000000003</c:v>
                </c:pt>
                <c:pt idx="4">
                  <c:v>4.4000000000000004</c:v>
                </c:pt>
              </c:numCache>
            </c:numRef>
          </c:cat>
          <c:val>
            <c:numRef>
              <c:f>'1.2. AEROVIP'!$I$47:$I$51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9-40F8-AA55-E30E8E34F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554576"/>
        <c:axId val="487441712"/>
      </c:barChart>
      <c:catAx>
        <c:axId val="38655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7441712"/>
        <c:crosses val="autoZero"/>
        <c:auto val="1"/>
        <c:lblAlgn val="ctr"/>
        <c:lblOffset val="100"/>
        <c:noMultiLvlLbl val="0"/>
      </c:catAx>
      <c:valAx>
        <c:axId val="487441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655457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Op (lluvia)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'1.2. AEROVIP'!$N$47:$N$51</c:f>
              <c:numCache>
                <c:formatCode>General</c:formatCode>
                <c:ptCount val="5"/>
                <c:pt idx="0">
                  <c:v>3.16</c:v>
                </c:pt>
                <c:pt idx="1">
                  <c:v>3.8200000000000003</c:v>
                </c:pt>
                <c:pt idx="2">
                  <c:v>4.4800000000000004</c:v>
                </c:pt>
                <c:pt idx="3">
                  <c:v>5.1400000000000006</c:v>
                </c:pt>
                <c:pt idx="4">
                  <c:v>5.8000000000000007</c:v>
                </c:pt>
              </c:numCache>
            </c:numRef>
          </c:cat>
          <c:val>
            <c:numRef>
              <c:f>'1.2. AEROVIP'!$O$47:$O$51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D9-4634-9126-0B97C77AF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548576"/>
        <c:axId val="487425488"/>
      </c:barChart>
      <c:catAx>
        <c:axId val="38654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7425488"/>
        <c:crosses val="autoZero"/>
        <c:auto val="1"/>
        <c:lblAlgn val="ctr"/>
        <c:lblOffset val="100"/>
        <c:noMultiLvlLbl val="0"/>
      </c:catAx>
      <c:valAx>
        <c:axId val="48742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654857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Demanda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'1.3. PLANEAMIENTO FABRIL'!$D$1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'1.3. PLANEAMIENTO FABRIL'!$C$2:$C$13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'1.3. PLANEAMIENTO FABRIL'!$D$2:$D$13</c:f>
              <c:numCache>
                <c:formatCode>General</c:formatCode>
                <c:ptCount val="12"/>
                <c:pt idx="0">
                  <c:v>16503</c:v>
                </c:pt>
                <c:pt idx="1">
                  <c:v>15872</c:v>
                </c:pt>
                <c:pt idx="2">
                  <c:v>14324</c:v>
                </c:pt>
                <c:pt idx="3">
                  <c:v>12594</c:v>
                </c:pt>
                <c:pt idx="4">
                  <c:v>12953</c:v>
                </c:pt>
                <c:pt idx="5">
                  <c:v>12173</c:v>
                </c:pt>
                <c:pt idx="6">
                  <c:v>12115</c:v>
                </c:pt>
                <c:pt idx="7">
                  <c:v>12643</c:v>
                </c:pt>
                <c:pt idx="8">
                  <c:v>14410</c:v>
                </c:pt>
                <c:pt idx="9">
                  <c:v>14558</c:v>
                </c:pt>
                <c:pt idx="10">
                  <c:v>17698</c:v>
                </c:pt>
                <c:pt idx="11">
                  <c:v>20831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B-4F8C-9B85-45E567A3A3DA}"/>
            </c:ext>
          </c:extLst>
        </c:ser>
        <c:ser>
          <c:idx val="1"/>
          <c:order val="1"/>
          <c:tx>
            <c:strRef>
              <c:f>'1.3. PLANEAMIENTO FABRIL'!$E$1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'1.3. PLANEAMIENTO FABRIL'!$E$2:$E$13</c:f>
              <c:numCache>
                <c:formatCode>General</c:formatCode>
                <c:ptCount val="12"/>
                <c:pt idx="0">
                  <c:v>22749</c:v>
                </c:pt>
                <c:pt idx="1">
                  <c:v>21902</c:v>
                </c:pt>
                <c:pt idx="2">
                  <c:v>19423</c:v>
                </c:pt>
                <c:pt idx="3">
                  <c:v>16655</c:v>
                </c:pt>
                <c:pt idx="4">
                  <c:v>17177</c:v>
                </c:pt>
                <c:pt idx="5">
                  <c:v>15960</c:v>
                </c:pt>
                <c:pt idx="6">
                  <c:v>16347</c:v>
                </c:pt>
                <c:pt idx="7">
                  <c:v>16630</c:v>
                </c:pt>
                <c:pt idx="8">
                  <c:v>18667</c:v>
                </c:pt>
                <c:pt idx="9">
                  <c:v>19030</c:v>
                </c:pt>
                <c:pt idx="10">
                  <c:v>23101</c:v>
                </c:pt>
                <c:pt idx="11">
                  <c:v>26991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B-4F8C-9B85-45E567A3A3DA}"/>
            </c:ext>
          </c:extLst>
        </c:ser>
        <c:ser>
          <c:idx val="2"/>
          <c:order val="2"/>
          <c:tx>
            <c:strRef>
              <c:f>'1.3. PLANEAMIENTO FABRIL'!$F$1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'1.3. PLANEAMIENTO FABRIL'!$F$2:$F$13</c:f>
              <c:numCache>
                <c:formatCode>General</c:formatCode>
                <c:ptCount val="12"/>
                <c:pt idx="0">
                  <c:v>29315</c:v>
                </c:pt>
                <c:pt idx="1">
                  <c:v>27949</c:v>
                </c:pt>
                <c:pt idx="2">
                  <c:v>24897</c:v>
                </c:pt>
                <c:pt idx="3">
                  <c:v>21353</c:v>
                </c:pt>
                <c:pt idx="4">
                  <c:v>21871</c:v>
                </c:pt>
                <c:pt idx="5">
                  <c:v>19935</c:v>
                </c:pt>
                <c:pt idx="6">
                  <c:v>20499</c:v>
                </c:pt>
                <c:pt idx="7">
                  <c:v>20505</c:v>
                </c:pt>
                <c:pt idx="8">
                  <c:v>23154</c:v>
                </c:pt>
                <c:pt idx="9">
                  <c:v>23557</c:v>
                </c:pt>
                <c:pt idx="10">
                  <c:v>28359</c:v>
                </c:pt>
                <c:pt idx="11">
                  <c:v>32992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DB-4F8C-9B85-45E567A3A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553376"/>
        <c:axId val="484767952"/>
      </c:lineChart>
      <c:catAx>
        <c:axId val="38655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767952"/>
        <c:crosses val="autoZero"/>
        <c:auto val="1"/>
        <c:lblAlgn val="ctr"/>
        <c:lblOffset val="100"/>
        <c:noMultiLvlLbl val="0"/>
      </c:catAx>
      <c:valAx>
        <c:axId val="4847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655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Promedio Anual (tendencia)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'1.3. PLANEAMIENTO FABRIL'!$D$1:$F$1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'1.3. PLANEAMIENTO FABRIL'!$D$14:$F$14</c:f>
              <c:numCache>
                <c:formatCode>General</c:formatCode>
                <c:ptCount val="3"/>
                <c:pt idx="0">
                  <c:v>14722.833333333334</c:v>
                </c:pt>
                <c:pt idx="1">
                  <c:v>19552.666666666668</c:v>
                </c:pt>
                <c:pt idx="2">
                  <c:v>24532.166666666668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D-431A-953E-37A186B23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8704"/>
        <c:axId val="566337504"/>
      </c:lineChart>
      <c:catAx>
        <c:axId val="14498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337504"/>
        <c:crosses val="autoZero"/>
        <c:auto val="1"/>
        <c:lblAlgn val="ctr"/>
        <c:lblOffset val="100"/>
        <c:noMultiLvlLbl val="0"/>
      </c:catAx>
      <c:valAx>
        <c:axId val="5663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Promedio mensual (estacionalidad)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'1.3. PLANEAMIENTO FABRIL'!$C$2:$C$13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'1.3. PLANEAMIENTO FABRIL'!$G$2:$G$13</c:f>
              <c:numCache>
                <c:formatCode>General</c:formatCode>
                <c:ptCount val="12"/>
                <c:pt idx="0">
                  <c:v>22855.666666666668</c:v>
                </c:pt>
                <c:pt idx="1">
                  <c:v>21907.666666666668</c:v>
                </c:pt>
                <c:pt idx="2">
                  <c:v>19548</c:v>
                </c:pt>
                <c:pt idx="3">
                  <c:v>16867.333333333332</c:v>
                </c:pt>
                <c:pt idx="4">
                  <c:v>17333.666666666668</c:v>
                </c:pt>
                <c:pt idx="5">
                  <c:v>16022.666666666666</c:v>
                </c:pt>
                <c:pt idx="6">
                  <c:v>16320.333333333334</c:v>
                </c:pt>
                <c:pt idx="7">
                  <c:v>16592.666666666668</c:v>
                </c:pt>
                <c:pt idx="8">
                  <c:v>18743.666666666668</c:v>
                </c:pt>
                <c:pt idx="9">
                  <c:v>19048.333333333332</c:v>
                </c:pt>
                <c:pt idx="10">
                  <c:v>23052.666666666668</c:v>
                </c:pt>
                <c:pt idx="11">
                  <c:v>26938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8-4B21-89A8-772219F4D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970032"/>
        <c:axId val="659598560"/>
      </c:lineChart>
      <c:catAx>
        <c:axId val="6579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9598560"/>
        <c:crosses val="autoZero"/>
        <c:auto val="1"/>
        <c:lblAlgn val="ctr"/>
        <c:lblOffset val="100"/>
        <c:noMultiLvlLbl val="0"/>
      </c:catAx>
      <c:valAx>
        <c:axId val="6595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797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'1.3. PLANEAMIENTO FABRIL'!$B$2:$B$37</c:f>
              <c:numCache>
                <c:formatCode>General</c:formatCode>
                <c:ptCount val="36"/>
                <c:pt idx="0">
                  <c:v>16503</c:v>
                </c:pt>
                <c:pt idx="1">
                  <c:v>15872</c:v>
                </c:pt>
                <c:pt idx="2">
                  <c:v>14324</c:v>
                </c:pt>
                <c:pt idx="3">
                  <c:v>12594</c:v>
                </c:pt>
                <c:pt idx="4">
                  <c:v>12953</c:v>
                </c:pt>
                <c:pt idx="5">
                  <c:v>12173</c:v>
                </c:pt>
                <c:pt idx="6">
                  <c:v>12115</c:v>
                </c:pt>
                <c:pt idx="7">
                  <c:v>12643</c:v>
                </c:pt>
                <c:pt idx="8">
                  <c:v>14410</c:v>
                </c:pt>
                <c:pt idx="9">
                  <c:v>14558</c:v>
                </c:pt>
                <c:pt idx="10">
                  <c:v>17698</c:v>
                </c:pt>
                <c:pt idx="11">
                  <c:v>20831</c:v>
                </c:pt>
                <c:pt idx="12">
                  <c:v>22749</c:v>
                </c:pt>
                <c:pt idx="13">
                  <c:v>21902</c:v>
                </c:pt>
                <c:pt idx="14">
                  <c:v>19423</c:v>
                </c:pt>
                <c:pt idx="15">
                  <c:v>16655</c:v>
                </c:pt>
                <c:pt idx="16">
                  <c:v>17177</c:v>
                </c:pt>
                <c:pt idx="17">
                  <c:v>15960</c:v>
                </c:pt>
                <c:pt idx="18">
                  <c:v>16347</c:v>
                </c:pt>
                <c:pt idx="19">
                  <c:v>16630</c:v>
                </c:pt>
                <c:pt idx="20">
                  <c:v>18667</c:v>
                </c:pt>
                <c:pt idx="21">
                  <c:v>19030</c:v>
                </c:pt>
                <c:pt idx="22">
                  <c:v>23101</c:v>
                </c:pt>
                <c:pt idx="23">
                  <c:v>26991</c:v>
                </c:pt>
                <c:pt idx="24">
                  <c:v>29315</c:v>
                </c:pt>
                <c:pt idx="25">
                  <c:v>27949</c:v>
                </c:pt>
                <c:pt idx="26">
                  <c:v>24897</c:v>
                </c:pt>
                <c:pt idx="27">
                  <c:v>21353</c:v>
                </c:pt>
                <c:pt idx="28">
                  <c:v>21871</c:v>
                </c:pt>
                <c:pt idx="29">
                  <c:v>19935</c:v>
                </c:pt>
                <c:pt idx="30">
                  <c:v>20499</c:v>
                </c:pt>
                <c:pt idx="31">
                  <c:v>20505</c:v>
                </c:pt>
                <c:pt idx="32">
                  <c:v>23154</c:v>
                </c:pt>
                <c:pt idx="33">
                  <c:v>23557</c:v>
                </c:pt>
                <c:pt idx="34">
                  <c:v>28359</c:v>
                </c:pt>
                <c:pt idx="35">
                  <c:v>32992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B-4261-9D26-8019A9A69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53088"/>
        <c:axId val="203890304"/>
      </c:scatterChart>
      <c:valAx>
        <c:axId val="48045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890304"/>
        <c:crosses val="autoZero"/>
        <c:crossBetween val="midCat"/>
      </c:valAx>
      <c:valAx>
        <c:axId val="20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045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tE1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'1.6. CUBA''S SUNSCREEN'!$A$15:$A$18</c:f>
              <c:numCache>
                <c:formatCode>General</c:formatCode>
                <c:ptCount val="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</c:numCache>
            </c:numRef>
          </c:cat>
          <c:val>
            <c:numRef>
              <c:f>'1.6. CUBA''S SUNSCREEN'!$B$15:$B$18</c:f>
              <c:numCache>
                <c:formatCode>General</c:formatCode>
                <c:ptCount val="4"/>
                <c:pt idx="0">
                  <c:v>5</c:v>
                </c:pt>
                <c:pt idx="1">
                  <c:v>13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A-42AB-94FE-0728F27FD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70378848"/>
        <c:axId val="804333152"/>
      </c:barChart>
      <c:catAx>
        <c:axId val="57037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4333152"/>
        <c:crosses val="autoZero"/>
        <c:auto val="1"/>
        <c:lblAlgn val="ctr"/>
        <c:lblOffset val="100"/>
        <c:noMultiLvlLbl val="0"/>
      </c:catAx>
      <c:valAx>
        <c:axId val="80433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037884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TempE2</a:t>
            </a:r>
            <a:r>
              <a:rPr lang="es-ES" baseline="0"/>
              <a:t> vs tE2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'1.6. CUBA''S SUNSCREEN'!$B$3:$U$3</c:f>
              <c:numCache>
                <c:formatCode>General</c:formatCode>
                <c:ptCount val="20"/>
                <c:pt idx="0">
                  <c:v>187.6</c:v>
                </c:pt>
                <c:pt idx="1">
                  <c:v>214</c:v>
                </c:pt>
                <c:pt idx="2">
                  <c:v>176.9</c:v>
                </c:pt>
                <c:pt idx="3">
                  <c:v>195.6</c:v>
                </c:pt>
                <c:pt idx="4">
                  <c:v>229.8</c:v>
                </c:pt>
                <c:pt idx="5">
                  <c:v>210.8</c:v>
                </c:pt>
                <c:pt idx="6">
                  <c:v>204.8</c:v>
                </c:pt>
                <c:pt idx="7">
                  <c:v>159.19999999999999</c:v>
                </c:pt>
                <c:pt idx="8">
                  <c:v>201.2</c:v>
                </c:pt>
                <c:pt idx="9">
                  <c:v>181.3</c:v>
                </c:pt>
                <c:pt idx="10">
                  <c:v>237.4</c:v>
                </c:pt>
                <c:pt idx="11">
                  <c:v>223.1</c:v>
                </c:pt>
                <c:pt idx="12">
                  <c:v>216.8</c:v>
                </c:pt>
                <c:pt idx="13">
                  <c:v>287.39999999999998</c:v>
                </c:pt>
                <c:pt idx="14">
                  <c:v>255.4</c:v>
                </c:pt>
                <c:pt idx="15">
                  <c:v>192.3</c:v>
                </c:pt>
                <c:pt idx="16">
                  <c:v>331.9</c:v>
                </c:pt>
                <c:pt idx="17">
                  <c:v>181.3</c:v>
                </c:pt>
                <c:pt idx="18">
                  <c:v>190.3</c:v>
                </c:pt>
                <c:pt idx="19">
                  <c:v>173.9</c:v>
                </c:pt>
              </c:numCache>
            </c:numRef>
          </c:xVal>
          <c:yVal>
            <c:numRef>
              <c:f>'1.6. CUBA''S SUNSCREEN'!$B$5:$U$5</c:f>
              <c:numCache>
                <c:formatCode>General</c:formatCode>
                <c:ptCount val="20"/>
                <c:pt idx="0">
                  <c:v>48.1</c:v>
                </c:pt>
                <c:pt idx="1">
                  <c:v>43.1</c:v>
                </c:pt>
                <c:pt idx="2">
                  <c:v>50.9</c:v>
                </c:pt>
                <c:pt idx="3">
                  <c:v>46.3</c:v>
                </c:pt>
                <c:pt idx="4">
                  <c:v>41.1</c:v>
                </c:pt>
                <c:pt idx="5">
                  <c:v>43.6</c:v>
                </c:pt>
                <c:pt idx="6">
                  <c:v>44.6</c:v>
                </c:pt>
                <c:pt idx="7">
                  <c:v>57.5</c:v>
                </c:pt>
                <c:pt idx="8">
                  <c:v>45.2</c:v>
                </c:pt>
                <c:pt idx="9">
                  <c:v>49.6</c:v>
                </c:pt>
                <c:pt idx="10">
                  <c:v>40.299999999999997</c:v>
                </c:pt>
                <c:pt idx="11">
                  <c:v>41.9</c:v>
                </c:pt>
                <c:pt idx="12">
                  <c:v>42.7</c:v>
                </c:pt>
                <c:pt idx="13">
                  <c:v>36.4</c:v>
                </c:pt>
                <c:pt idx="14">
                  <c:v>38.6</c:v>
                </c:pt>
                <c:pt idx="15">
                  <c:v>47</c:v>
                </c:pt>
                <c:pt idx="16">
                  <c:v>34.299999999999997</c:v>
                </c:pt>
                <c:pt idx="17">
                  <c:v>49.6</c:v>
                </c:pt>
                <c:pt idx="18">
                  <c:v>47.4</c:v>
                </c:pt>
                <c:pt idx="19">
                  <c:v>51.8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0B-4F8F-A198-31AB7AD9E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03232"/>
        <c:axId val="364531552"/>
      </c:scatterChart>
      <c:valAx>
        <c:axId val="54110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4531552"/>
        <c:crosses val="autoZero"/>
        <c:crossBetween val="midCat"/>
      </c:valAx>
      <c:valAx>
        <c:axId val="3645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11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kg</a:t>
            </a:r>
            <a:r>
              <a:rPr lang="es-ES" baseline="0"/>
              <a:t> ducto promedio por tipo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'1.7. COOLING S.A.'!$M$1:$O$1</c:f>
              <c:strCache>
                <c:ptCount val="3"/>
                <c:pt idx="0">
                  <c:v>tipo 1 </c:v>
                </c:pt>
                <c:pt idx="1">
                  <c:v>tipo 2 </c:v>
                </c:pt>
                <c:pt idx="2">
                  <c:v>tipo 3 </c:v>
                </c:pt>
              </c:strCache>
            </c:strRef>
          </c:cat>
          <c:val>
            <c:numRef>
              <c:f>'1.7. COOLING S.A.'!$M$2:$O$2</c:f>
              <c:numCache>
                <c:formatCode>General</c:formatCode>
                <c:ptCount val="3"/>
                <c:pt idx="0">
                  <c:v>100.5</c:v>
                </c:pt>
                <c:pt idx="1">
                  <c:v>532.22222222222217</c:v>
                </c:pt>
                <c:pt idx="2">
                  <c:v>990.66666666666663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A-450A-9B35-5FA04E8E6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8073264"/>
        <c:axId val="1126182512"/>
      </c:barChart>
      <c:catAx>
        <c:axId val="11280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182512"/>
        <c:crosses val="autoZero"/>
        <c:auto val="1"/>
        <c:lblAlgn val="ctr"/>
        <c:lblOffset val="100"/>
        <c:noMultiLvlLbl val="0"/>
      </c:catAx>
      <c:valAx>
        <c:axId val="11261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807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Proyectos por tipo de equipo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'1.7. COOLING S.A.'!$M$1:$O$1</c:f>
              <c:strCache>
                <c:ptCount val="3"/>
                <c:pt idx="0">
                  <c:v>tipo 1 </c:v>
                </c:pt>
                <c:pt idx="1">
                  <c:v>tipo 2 </c:v>
                </c:pt>
                <c:pt idx="2">
                  <c:v>tipo 3 </c:v>
                </c:pt>
              </c:strCache>
            </c:strRef>
          </c:cat>
          <c:val>
            <c:numRef>
              <c:f>'1.7. COOLING S.A.'!$M$6:$O$6</c:f>
              <c:numCache>
                <c:formatCode>General</c:formatCode>
                <c:ptCount val="3"/>
                <c:pt idx="0">
                  <c:v>4</c:v>
                </c:pt>
                <c:pt idx="1">
                  <c:v>18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E-42F8-AA7B-B4DBE30FD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543648"/>
        <c:axId val="994797616"/>
      </c:barChart>
      <c:catAx>
        <c:axId val="9425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4797616"/>
        <c:crosses val="autoZero"/>
        <c:auto val="1"/>
        <c:lblAlgn val="ctr"/>
        <c:lblOffset val="100"/>
        <c:noMultiLvlLbl val="0"/>
      </c:catAx>
      <c:valAx>
        <c:axId val="994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25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Demanda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'1.8. elCORREO'!$A$3</c:f>
              <c:strCache>
                <c:ptCount val="1"/>
                <c:pt idx="0">
                  <c:v>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'1.8. elCORREO'!$B$2:$K$2</c:f>
              <c:numCache>
                <c:formatCode>mmm\-yy</c:formatCode>
                <c:ptCount val="10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</c:numCache>
            </c:numRef>
          </c:cat>
          <c:val>
            <c:numRef>
              <c:f>'1.8. elCORREO'!$B$3:$K$3</c:f>
              <c:numCache>
                <c:formatCode>General</c:formatCode>
                <c:ptCount val="10"/>
                <c:pt idx="0">
                  <c:v>79</c:v>
                </c:pt>
                <c:pt idx="1">
                  <c:v>83</c:v>
                </c:pt>
                <c:pt idx="2">
                  <c:v>84</c:v>
                </c:pt>
                <c:pt idx="3">
                  <c:v>100</c:v>
                </c:pt>
                <c:pt idx="4">
                  <c:v>110</c:v>
                </c:pt>
                <c:pt idx="5">
                  <c:v>91</c:v>
                </c:pt>
                <c:pt idx="6">
                  <c:v>99</c:v>
                </c:pt>
                <c:pt idx="7">
                  <c:v>104</c:v>
                </c:pt>
                <c:pt idx="8">
                  <c:v>116</c:v>
                </c:pt>
                <c:pt idx="9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6-4A55-B957-91F317D1B937}"/>
            </c:ext>
          </c:extLst>
        </c:ser>
        <c:ser>
          <c:idx val="1"/>
          <c:order val="1"/>
          <c:tx>
            <c:strRef>
              <c:f>'1.8. elCORREO'!$A$4</c:f>
              <c:strCache>
                <c:ptCount val="1"/>
                <c:pt idx="0">
                  <c:v>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'1.8. elCORREO'!$B$4:$K$4</c:f>
              <c:numCache>
                <c:formatCode>General</c:formatCode>
                <c:ptCount val="10"/>
                <c:pt idx="0">
                  <c:v>14</c:v>
                </c:pt>
                <c:pt idx="1">
                  <c:v>27</c:v>
                </c:pt>
                <c:pt idx="2">
                  <c:v>28</c:v>
                </c:pt>
                <c:pt idx="3">
                  <c:v>21</c:v>
                </c:pt>
                <c:pt idx="4">
                  <c:v>19</c:v>
                </c:pt>
                <c:pt idx="5">
                  <c:v>29</c:v>
                </c:pt>
                <c:pt idx="6">
                  <c:v>33</c:v>
                </c:pt>
                <c:pt idx="7">
                  <c:v>25</c:v>
                </c:pt>
                <c:pt idx="8">
                  <c:v>26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6-4A55-B957-91F317D1B937}"/>
            </c:ext>
          </c:extLst>
        </c:ser>
        <c:ser>
          <c:idx val="2"/>
          <c:order val="2"/>
          <c:tx>
            <c:strRef>
              <c:f>'1.8. elCORREO'!$A$5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'1.8. elCORREO'!$B$5:$K$5</c:f>
              <c:numCache>
                <c:formatCode>General</c:formatCode>
                <c:ptCount val="10"/>
                <c:pt idx="0">
                  <c:v>93</c:v>
                </c:pt>
                <c:pt idx="1">
                  <c:v>110</c:v>
                </c:pt>
                <c:pt idx="2">
                  <c:v>112</c:v>
                </c:pt>
                <c:pt idx="3">
                  <c:v>121</c:v>
                </c:pt>
                <c:pt idx="4">
                  <c:v>129</c:v>
                </c:pt>
                <c:pt idx="5">
                  <c:v>120</c:v>
                </c:pt>
                <c:pt idx="6">
                  <c:v>132</c:v>
                </c:pt>
                <c:pt idx="7">
                  <c:v>129</c:v>
                </c:pt>
                <c:pt idx="8">
                  <c:v>142</c:v>
                </c:pt>
                <c:pt idx="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86-4A55-B957-91F317D1B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767952"/>
        <c:axId val="732462432"/>
      </c:lineChart>
      <c:dateAx>
        <c:axId val="53876795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2462432"/>
        <c:crosses val="autoZero"/>
        <c:auto val="1"/>
        <c:lblOffset val="100"/>
        <c:baseTimeUnit val="months"/>
      </c:dateAx>
      <c:valAx>
        <c:axId val="7324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87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Proporciones</a:t>
            </a:r>
            <a:r>
              <a:rPr lang="es-ES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'1.8. elCORREO'!$A$6</c:f>
              <c:strCache>
                <c:ptCount val="1"/>
                <c:pt idx="0">
                  <c:v>proporcion 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'1.8. elCORREO'!$B$2:$K$2</c:f>
              <c:numCache>
                <c:formatCode>mmm\-yy</c:formatCode>
                <c:ptCount val="10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</c:numCache>
            </c:numRef>
          </c:cat>
          <c:val>
            <c:numRef>
              <c:f>'1.8. elCORREO'!$B$6:$K$6</c:f>
              <c:numCache>
                <c:formatCode>General</c:formatCode>
                <c:ptCount val="10"/>
                <c:pt idx="0">
                  <c:v>0.84946236559139787</c:v>
                </c:pt>
                <c:pt idx="1">
                  <c:v>0.75454545454545452</c:v>
                </c:pt>
                <c:pt idx="2">
                  <c:v>0.75</c:v>
                </c:pt>
                <c:pt idx="3">
                  <c:v>0.82644628099173556</c:v>
                </c:pt>
                <c:pt idx="4">
                  <c:v>0.8527131782945736</c:v>
                </c:pt>
                <c:pt idx="5">
                  <c:v>0.7583333333333333</c:v>
                </c:pt>
                <c:pt idx="6">
                  <c:v>0.75</c:v>
                </c:pt>
                <c:pt idx="7">
                  <c:v>0.80620155038759689</c:v>
                </c:pt>
                <c:pt idx="8">
                  <c:v>0.81690140845070425</c:v>
                </c:pt>
                <c:pt idx="9">
                  <c:v>0.75172413793103443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8-4653-BEF6-7FFB19A09D94}"/>
            </c:ext>
          </c:extLst>
        </c:ser>
        <c:ser>
          <c:idx val="1"/>
          <c:order val="1"/>
          <c:tx>
            <c:strRef>
              <c:f>'1.8. elCORREO'!$A$7</c:f>
              <c:strCache>
                <c:ptCount val="1"/>
                <c:pt idx="0">
                  <c:v>proporcion 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'1.8. elCORREO'!$B$2:$K$2</c:f>
              <c:numCache>
                <c:formatCode>mmm\-yy</c:formatCode>
                <c:ptCount val="10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</c:numCache>
            </c:numRef>
          </c:cat>
          <c:val>
            <c:numRef>
              <c:f>'1.8. elCORREO'!$B$7:$K$7</c:f>
              <c:numCache>
                <c:formatCode>General</c:formatCode>
                <c:ptCount val="10"/>
                <c:pt idx="0">
                  <c:v>0.15053763440860216</c:v>
                </c:pt>
                <c:pt idx="1">
                  <c:v>0.24545454545454545</c:v>
                </c:pt>
                <c:pt idx="2">
                  <c:v>0.25</c:v>
                </c:pt>
                <c:pt idx="3">
                  <c:v>0.17355371900826447</c:v>
                </c:pt>
                <c:pt idx="4">
                  <c:v>0.14728682170542637</c:v>
                </c:pt>
                <c:pt idx="5">
                  <c:v>0.24166666666666667</c:v>
                </c:pt>
                <c:pt idx="6">
                  <c:v>0.25</c:v>
                </c:pt>
                <c:pt idx="7">
                  <c:v>0.19379844961240311</c:v>
                </c:pt>
                <c:pt idx="8">
                  <c:v>0.18309859154929578</c:v>
                </c:pt>
                <c:pt idx="9">
                  <c:v>0.24827586206896551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8-4653-BEF6-7FFB19A09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838592"/>
        <c:axId val="811360688"/>
      </c:lineChart>
      <c:dateAx>
        <c:axId val="80783859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1360688"/>
        <c:crosses val="autoZero"/>
        <c:auto val="1"/>
        <c:lblOffset val="100"/>
        <c:baseTimeUnit val="months"/>
      </c:dateAx>
      <c:valAx>
        <c:axId val="8113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783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Consumo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'1.10. SERVERPLACE'!$A$2:$A$11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'1.10. SERVERPLACE'!$D$2:$D$11</c:f>
              <c:numCache>
                <c:formatCode>General</c:formatCode>
                <c:ptCount val="10"/>
                <c:pt idx="0">
                  <c:v>423.3</c:v>
                </c:pt>
                <c:pt idx="1">
                  <c:v>494.33</c:v>
                </c:pt>
                <c:pt idx="2">
                  <c:v>422.56</c:v>
                </c:pt>
                <c:pt idx="3">
                  <c:v>347.33</c:v>
                </c:pt>
                <c:pt idx="4">
                  <c:v>433.17</c:v>
                </c:pt>
                <c:pt idx="5">
                  <c:v>466.39</c:v>
                </c:pt>
                <c:pt idx="6">
                  <c:v>515.71</c:v>
                </c:pt>
                <c:pt idx="7">
                  <c:v>484.05</c:v>
                </c:pt>
                <c:pt idx="8">
                  <c:v>437.26</c:v>
                </c:pt>
                <c:pt idx="9">
                  <c:v>541.4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9-45EA-8641-274BE705E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80351"/>
        <c:axId val="880675839"/>
      </c:lineChart>
      <c:catAx>
        <c:axId val="82428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0675839"/>
        <c:crosses val="autoZero"/>
        <c:auto val="1"/>
        <c:lblAlgn val="ctr"/>
        <c:lblOffset val="100"/>
        <c:noMultiLvlLbl val="0"/>
      </c:catAx>
      <c:valAx>
        <c:axId val="88067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428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#Racks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'1.10. SERVERPLACE'!$A$2:$A$11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'1.10. SERVERPLACE'!$C$2:$C$11</c:f>
              <c:numCache>
                <c:formatCode>General</c:formatCode>
                <c:ptCount val="10"/>
                <c:pt idx="0">
                  <c:v>136</c:v>
                </c:pt>
                <c:pt idx="1">
                  <c:v>139</c:v>
                </c:pt>
                <c:pt idx="2">
                  <c:v>142</c:v>
                </c:pt>
                <c:pt idx="3">
                  <c:v>145</c:v>
                </c:pt>
                <c:pt idx="4">
                  <c:v>148</c:v>
                </c:pt>
                <c:pt idx="5">
                  <c:v>151</c:v>
                </c:pt>
                <c:pt idx="6">
                  <c:v>154</c:v>
                </c:pt>
                <c:pt idx="7">
                  <c:v>157</c:v>
                </c:pt>
                <c:pt idx="8">
                  <c:v>160</c:v>
                </c:pt>
                <c:pt idx="9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3-492F-A47E-940F4450A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59151"/>
        <c:axId val="822967839"/>
      </c:lineChart>
      <c:catAx>
        <c:axId val="8168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7839"/>
        <c:crosses val="autoZero"/>
        <c:auto val="1"/>
        <c:lblAlgn val="ctr"/>
        <c:lblOffset val="100"/>
        <c:noMultiLvlLbl val="0"/>
      </c:catAx>
      <c:valAx>
        <c:axId val="8229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85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#Racks</a:t>
            </a:r>
            <a:r>
              <a:rPr lang="es-ES" baseline="0"/>
              <a:t> vs. Consumo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'1.10. SERVERPLACE'!$C$2:$C$11</c:f>
              <c:numCache>
                <c:formatCode>General</c:formatCode>
                <c:ptCount val="10"/>
                <c:pt idx="0">
                  <c:v>136</c:v>
                </c:pt>
                <c:pt idx="1">
                  <c:v>139</c:v>
                </c:pt>
                <c:pt idx="2">
                  <c:v>142</c:v>
                </c:pt>
                <c:pt idx="3">
                  <c:v>145</c:v>
                </c:pt>
                <c:pt idx="4">
                  <c:v>148</c:v>
                </c:pt>
                <c:pt idx="5">
                  <c:v>151</c:v>
                </c:pt>
                <c:pt idx="6">
                  <c:v>154</c:v>
                </c:pt>
                <c:pt idx="7">
                  <c:v>157</c:v>
                </c:pt>
                <c:pt idx="8">
                  <c:v>160</c:v>
                </c:pt>
                <c:pt idx="9">
                  <c:v>163</c:v>
                </c:pt>
              </c:numCache>
            </c:numRef>
          </c:xVal>
          <c:yVal>
            <c:numRef>
              <c:f>'1.10. SERVERPLACE'!$D$2:$D$11</c:f>
              <c:numCache>
                <c:formatCode>General</c:formatCode>
                <c:ptCount val="10"/>
                <c:pt idx="0">
                  <c:v>423.3</c:v>
                </c:pt>
                <c:pt idx="1">
                  <c:v>494.33</c:v>
                </c:pt>
                <c:pt idx="2">
                  <c:v>422.56</c:v>
                </c:pt>
                <c:pt idx="3">
                  <c:v>347.33</c:v>
                </c:pt>
                <c:pt idx="4">
                  <c:v>433.17</c:v>
                </c:pt>
                <c:pt idx="5">
                  <c:v>466.39</c:v>
                </c:pt>
                <c:pt idx="6">
                  <c:v>515.71</c:v>
                </c:pt>
                <c:pt idx="7">
                  <c:v>484.05</c:v>
                </c:pt>
                <c:pt idx="8">
                  <c:v>437.26</c:v>
                </c:pt>
                <c:pt idx="9">
                  <c:v>541.4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D-47DE-87DC-F31C2B707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551327"/>
        <c:axId val="725924063"/>
      </c:scatterChart>
      <c:valAx>
        <c:axId val="90155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924063"/>
        <c:crosses val="autoZero"/>
        <c:crossBetween val="midCat"/>
      </c:valAx>
      <c:valAx>
        <c:axId val="72592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55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#Racks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'1.10. SERVERPLACE'!$C$2:$C$11</c:f>
              <c:numCache>
                <c:formatCode>General</c:formatCode>
                <c:ptCount val="10"/>
                <c:pt idx="0">
                  <c:v>136</c:v>
                </c:pt>
                <c:pt idx="1">
                  <c:v>139</c:v>
                </c:pt>
                <c:pt idx="2">
                  <c:v>142</c:v>
                </c:pt>
                <c:pt idx="3">
                  <c:v>145</c:v>
                </c:pt>
                <c:pt idx="4">
                  <c:v>148</c:v>
                </c:pt>
                <c:pt idx="5">
                  <c:v>151</c:v>
                </c:pt>
                <c:pt idx="6">
                  <c:v>154</c:v>
                </c:pt>
                <c:pt idx="7">
                  <c:v>157</c:v>
                </c:pt>
                <c:pt idx="8">
                  <c:v>160</c:v>
                </c:pt>
                <c:pt idx="9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9-44F1-81B2-85D3EBCB4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248943"/>
        <c:axId val="1073930223"/>
      </c:barChart>
      <c:catAx>
        <c:axId val="107624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3930223"/>
        <c:crosses val="autoZero"/>
        <c:auto val="1"/>
        <c:lblAlgn val="ctr"/>
        <c:lblOffset val="100"/>
        <c:noMultiLvlLbl val="0"/>
      </c:catAx>
      <c:valAx>
        <c:axId val="10739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624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Consumo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'1.10. SERVERPLACE'!$G$44:$G$46</c:f>
              <c:strCache>
                <c:ptCount val="3"/>
                <c:pt idx="0">
                  <c:v>&lt;=347,33</c:v>
                </c:pt>
                <c:pt idx="1">
                  <c:v>(347.33,412,02)</c:v>
                </c:pt>
                <c:pt idx="2">
                  <c:v>[412.02,541.4]</c:v>
                </c:pt>
              </c:strCache>
            </c:strRef>
          </c:cat>
          <c:val>
            <c:numRef>
              <c:f>'1.10. SERVERPLACE'!$I$44:$I$46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C-4ACB-A96F-F493010FC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5807439"/>
        <c:axId val="508129487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'1.10. SERVERPLACE'!$H$44:$H$46</c:f>
              <c:strCache>
                <c:ptCount val="3"/>
                <c:pt idx="0">
                  <c:v>347,33</c:v>
                </c:pt>
                <c:pt idx="1">
                  <c:v>412,02</c:v>
                </c:pt>
                <c:pt idx="2">
                  <c:v>y mayor...</c:v>
                </c:pt>
              </c:strCache>
            </c:strRef>
          </c:cat>
          <c:val>
            <c:numRef>
              <c:f>'1.10. SERVERPLACE'!$J$44:$J$46</c:f>
              <c:numCache>
                <c:formatCode>0.00%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C-4ACB-A96F-F493010FC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804239"/>
        <c:axId val="508131983"/>
      </c:lineChart>
      <c:catAx>
        <c:axId val="785807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129487"/>
        <c:crosses val="autoZero"/>
        <c:auto val="1"/>
        <c:lblAlgn val="ctr"/>
        <c:lblOffset val="100"/>
        <c:noMultiLvlLbl val="0"/>
      </c:catAx>
      <c:valAx>
        <c:axId val="50812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5807439"/>
        <c:crosses val="autoZero"/>
        <c:crossBetween val="between"/>
      </c:valAx>
      <c:valAx>
        <c:axId val="5081319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85804239"/>
        <c:crosses val="max"/>
        <c:crossBetween val="between"/>
      </c:valAx>
      <c:catAx>
        <c:axId val="785804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8131983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Error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'1.10. SERVERPLACE'!$Z$59:$Z$62</c:f>
              <c:strCache>
                <c:ptCount val="4"/>
                <c:pt idx="0">
                  <c:v>-142,8</c:v>
                </c:pt>
                <c:pt idx="1">
                  <c:v>-65,58133333</c:v>
                </c:pt>
                <c:pt idx="2">
                  <c:v>11,63733333</c:v>
                </c:pt>
                <c:pt idx="3">
                  <c:v>y mayor...</c:v>
                </c:pt>
              </c:strCache>
            </c:strRef>
          </c:cat>
          <c:val>
            <c:numRef>
              <c:f>'1.10. SERVERPLACE'!$AA$59:$AA$62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6-4EF1-8434-470CF5517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84309968"/>
        <c:axId val="481548720"/>
      </c:barChart>
      <c:catAx>
        <c:axId val="38430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1548720"/>
        <c:crosses val="autoZero"/>
        <c:auto val="1"/>
        <c:lblAlgn val="ctr"/>
        <c:lblOffset val="100"/>
        <c:noMultiLvlLbl val="0"/>
      </c:catAx>
      <c:valAx>
        <c:axId val="481548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43099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 1- 1P.xlsx]1.11. ENERGIZAR S.A.!TablaDinámica5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Cuenta de Tipo de obra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'1.11. ENERGIZAR S.A.'!$I$9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'1.11. ENERGIZAR S.A.'!$H$10:$H$12</c:f>
              <c:strCache>
                <c:ptCount val="3"/>
                <c:pt idx="0">
                  <c:v>Ampliación</c:v>
                </c:pt>
                <c:pt idx="1">
                  <c:v>Obra Nueva</c:v>
                </c:pt>
                <c:pt idx="2">
                  <c:v>Reemplazo</c:v>
                </c:pt>
              </c:strCache>
            </c:strRef>
          </c:cat>
          <c:val>
            <c:numRef>
              <c:f>'1.11. ENERGIZAR S.A.'!$I$10:$I$12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C-4784-B1AB-B3465F3C5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705008"/>
        <c:axId val="405898976"/>
      </c:barChart>
      <c:catAx>
        <c:axId val="8807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898976"/>
        <c:crosses val="autoZero"/>
        <c:auto val="1"/>
        <c:lblAlgn val="ctr"/>
        <c:lblOffset val="100"/>
        <c:noMultiLvlLbl val="0"/>
      </c:catAx>
      <c:valAx>
        <c:axId val="40589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070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Bancos en sitio vs a instalar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'1.11. ENERGIZAR S.A.'!$A$38:$A$52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</c:numCache>
            </c:numRef>
          </c:xVal>
          <c:yVal>
            <c:numRef>
              <c:f>'1.11. ENERGIZAR S.A.'!$B$38:$B$52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07-4D42-9E7F-D9ED7CE88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591904"/>
        <c:axId val="960621568"/>
      </c:scatterChart>
      <c:valAx>
        <c:axId val="7985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0621568"/>
        <c:crosses val="autoZero"/>
        <c:crossBetween val="midCat"/>
      </c:valAx>
      <c:valAx>
        <c:axId val="9606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859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Horas de ajuste CompuServices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Horas de ajuste CompuServices </a:t>
          </a:r>
        </a:p>
      </cx:txPr>
    </cx:title>
    <cx:plotArea>
      <cx:plotAreaRegion>
        <cx:series layoutId="clusteredColumn" uniqueId="{9ED5777A-8F36-4AC1-A64B-E9C13F16097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Horas de ajuste NetSystems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Horas de ajuste NetSystems</a:t>
          </a:r>
        </a:p>
      </cx:txPr>
    </cx:title>
    <cx:plotArea>
      <cx:plotAreaRegion>
        <cx:series layoutId="clusteredColumn" uniqueId="{0B15C434-8EBD-4F77-B4A6-B2E1D5AB739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txData>
          <cx:v>Horas segun contratista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Horas segun contratista</a:t>
          </a:r>
        </a:p>
      </cx:txPr>
    </cx:title>
    <cx:plotArea>
      <cx:plotAreaRegion>
        <cx:series layoutId="boxWhisker" uniqueId="{BDA33957-2229-4A9F-A1C7-9BF385DFD41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949999988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Errores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Errores</a:t>
          </a:r>
        </a:p>
      </cx:txPr>
    </cx:title>
    <cx:plotArea>
      <cx:plotAreaRegion>
        <cx:series layoutId="clusteredColumn" uniqueId="{00000003-8099-4304-B5C7-49893B23B744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tE2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tE2</a:t>
          </a:r>
        </a:p>
      </cx:txPr>
    </cx:title>
    <cx:plotArea>
      <cx:plotAreaRegion>
        <cx:series layoutId="clusteredColumn" uniqueId="{43B28D83-730A-405D-9E42-5F82F0E6551F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</cx:chartData>
  <cx:chart>
    <cx:title pos="t" align="ctr" overlay="0">
      <cx:tx>
        <cx:txData>
          <cx:v>tE3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tE3</a:t>
          </a:r>
        </a:p>
      </cx:txPr>
    </cx:title>
    <cx:plotArea>
      <cx:plotAreaRegion>
        <cx:series layoutId="clusteredColumn" uniqueId="{3F56DA96-4FDE-4F61-A055-9B763CA9BA95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txData>
          <cx:v>TempE2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TempE2</a:t>
          </a:r>
        </a:p>
      </cx:txPr>
    </cx:title>
    <cx:plotArea>
      <cx:plotAreaRegion>
        <cx:series layoutId="clusteredColumn" uniqueId="{F8291FEE-A07D-4623-8AF6-ABB691D52732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</cx:chartData>
  <cx:chart>
    <cx:title pos="t" align="ctr" overlay="0">
      <cx:tx>
        <cx:txData>
          <cx:v>Error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Error</a:t>
          </a:r>
        </a:p>
      </cx:txPr>
    </cx:title>
    <cx:plotArea>
      <cx:plotAreaRegion>
        <cx:series layoutId="clusteredColumn" uniqueId="{5640A389-054B-4410-81F2-115B66FED321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Consumo por rack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Consumo por rack</a:t>
          </a:r>
        </a:p>
      </cx:txPr>
    </cx:title>
    <cx:plotArea>
      <cx:plotAreaRegion>
        <cx:series layoutId="clusteredColumn" uniqueId="{5BB55EFC-D9CD-4E42-8CFE-8E73697A6CD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Bancos existentes en sitio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Bancos existentes en sitio</a:t>
          </a:r>
        </a:p>
      </cx:txPr>
    </cx:title>
    <cx:plotArea>
      <cx:plotAreaRegion>
        <cx:series layoutId="clusteredColumn" uniqueId="{2A83CC3A-69BC-4D48-A53D-57993380A1A4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Distancia a rectificadores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Distancia a rectificadores</a:t>
          </a:r>
        </a:p>
      </cx:txPr>
    </cx:title>
    <cx:plotArea>
      <cx:plotAreaRegion>
        <cx:series layoutId="clusteredColumn" uniqueId="{5F213A03-99D1-4EFF-9CBB-99CE053B17C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</cx:chartData>
  <cx:chart>
    <cx:title pos="t" align="ctr" overlay="0">
      <cx:tx>
        <cx:txData>
          <cx:v>Tipo de obra vs distancia a rectificadores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Tipo de obra vs distancia a rectificadores</a:t>
          </a:r>
        </a:p>
      </cx:txPr>
    </cx:title>
    <cx:plotArea>
      <cx:plotAreaRegion>
        <cx:series layoutId="boxWhisker" uniqueId="{C5EDEF62-C81B-4853-9A55-66BC9BDF306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microsoft.com/office/2014/relationships/chartEx" Target="../charts/chartEx4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microsoft.com/office/2014/relationships/chartEx" Target="../charts/chartEx5.xml"/><Relationship Id="rId1" Type="http://schemas.openxmlformats.org/officeDocument/2006/relationships/chart" Target="../charts/chart11.xml"/><Relationship Id="rId6" Type="http://schemas.openxmlformats.org/officeDocument/2006/relationships/image" Target="../media/image1.png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microsoft.com/office/2014/relationships/chartEx" Target="../charts/chartEx8.xml"/><Relationship Id="rId1" Type="http://schemas.openxmlformats.org/officeDocument/2006/relationships/chart" Target="../charts/chart15.xml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microsoft.com/office/2014/relationships/chartEx" Target="../charts/chartEx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47</xdr:row>
      <xdr:rowOff>57151</xdr:rowOff>
    </xdr:from>
    <xdr:to>
      <xdr:col>4</xdr:col>
      <xdr:colOff>342900</xdr:colOff>
      <xdr:row>57</xdr:row>
      <xdr:rowOff>76201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898CF3-1056-41D4-8980-509E512F2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395287</xdr:colOff>
      <xdr:row>11</xdr:row>
      <xdr:rowOff>9525</xdr:rowOff>
    </xdr:from>
    <xdr:to>
      <xdr:col>17</xdr:col>
      <xdr:colOff>314325</xdr:colOff>
      <xdr:row>22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2A56F84-7D49-4CFC-A338-5468D99111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96287" y="2124075"/>
              <a:ext cx="3881438" cy="2114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190501</xdr:colOff>
      <xdr:row>23</xdr:row>
      <xdr:rowOff>133349</xdr:rowOff>
    </xdr:from>
    <xdr:to>
      <xdr:col>16</xdr:col>
      <xdr:colOff>85725</xdr:colOff>
      <xdr:row>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2073CA9F-4619-486A-B72B-ECF1D8AA4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1101" y="4533899"/>
              <a:ext cx="2638424" cy="17335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342900</xdr:colOff>
      <xdr:row>60</xdr:row>
      <xdr:rowOff>28575</xdr:rowOff>
    </xdr:from>
    <xdr:to>
      <xdr:col>4</xdr:col>
      <xdr:colOff>395288</xdr:colOff>
      <xdr:row>72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D5E711CF-3BF6-48B6-BD09-2BFC3767D9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11496675"/>
              <a:ext cx="3386138" cy="24288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514350</xdr:colOff>
      <xdr:row>34</xdr:row>
      <xdr:rowOff>85725</xdr:rowOff>
    </xdr:from>
    <xdr:to>
      <xdr:col>17</xdr:col>
      <xdr:colOff>352425</xdr:colOff>
      <xdr:row>43</xdr:row>
      <xdr:rowOff>161924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62BB679-19B6-48C5-9D18-29192751E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16</xdr:row>
      <xdr:rowOff>95250</xdr:rowOff>
    </xdr:from>
    <xdr:to>
      <xdr:col>11</xdr:col>
      <xdr:colOff>714375</xdr:colOff>
      <xdr:row>25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D8CCED-247C-4357-8680-95141B297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</xdr:colOff>
      <xdr:row>16</xdr:row>
      <xdr:rowOff>95250</xdr:rowOff>
    </xdr:from>
    <xdr:to>
      <xdr:col>17</xdr:col>
      <xdr:colOff>704851</xdr:colOff>
      <xdr:row>25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D14801-CF80-46F4-B13E-8E688051F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19050</xdr:rowOff>
    </xdr:from>
    <xdr:to>
      <xdr:col>11</xdr:col>
      <xdr:colOff>704850</xdr:colOff>
      <xdr:row>44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91F76B-F964-4316-89A6-37D1BF467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66675</xdr:colOff>
      <xdr:row>34</xdr:row>
      <xdr:rowOff>47625</xdr:rowOff>
    </xdr:from>
    <xdr:to>
      <xdr:col>18</xdr:col>
      <xdr:colOff>200025</xdr:colOff>
      <xdr:row>43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5628210-89FF-44E5-84A4-6145178C0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0</xdr:row>
      <xdr:rowOff>76200</xdr:rowOff>
    </xdr:from>
    <xdr:to>
      <xdr:col>21</xdr:col>
      <xdr:colOff>209550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636677-3E2D-4D22-9B5A-B68673626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47626</xdr:colOff>
      <xdr:row>18</xdr:row>
      <xdr:rowOff>19050</xdr:rowOff>
    </xdr:from>
    <xdr:to>
      <xdr:col>6</xdr:col>
      <xdr:colOff>180975</xdr:colOff>
      <xdr:row>27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8EF7DF-88F2-4059-BA09-8190D135F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104776</xdr:colOff>
      <xdr:row>28</xdr:row>
      <xdr:rowOff>85724</xdr:rowOff>
    </xdr:from>
    <xdr:to>
      <xdr:col>6</xdr:col>
      <xdr:colOff>342900</xdr:colOff>
      <xdr:row>42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56B93A-7F79-4802-8824-22B508723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123825</xdr:rowOff>
    </xdr:from>
    <xdr:to>
      <xdr:col>4</xdr:col>
      <xdr:colOff>428625</xdr:colOff>
      <xdr:row>55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D0BB14F-E739-45C9-BEFA-DAD70DA5E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11207</xdr:colOff>
      <xdr:row>41</xdr:row>
      <xdr:rowOff>44823</xdr:rowOff>
    </xdr:from>
    <xdr:to>
      <xdr:col>34</xdr:col>
      <xdr:colOff>403413</xdr:colOff>
      <xdr:row>59</xdr:row>
      <xdr:rowOff>11207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89AFA441-1BD6-4673-AC8F-35299D195B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48795" y="7866529"/>
              <a:ext cx="6488206" cy="33953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13</xdr:row>
      <xdr:rowOff>19049</xdr:rowOff>
    </xdr:from>
    <xdr:to>
      <xdr:col>5</xdr:col>
      <xdr:colOff>742950</xdr:colOff>
      <xdr:row>21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A57000-4C90-4767-9B50-2378BE223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47626</xdr:colOff>
      <xdr:row>26</xdr:row>
      <xdr:rowOff>38098</xdr:rowOff>
    </xdr:from>
    <xdr:to>
      <xdr:col>6</xdr:col>
      <xdr:colOff>695325</xdr:colOff>
      <xdr:row>35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3D68CF4-E928-48BC-B47B-8DEB710868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6" y="5010148"/>
              <a:ext cx="4457699" cy="1695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</xdr:col>
      <xdr:colOff>9525</xdr:colOff>
      <xdr:row>35</xdr:row>
      <xdr:rowOff>142874</xdr:rowOff>
    </xdr:from>
    <xdr:to>
      <xdr:col>6</xdr:col>
      <xdr:colOff>695325</xdr:colOff>
      <xdr:row>48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755401-1BDC-493D-9B89-4872608B2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28575</xdr:colOff>
      <xdr:row>52</xdr:row>
      <xdr:rowOff>114299</xdr:rowOff>
    </xdr:from>
    <xdr:to>
      <xdr:col>5</xdr:col>
      <xdr:colOff>733425</xdr:colOff>
      <xdr:row>64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20FFBB11-D144-4163-AA8C-5DCA8C2245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575" y="10039349"/>
              <a:ext cx="3752850" cy="2314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69</xdr:row>
      <xdr:rowOff>0</xdr:rowOff>
    </xdr:from>
    <xdr:to>
      <xdr:col>5</xdr:col>
      <xdr:colOff>577103</xdr:colOff>
      <xdr:row>79</xdr:row>
      <xdr:rowOff>172571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8319901F-F7AB-45A4-8E6A-2031022B5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" y="13163550"/>
              <a:ext cx="3625103" cy="20775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235324</xdr:colOff>
      <xdr:row>32</xdr:row>
      <xdr:rowOff>33618</xdr:rowOff>
    </xdr:from>
    <xdr:to>
      <xdr:col>24</xdr:col>
      <xdr:colOff>112758</xdr:colOff>
      <xdr:row>47</xdr:row>
      <xdr:rowOff>110227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DCC27F9-22EC-41F2-A739-BCCF02500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79324" y="6152030"/>
          <a:ext cx="9021434" cy="29341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714375</xdr:colOff>
      <xdr:row>11</xdr:row>
      <xdr:rowOff>123825</xdr:rowOff>
    </xdr:from>
    <xdr:to>
      <xdr:col>15</xdr:col>
      <xdr:colOff>76200</xdr:colOff>
      <xdr:row>26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B33948-61FB-4316-A9B9-ABEC3025F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738187</xdr:colOff>
      <xdr:row>27</xdr:row>
      <xdr:rowOff>76200</xdr:rowOff>
    </xdr:from>
    <xdr:to>
      <xdr:col>15</xdr:col>
      <xdr:colOff>100012</xdr:colOff>
      <xdr:row>41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4D94A4-A658-4779-A625-01AED4D74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180975</xdr:colOff>
      <xdr:row>28</xdr:row>
      <xdr:rowOff>123824</xdr:rowOff>
    </xdr:from>
    <xdr:to>
      <xdr:col>19</xdr:col>
      <xdr:colOff>285750</xdr:colOff>
      <xdr:row>35</xdr:row>
      <xdr:rowOff>114299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42E5D7D-9EC9-4BFB-853B-41E621BF519A}"/>
            </a:ext>
          </a:extLst>
        </xdr:cNvPr>
        <xdr:cNvSpPr txBox="1"/>
      </xdr:nvSpPr>
      <xdr:spPr>
        <a:xfrm>
          <a:off x="12372975" y="5457824"/>
          <a:ext cx="23907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Un error importante aca es confundir la variable proyectos por tipo de equipo como triangular. Esta variable es discreta (es tipo 1 o 2 o 3) por lo tanto NO puede ser triangular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1</xdr:row>
      <xdr:rowOff>47624</xdr:rowOff>
    </xdr:from>
    <xdr:to>
      <xdr:col>17</xdr:col>
      <xdr:colOff>752475</xdr:colOff>
      <xdr:row>8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83936E1-9570-43BC-9E37-D2042D07B470}"/>
            </a:ext>
          </a:extLst>
        </xdr:cNvPr>
        <xdr:cNvSpPr txBox="1"/>
      </xdr:nvSpPr>
      <xdr:spPr>
        <a:xfrm>
          <a:off x="8886825" y="47624"/>
          <a:ext cx="4819650" cy="1314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pide encontrar:</a:t>
          </a:r>
        </a:p>
        <a:p>
          <a:r>
            <a:rPr lang="es-ES" sz="1100"/>
            <a:t>a) La expresión generadora de PC para alimentar el Simulador, comenzando en enero 2017.</a:t>
          </a:r>
        </a:p>
        <a:p>
          <a:r>
            <a:rPr lang="es-ES" sz="1100"/>
            <a:t>b) La expresión generadora de PU para alimentar el Simulador, comenzando en enero 2017.</a:t>
          </a:r>
        </a:p>
        <a:p>
          <a:r>
            <a:rPr lang="es-ES" sz="1100"/>
            <a:t>c) El valor de la demanda de PC para marzo 2017.</a:t>
          </a:r>
        </a:p>
      </xdr:txBody>
    </xdr:sp>
    <xdr:clientData/>
  </xdr:twoCellAnchor>
  <xdr:twoCellAnchor>
    <xdr:from>
      <xdr:col>0</xdr:col>
      <xdr:colOff>19049</xdr:colOff>
      <xdr:row>13</xdr:row>
      <xdr:rowOff>47625</xdr:rowOff>
    </xdr:from>
    <xdr:to>
      <xdr:col>5</xdr:col>
      <xdr:colOff>76200</xdr:colOff>
      <xdr:row>27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E9CF3D-359B-468C-9067-031BF2A60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18</xdr:row>
      <xdr:rowOff>142875</xdr:rowOff>
    </xdr:from>
    <xdr:to>
      <xdr:col>16</xdr:col>
      <xdr:colOff>495300</xdr:colOff>
      <xdr:row>28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742B1132-C454-45F1-9F93-D4D7CA7DE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3571875"/>
              <a:ext cx="2876550" cy="189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oneCellAnchor>
    <xdr:from>
      <xdr:col>17</xdr:col>
      <xdr:colOff>228600</xdr:colOff>
      <xdr:row>20</xdr:row>
      <xdr:rowOff>9524</xdr:rowOff>
    </xdr:from>
    <xdr:ext cx="3190875" cy="953466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D4946D5-4F5F-413C-BE9B-922303E52657}"/>
            </a:ext>
          </a:extLst>
        </xdr:cNvPr>
        <xdr:cNvSpPr txBox="1"/>
      </xdr:nvSpPr>
      <xdr:spPr>
        <a:xfrm>
          <a:off x="13582650" y="3819524"/>
          <a:ext cx="3190875" cy="953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Como la</a:t>
          </a:r>
          <a:r>
            <a:rPr lang="es-ES" sz="1100" baseline="0"/>
            <a:t> media no me dio exactamente cero quiere decir que estoy estimando por demas. Entonces para que la normal del error me quede centrada en cero, le resto 0,03 a mi expresion generadora</a:t>
          </a:r>
        </a:p>
        <a:p>
          <a:endParaRPr lang="es-ES" sz="1100"/>
        </a:p>
      </xdr:txBody>
    </xdr:sp>
    <xdr:clientData/>
  </xdr:oneCellAnchor>
  <xdr:twoCellAnchor>
    <xdr:from>
      <xdr:col>8</xdr:col>
      <xdr:colOff>47625</xdr:colOff>
      <xdr:row>33</xdr:row>
      <xdr:rowOff>114300</xdr:rowOff>
    </xdr:from>
    <xdr:to>
      <xdr:col>13</xdr:col>
      <xdr:colOff>0</xdr:colOff>
      <xdr:row>45</xdr:row>
      <xdr:rowOff>171450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6B2E989-6404-4132-ACD0-080B79BB1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0</xdr:colOff>
      <xdr:row>37</xdr:row>
      <xdr:rowOff>0</xdr:rowOff>
    </xdr:from>
    <xdr:to>
      <xdr:col>18</xdr:col>
      <xdr:colOff>38549</xdr:colOff>
      <xdr:row>41</xdr:row>
      <xdr:rowOff>106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F7B1749-BB32-43A9-A080-2B1688E56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68050" y="7048500"/>
          <a:ext cx="3219899" cy="7621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12</xdr:row>
      <xdr:rowOff>19050</xdr:rowOff>
    </xdr:from>
    <xdr:to>
      <xdr:col>11</xdr:col>
      <xdr:colOff>538371</xdr:colOff>
      <xdr:row>21</xdr:row>
      <xdr:rowOff>165652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221CD4-B5D9-4EDD-BC69-98959C1AB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</xdr:colOff>
      <xdr:row>12</xdr:row>
      <xdr:rowOff>49696</xdr:rowOff>
    </xdr:from>
    <xdr:to>
      <xdr:col>5</xdr:col>
      <xdr:colOff>604631</xdr:colOff>
      <xdr:row>21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0A44C8-9448-4212-A10D-29E28AFA1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563220</xdr:colOff>
      <xdr:row>12</xdr:row>
      <xdr:rowOff>15737</xdr:rowOff>
    </xdr:from>
    <xdr:to>
      <xdr:col>16</xdr:col>
      <xdr:colOff>679176</xdr:colOff>
      <xdr:row>22</xdr:row>
      <xdr:rowOff>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960454-0C81-48A8-B581-1AE76E809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22836</xdr:rowOff>
    </xdr:from>
    <xdr:to>
      <xdr:col>5</xdr:col>
      <xdr:colOff>600075</xdr:colOff>
      <xdr:row>39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B77AEC3-6BFE-4D92-846E-7A8C514BE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38099</xdr:colOff>
      <xdr:row>30</xdr:row>
      <xdr:rowOff>1</xdr:rowOff>
    </xdr:from>
    <xdr:to>
      <xdr:col>12</xdr:col>
      <xdr:colOff>209549</xdr:colOff>
      <xdr:row>39</xdr:row>
      <xdr:rowOff>152401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C62B079-A7D2-4FF3-8F13-08DFF3EA3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85723</xdr:colOff>
      <xdr:row>44</xdr:row>
      <xdr:rowOff>19050</xdr:rowOff>
    </xdr:from>
    <xdr:to>
      <xdr:col>29</xdr:col>
      <xdr:colOff>95249</xdr:colOff>
      <xdr:row>54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85E1497-7CBE-4DBF-84C3-A7111D886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633133</xdr:colOff>
      <xdr:row>51</xdr:row>
      <xdr:rowOff>118783</xdr:rowOff>
    </xdr:from>
    <xdr:to>
      <xdr:col>13</xdr:col>
      <xdr:colOff>442633</xdr:colOff>
      <xdr:row>66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2235F646-4E60-4232-88D7-7102EB170C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4358" y="9853333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0</xdr:row>
      <xdr:rowOff>28575</xdr:rowOff>
    </xdr:from>
    <xdr:to>
      <xdr:col>13</xdr:col>
      <xdr:colOff>523875</xdr:colOff>
      <xdr:row>3</xdr:row>
      <xdr:rowOff>161924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B7D7DD7-5E8E-4329-A8E6-E891F00E44B2}"/>
            </a:ext>
          </a:extLst>
        </xdr:cNvPr>
        <xdr:cNvSpPr txBox="1"/>
      </xdr:nvSpPr>
      <xdr:spPr>
        <a:xfrm>
          <a:off x="5381624" y="28575"/>
          <a:ext cx="5048251" cy="1085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pide la expresión generadora de la Muestra Artificial para las siguientes variables</a:t>
          </a:r>
        </a:p>
        <a:p>
          <a:r>
            <a:rPr lang="es-ES" sz="1100"/>
            <a:t>aleatorias que alimentarán el Simulador:</a:t>
          </a:r>
        </a:p>
        <a:p>
          <a:r>
            <a:rPr lang="es-ES" sz="1100"/>
            <a:t> El Tipo de Obra.</a:t>
          </a:r>
        </a:p>
        <a:p>
          <a:r>
            <a:rPr lang="es-ES" sz="1100"/>
            <a:t> La cantidad de bancos a instalar.</a:t>
          </a:r>
        </a:p>
        <a:p>
          <a:r>
            <a:rPr lang="es-ES" sz="1100"/>
            <a:t> Los metros de cable necesarios.</a:t>
          </a:r>
        </a:p>
      </xdr:txBody>
    </xdr:sp>
    <xdr:clientData/>
  </xdr:twoCellAnchor>
  <xdr:twoCellAnchor>
    <xdr:from>
      <xdr:col>10</xdr:col>
      <xdr:colOff>276226</xdr:colOff>
      <xdr:row>4</xdr:row>
      <xdr:rowOff>19050</xdr:rowOff>
    </xdr:from>
    <xdr:to>
      <xdr:col>13</xdr:col>
      <xdr:colOff>752476</xdr:colOff>
      <xdr:row>14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6346846-16A5-4BC9-9FF7-1BFBEB36C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704849</xdr:colOff>
      <xdr:row>17</xdr:row>
      <xdr:rowOff>0</xdr:rowOff>
    </xdr:from>
    <xdr:to>
      <xdr:col>16</xdr:col>
      <xdr:colOff>19050</xdr:colOff>
      <xdr:row>25</xdr:row>
      <xdr:rowOff>19050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4B7D21A-AA29-4743-A8A8-9564CDFAC693}"/>
            </a:ext>
          </a:extLst>
        </xdr:cNvPr>
        <xdr:cNvSpPr txBox="1"/>
      </xdr:nvSpPr>
      <xdr:spPr>
        <a:xfrm>
          <a:off x="10325099" y="2095500"/>
          <a:ext cx="3124201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aca esta la variabilidad, en BANCOS EN SITIO,</a:t>
          </a:r>
          <a:r>
            <a:rPr lang="es-ES" sz="1100" baseline="0"/>
            <a:t> ya que se instala lo mismo que se tiene en sitio (F(X) - A INSTALAR, X - EN SITIO). Siempre se da igual que F(X) = X. Se puede observar en el grafico</a:t>
          </a:r>
        </a:p>
        <a:p>
          <a:endParaRPr lang="es-ES" sz="1100" baseline="0"/>
        </a:p>
        <a:p>
          <a:endParaRPr lang="es-ES" sz="1100"/>
        </a:p>
      </xdr:txBody>
    </xdr:sp>
    <xdr:clientData/>
  </xdr:twoCellAnchor>
  <xdr:twoCellAnchor>
    <xdr:from>
      <xdr:col>11</xdr:col>
      <xdr:colOff>704850</xdr:colOff>
      <xdr:row>25</xdr:row>
      <xdr:rowOff>142875</xdr:rowOff>
    </xdr:from>
    <xdr:to>
      <xdr:col>15</xdr:col>
      <xdr:colOff>628650</xdr:colOff>
      <xdr:row>39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21B01A9-9861-4E26-844D-C95F84660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333375</xdr:colOff>
      <xdr:row>27</xdr:row>
      <xdr:rowOff>0</xdr:rowOff>
    </xdr:from>
    <xdr:to>
      <xdr:col>11</xdr:col>
      <xdr:colOff>523875</xdr:colOff>
      <xdr:row>43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FE24D068-BBE2-4B10-AA27-DC87A1CE90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5524500"/>
              <a:ext cx="3524250" cy="3171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16</xdr:col>
      <xdr:colOff>38099</xdr:colOff>
      <xdr:row>1</xdr:row>
      <xdr:rowOff>19049</xdr:rowOff>
    </xdr:from>
    <xdr:to>
      <xdr:col>20</xdr:col>
      <xdr:colOff>400050</xdr:colOff>
      <xdr:row>6</xdr:row>
      <xdr:rowOff>47624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D037DCE-207A-4088-936D-53C416083F1B}"/>
            </a:ext>
          </a:extLst>
        </xdr:cNvPr>
        <xdr:cNvSpPr txBox="1"/>
      </xdr:nvSpPr>
      <xdr:spPr>
        <a:xfrm>
          <a:off x="13468349" y="590549"/>
          <a:ext cx="3409951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c) Aca se ve una relacion entre cables, distancia hasta rectificadores y bancos a instalar.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metros de cables necesarios se ve perfectamente que tiene una relacion directa con la cantidad de bancos a instalar,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tipo Cables = distancia * bancos</a:t>
          </a:r>
          <a:endParaRPr lang="es-ES" sz="1100"/>
        </a:p>
      </xdr:txBody>
    </xdr:sp>
    <xdr:clientData/>
  </xdr:twoCellAnchor>
  <xdr:twoCellAnchor>
    <xdr:from>
      <xdr:col>16</xdr:col>
      <xdr:colOff>200025</xdr:colOff>
      <xdr:row>9</xdr:row>
      <xdr:rowOff>180975</xdr:rowOff>
    </xdr:from>
    <xdr:to>
      <xdr:col>22</xdr:col>
      <xdr:colOff>200025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8E046848-6F68-4FEE-9D60-2AACD00A15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30275" y="2276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228600</xdr:colOff>
      <xdr:row>9</xdr:row>
      <xdr:rowOff>123825</xdr:rowOff>
    </xdr:from>
    <xdr:to>
      <xdr:col>27</xdr:col>
      <xdr:colOff>571500</xdr:colOff>
      <xdr:row>16</xdr:row>
      <xdr:rowOff>76200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8C96112-C0E8-412B-B26B-6C0A7F0E2846}"/>
            </a:ext>
          </a:extLst>
        </xdr:cNvPr>
        <xdr:cNvSpPr txBox="1"/>
      </xdr:nvSpPr>
      <xdr:spPr>
        <a:xfrm>
          <a:off x="18992850" y="2219325"/>
          <a:ext cx="339090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Aca OJO, no considere que hubiera una relacion entre tipo de obra y distancia a rectificador (mediante caja y bigote o de intervalos si es en papel veo si se solapan intervalos o no) . S</a:t>
          </a:r>
          <a:r>
            <a:rPr lang="es-ES" sz="1100" baseline="0"/>
            <a:t>I SE SOLAPAN MUCHO ENTRE TIPO DE OBRA QUIERE DECIR QUE NO HAY RELACION!</a:t>
          </a:r>
        </a:p>
        <a:p>
          <a:endParaRPr lang="es-ES" sz="1100"/>
        </a:p>
      </xdr:txBody>
    </xdr:sp>
    <xdr:clientData/>
  </xdr:twoCellAnchor>
  <xdr:twoCellAnchor>
    <xdr:from>
      <xdr:col>23</xdr:col>
      <xdr:colOff>114300</xdr:colOff>
      <xdr:row>18</xdr:row>
      <xdr:rowOff>76200</xdr:rowOff>
    </xdr:from>
    <xdr:to>
      <xdr:col>28</xdr:col>
      <xdr:colOff>228600</xdr:colOff>
      <xdr:row>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F919F834-B597-4D81-8B01-8567F411A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78550" y="3886200"/>
              <a:ext cx="3924300" cy="2162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" refreshedDate="43716.547350231478" createdVersion="6" refreshedVersion="6" minRefreshableVersion="3" recordCount="30" xr:uid="{39947634-8487-4197-9573-100DD2106213}">
  <cacheSource type="worksheet">
    <worksheetSource ref="B1:F31" sheet="1.11. ENERGIZAR S.A."/>
  </cacheSource>
  <cacheFields count="5">
    <cacheField name="Tipo de obra" numFmtId="0">
      <sharedItems count="3">
        <s v="Ampliación"/>
        <s v="Reemplazo"/>
        <s v="Obra Nueva"/>
      </sharedItems>
    </cacheField>
    <cacheField name="Bancos existentes en sitio" numFmtId="0">
      <sharedItems containsMixedTypes="1" containsNumber="1" containsInteger="1" minValue="1" maxValue="3"/>
    </cacheField>
    <cacheField name="Bancos  instalar" numFmtId="0">
      <sharedItems containsSemiMixedTypes="0" containsString="0" containsNumber="1" containsInteger="1" minValue="1" maxValue="3"/>
    </cacheField>
    <cacheField name="Distancia a rectificadores (metros)" numFmtId="0">
      <sharedItems containsSemiMixedTypes="0" containsString="0" containsNumber="1" containsInteger="1" minValue="20" maxValue="30"/>
    </cacheField>
    <cacheField name="Cables (metros)" numFmtId="0">
      <sharedItems containsSemiMixedTypes="0" containsString="0" containsNumber="1" containsInteger="1" minValue="20" maxValue="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1"/>
    <n v="1"/>
    <n v="28"/>
    <n v="28"/>
  </r>
  <r>
    <x v="1"/>
    <n v="2"/>
    <n v="2"/>
    <n v="24"/>
    <n v="48"/>
  </r>
  <r>
    <x v="1"/>
    <n v="3"/>
    <n v="3"/>
    <n v="21"/>
    <n v="63"/>
  </r>
  <r>
    <x v="0"/>
    <n v="1"/>
    <n v="1"/>
    <n v="23"/>
    <n v="23"/>
  </r>
  <r>
    <x v="2"/>
    <s v="-"/>
    <n v="1"/>
    <n v="26"/>
    <n v="26"/>
  </r>
  <r>
    <x v="2"/>
    <s v="-"/>
    <n v="1"/>
    <n v="22"/>
    <n v="22"/>
  </r>
  <r>
    <x v="1"/>
    <n v="3"/>
    <n v="3"/>
    <n v="23"/>
    <n v="69"/>
  </r>
  <r>
    <x v="0"/>
    <n v="1"/>
    <n v="1"/>
    <n v="29"/>
    <n v="29"/>
  </r>
  <r>
    <x v="0"/>
    <n v="1"/>
    <n v="1"/>
    <n v="24"/>
    <n v="24"/>
  </r>
  <r>
    <x v="2"/>
    <s v="-"/>
    <n v="1"/>
    <n v="24"/>
    <n v="24"/>
  </r>
  <r>
    <x v="1"/>
    <n v="2"/>
    <n v="2"/>
    <n v="26"/>
    <n v="52"/>
  </r>
  <r>
    <x v="1"/>
    <n v="3"/>
    <n v="3"/>
    <n v="22"/>
    <n v="66"/>
  </r>
  <r>
    <x v="1"/>
    <n v="1"/>
    <n v="1"/>
    <n v="23"/>
    <n v="23"/>
  </r>
  <r>
    <x v="1"/>
    <n v="3"/>
    <n v="3"/>
    <n v="21"/>
    <n v="63"/>
  </r>
  <r>
    <x v="2"/>
    <s v="-"/>
    <n v="1"/>
    <n v="20"/>
    <n v="20"/>
  </r>
  <r>
    <x v="1"/>
    <n v="2"/>
    <n v="2"/>
    <n v="29"/>
    <n v="58"/>
  </r>
  <r>
    <x v="0"/>
    <n v="1"/>
    <n v="1"/>
    <n v="30"/>
    <n v="30"/>
  </r>
  <r>
    <x v="2"/>
    <s v="-"/>
    <n v="1"/>
    <n v="27"/>
    <n v="27"/>
  </r>
  <r>
    <x v="2"/>
    <s v="-"/>
    <n v="1"/>
    <n v="29"/>
    <n v="29"/>
  </r>
  <r>
    <x v="2"/>
    <s v="-"/>
    <n v="1"/>
    <n v="29"/>
    <n v="29"/>
  </r>
  <r>
    <x v="1"/>
    <n v="1"/>
    <n v="1"/>
    <n v="25"/>
    <n v="25"/>
  </r>
  <r>
    <x v="1"/>
    <n v="2"/>
    <n v="2"/>
    <n v="27"/>
    <n v="54"/>
  </r>
  <r>
    <x v="1"/>
    <n v="2"/>
    <n v="2"/>
    <n v="22"/>
    <n v="44"/>
  </r>
  <r>
    <x v="1"/>
    <n v="2"/>
    <n v="2"/>
    <n v="29"/>
    <n v="58"/>
  </r>
  <r>
    <x v="1"/>
    <n v="3"/>
    <n v="3"/>
    <n v="22"/>
    <n v="66"/>
  </r>
  <r>
    <x v="1"/>
    <n v="2"/>
    <n v="2"/>
    <n v="28"/>
    <n v="56"/>
  </r>
  <r>
    <x v="2"/>
    <s v="-"/>
    <n v="1"/>
    <n v="27"/>
    <n v="27"/>
  </r>
  <r>
    <x v="2"/>
    <s v="-"/>
    <n v="1"/>
    <n v="27"/>
    <n v="27"/>
  </r>
  <r>
    <x v="2"/>
    <s v="-"/>
    <n v="1"/>
    <n v="24"/>
    <n v="24"/>
  </r>
  <r>
    <x v="1"/>
    <n v="2"/>
    <n v="2"/>
    <n v="21"/>
    <n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59F47-CB58-4740-B3BC-BDDF6BFD17DF}" name="TablaDinámica5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4">
  <location ref="H9:I12" firstHeaderRow="1" firstDataRow="1" firstDataCol="1"/>
  <pivotFields count="5">
    <pivotField axis="axisRow" dataField="1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Frecuencia"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opLeftCell="E1" workbookViewId="0">
      <selection activeCell="S40" sqref="S40"/>
    </sheetView>
  </sheetViews>
  <sheetFormatPr baseColWidth="10" defaultColWidth="9.140625" defaultRowHeight="15" x14ac:dyDescent="0.25"/>
  <cols>
    <col min="1" max="1" width="14.5703125" bestFit="1" customWidth="1"/>
    <col min="2" max="2" width="10.28515625" bestFit="1" customWidth="1"/>
    <col min="3" max="3" width="10.5703125" customWidth="1"/>
    <col min="4" max="4" width="14.5703125" bestFit="1" customWidth="1"/>
    <col min="9" max="9" width="9.7109375" bestFit="1" customWidth="1"/>
    <col min="10" max="10" width="14.5703125" bestFit="1" customWidth="1"/>
    <col min="14" max="14" width="12" bestFit="1" customWidth="1"/>
    <col min="15" max="15" width="10.85546875" bestFit="1" customWidth="1"/>
    <col min="22" max="22" width="10.28515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8</v>
      </c>
      <c r="P1" t="s">
        <v>15</v>
      </c>
    </row>
    <row r="2" spans="1:21" ht="15.75" x14ac:dyDescent="0.25">
      <c r="A2">
        <v>1</v>
      </c>
      <c r="B2">
        <v>3</v>
      </c>
      <c r="C2" s="1">
        <v>39359</v>
      </c>
      <c r="D2" t="s">
        <v>5</v>
      </c>
      <c r="E2">
        <v>43</v>
      </c>
      <c r="G2" t="s">
        <v>9</v>
      </c>
      <c r="H2" t="s">
        <v>20</v>
      </c>
      <c r="P2" t="s">
        <v>16</v>
      </c>
    </row>
    <row r="3" spans="1:21" ht="15.75" x14ac:dyDescent="0.25">
      <c r="A3">
        <v>2</v>
      </c>
      <c r="B3">
        <v>6</v>
      </c>
      <c r="C3" s="1">
        <v>39362</v>
      </c>
      <c r="D3" t="s">
        <v>5</v>
      </c>
      <c r="E3">
        <v>52</v>
      </c>
      <c r="H3" t="s">
        <v>21</v>
      </c>
      <c r="P3" t="s">
        <v>17</v>
      </c>
    </row>
    <row r="4" spans="1:21" x14ac:dyDescent="0.25">
      <c r="A4">
        <v>3</v>
      </c>
      <c r="B4">
        <v>7</v>
      </c>
      <c r="C4" s="1">
        <v>39363</v>
      </c>
      <c r="D4" t="s">
        <v>6</v>
      </c>
      <c r="E4">
        <v>147</v>
      </c>
      <c r="G4" t="s">
        <v>10</v>
      </c>
      <c r="H4" t="s">
        <v>11</v>
      </c>
      <c r="P4" t="s">
        <v>18</v>
      </c>
    </row>
    <row r="5" spans="1:21" x14ac:dyDescent="0.25">
      <c r="A5">
        <v>4</v>
      </c>
      <c r="B5">
        <v>8</v>
      </c>
      <c r="C5" s="1">
        <v>39364</v>
      </c>
      <c r="D5" t="s">
        <v>5</v>
      </c>
      <c r="E5">
        <v>46</v>
      </c>
      <c r="H5" t="s">
        <v>12</v>
      </c>
    </row>
    <row r="6" spans="1:21" x14ac:dyDescent="0.25">
      <c r="A6">
        <v>5</v>
      </c>
      <c r="B6">
        <v>10</v>
      </c>
      <c r="C6" s="1">
        <v>39366</v>
      </c>
      <c r="D6" t="s">
        <v>5</v>
      </c>
      <c r="E6">
        <v>50</v>
      </c>
      <c r="H6" t="s">
        <v>13</v>
      </c>
    </row>
    <row r="7" spans="1:21" x14ac:dyDescent="0.25">
      <c r="A7">
        <v>6</v>
      </c>
      <c r="B7">
        <v>12</v>
      </c>
      <c r="C7" s="1">
        <v>39368</v>
      </c>
      <c r="D7" t="s">
        <v>5</v>
      </c>
      <c r="E7">
        <v>47</v>
      </c>
      <c r="H7" t="s">
        <v>14</v>
      </c>
    </row>
    <row r="8" spans="1:21" x14ac:dyDescent="0.25">
      <c r="A8">
        <v>7</v>
      </c>
      <c r="B8">
        <v>13</v>
      </c>
      <c r="C8" s="1">
        <v>39369</v>
      </c>
      <c r="D8" t="s">
        <v>7</v>
      </c>
      <c r="E8">
        <v>26</v>
      </c>
    </row>
    <row r="9" spans="1:21" x14ac:dyDescent="0.25">
      <c r="A9">
        <v>8</v>
      </c>
      <c r="B9">
        <v>14</v>
      </c>
      <c r="C9" s="1">
        <v>39370</v>
      </c>
      <c r="D9" t="s">
        <v>5</v>
      </c>
      <c r="E9">
        <v>44</v>
      </c>
      <c r="G9" t="s">
        <v>19</v>
      </c>
    </row>
    <row r="10" spans="1:21" x14ac:dyDescent="0.25">
      <c r="A10">
        <v>9</v>
      </c>
      <c r="B10">
        <v>15</v>
      </c>
      <c r="C10" s="1">
        <v>39371</v>
      </c>
      <c r="D10" t="s">
        <v>5</v>
      </c>
      <c r="E10">
        <v>48</v>
      </c>
    </row>
    <row r="11" spans="1:21" x14ac:dyDescent="0.25">
      <c r="A11">
        <v>10</v>
      </c>
      <c r="B11">
        <v>19</v>
      </c>
      <c r="C11" s="1">
        <v>39375</v>
      </c>
      <c r="D11" t="s">
        <v>5</v>
      </c>
      <c r="E11">
        <v>51</v>
      </c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21" x14ac:dyDescent="0.25">
      <c r="A12">
        <v>11</v>
      </c>
      <c r="B12">
        <v>22</v>
      </c>
      <c r="C12" s="1">
        <v>39378</v>
      </c>
      <c r="D12" t="s">
        <v>5</v>
      </c>
      <c r="E12">
        <v>49</v>
      </c>
      <c r="G12">
        <v>3</v>
      </c>
      <c r="H12">
        <v>7</v>
      </c>
      <c r="I12" s="1">
        <v>39363</v>
      </c>
      <c r="J12" t="s">
        <v>6</v>
      </c>
      <c r="K12">
        <v>147</v>
      </c>
    </row>
    <row r="13" spans="1:21" x14ac:dyDescent="0.25">
      <c r="A13">
        <v>12</v>
      </c>
      <c r="B13">
        <v>25</v>
      </c>
      <c r="C13" s="1">
        <v>39381</v>
      </c>
      <c r="D13" t="s">
        <v>6</v>
      </c>
      <c r="E13">
        <v>141</v>
      </c>
      <c r="G13">
        <v>12</v>
      </c>
      <c r="H13">
        <v>25</v>
      </c>
      <c r="I13" s="1">
        <v>39381</v>
      </c>
      <c r="J13" t="s">
        <v>6</v>
      </c>
      <c r="K13">
        <v>141</v>
      </c>
      <c r="S13" s="58" t="s">
        <v>29</v>
      </c>
      <c r="T13" s="58"/>
      <c r="U13" s="58"/>
    </row>
    <row r="14" spans="1:21" x14ac:dyDescent="0.25">
      <c r="A14">
        <v>13</v>
      </c>
      <c r="B14">
        <v>26</v>
      </c>
      <c r="C14" s="1">
        <v>39382</v>
      </c>
      <c r="D14" t="s">
        <v>7</v>
      </c>
      <c r="E14">
        <v>15</v>
      </c>
      <c r="G14">
        <v>15</v>
      </c>
      <c r="H14">
        <v>30</v>
      </c>
      <c r="I14" s="1">
        <v>39386</v>
      </c>
      <c r="J14" t="s">
        <v>6</v>
      </c>
      <c r="K14">
        <v>134</v>
      </c>
      <c r="S14" s="59" t="s">
        <v>34</v>
      </c>
      <c r="T14" s="59"/>
      <c r="U14" s="59"/>
    </row>
    <row r="15" spans="1:21" x14ac:dyDescent="0.25">
      <c r="A15">
        <v>14</v>
      </c>
      <c r="B15">
        <v>28</v>
      </c>
      <c r="C15" s="1">
        <v>39384</v>
      </c>
      <c r="D15" t="s">
        <v>5</v>
      </c>
      <c r="E15">
        <v>54</v>
      </c>
      <c r="G15">
        <v>17</v>
      </c>
      <c r="H15">
        <v>33</v>
      </c>
      <c r="I15" s="1">
        <v>39389</v>
      </c>
      <c r="J15" t="s">
        <v>6</v>
      </c>
      <c r="K15">
        <v>130</v>
      </c>
    </row>
    <row r="16" spans="1:21" x14ac:dyDescent="0.25">
      <c r="A16">
        <v>15</v>
      </c>
      <c r="B16">
        <v>30</v>
      </c>
      <c r="C16" s="1">
        <v>39386</v>
      </c>
      <c r="D16" t="s">
        <v>6</v>
      </c>
      <c r="E16">
        <v>134</v>
      </c>
      <c r="G16">
        <v>19</v>
      </c>
      <c r="H16">
        <v>36</v>
      </c>
      <c r="I16" s="1">
        <v>39392</v>
      </c>
      <c r="J16" t="s">
        <v>6</v>
      </c>
      <c r="K16">
        <v>161</v>
      </c>
      <c r="S16" t="s">
        <v>30</v>
      </c>
      <c r="T16">
        <f>MIN(K12:K23)</f>
        <v>111</v>
      </c>
    </row>
    <row r="17" spans="1:22" x14ac:dyDescent="0.25">
      <c r="A17">
        <v>16</v>
      </c>
      <c r="B17">
        <v>32</v>
      </c>
      <c r="C17" s="1">
        <v>39388</v>
      </c>
      <c r="D17" t="s">
        <v>5</v>
      </c>
      <c r="E17">
        <v>47</v>
      </c>
      <c r="G17">
        <v>21</v>
      </c>
      <c r="H17">
        <v>42</v>
      </c>
      <c r="I17" s="1">
        <v>39398</v>
      </c>
      <c r="J17" t="s">
        <v>6</v>
      </c>
      <c r="K17">
        <v>152</v>
      </c>
      <c r="S17" t="s">
        <v>31</v>
      </c>
      <c r="T17">
        <f>MAX(K12:K23)</f>
        <v>161</v>
      </c>
    </row>
    <row r="18" spans="1:22" x14ac:dyDescent="0.25">
      <c r="A18">
        <v>17</v>
      </c>
      <c r="B18">
        <v>33</v>
      </c>
      <c r="C18" s="1">
        <v>39389</v>
      </c>
      <c r="D18" t="s">
        <v>6</v>
      </c>
      <c r="E18">
        <v>130</v>
      </c>
      <c r="G18">
        <v>24</v>
      </c>
      <c r="H18">
        <v>52</v>
      </c>
      <c r="I18" s="1">
        <v>39408</v>
      </c>
      <c r="J18" t="s">
        <v>6</v>
      </c>
      <c r="K18">
        <v>133</v>
      </c>
      <c r="S18" t="s">
        <v>32</v>
      </c>
      <c r="T18">
        <f>AVERAGE(K12:K23)</f>
        <v>139.5</v>
      </c>
      <c r="V18" s="8" t="s">
        <v>41</v>
      </c>
    </row>
    <row r="19" spans="1:22" x14ac:dyDescent="0.25">
      <c r="A19">
        <v>18</v>
      </c>
      <c r="B19">
        <v>35</v>
      </c>
      <c r="C19" s="1">
        <v>39391</v>
      </c>
      <c r="D19" t="s">
        <v>5</v>
      </c>
      <c r="E19">
        <v>45</v>
      </c>
      <c r="G19">
        <v>26</v>
      </c>
      <c r="H19">
        <v>55</v>
      </c>
      <c r="I19" s="1">
        <v>39411</v>
      </c>
      <c r="J19" t="s">
        <v>6</v>
      </c>
      <c r="K19">
        <v>111</v>
      </c>
      <c r="V19" t="s">
        <v>42</v>
      </c>
    </row>
    <row r="20" spans="1:22" x14ac:dyDescent="0.25">
      <c r="A20">
        <v>19</v>
      </c>
      <c r="B20">
        <v>36</v>
      </c>
      <c r="C20" s="1">
        <v>39392</v>
      </c>
      <c r="D20" t="s">
        <v>6</v>
      </c>
      <c r="E20">
        <v>161</v>
      </c>
      <c r="G20">
        <v>29</v>
      </c>
      <c r="H20">
        <v>63</v>
      </c>
      <c r="I20" s="1">
        <v>39419</v>
      </c>
      <c r="J20" t="s">
        <v>6</v>
      </c>
      <c r="K20">
        <v>140</v>
      </c>
    </row>
    <row r="21" spans="1:22" x14ac:dyDescent="0.25">
      <c r="A21">
        <v>20</v>
      </c>
      <c r="B21">
        <v>39</v>
      </c>
      <c r="C21" s="1">
        <v>39395</v>
      </c>
      <c r="D21" t="s">
        <v>5</v>
      </c>
      <c r="E21">
        <v>57</v>
      </c>
      <c r="G21">
        <v>34</v>
      </c>
      <c r="H21">
        <v>79</v>
      </c>
      <c r="I21" s="1">
        <v>39435</v>
      </c>
      <c r="J21" t="s">
        <v>6</v>
      </c>
      <c r="K21">
        <v>125</v>
      </c>
    </row>
    <row r="22" spans="1:22" x14ac:dyDescent="0.25">
      <c r="A22">
        <v>21</v>
      </c>
      <c r="B22">
        <v>42</v>
      </c>
      <c r="C22" s="1">
        <v>39398</v>
      </c>
      <c r="D22" t="s">
        <v>6</v>
      </c>
      <c r="E22">
        <v>152</v>
      </c>
      <c r="G22">
        <v>37</v>
      </c>
      <c r="H22">
        <v>82</v>
      </c>
      <c r="I22" s="1">
        <v>39438</v>
      </c>
      <c r="J22" t="s">
        <v>6</v>
      </c>
      <c r="K22">
        <v>156</v>
      </c>
    </row>
    <row r="23" spans="1:22" x14ac:dyDescent="0.25">
      <c r="A23">
        <v>22</v>
      </c>
      <c r="B23">
        <v>47</v>
      </c>
      <c r="C23" s="1">
        <v>39403</v>
      </c>
      <c r="D23" t="s">
        <v>7</v>
      </c>
      <c r="E23">
        <v>28</v>
      </c>
      <c r="G23">
        <v>38</v>
      </c>
      <c r="H23">
        <v>92</v>
      </c>
      <c r="I23" s="1">
        <v>39448</v>
      </c>
      <c r="J23" t="s">
        <v>6</v>
      </c>
      <c r="K23">
        <v>144</v>
      </c>
    </row>
    <row r="24" spans="1:22" x14ac:dyDescent="0.25">
      <c r="A24">
        <v>23</v>
      </c>
      <c r="B24">
        <v>48</v>
      </c>
      <c r="C24" s="1">
        <v>39404</v>
      </c>
      <c r="D24" t="s">
        <v>5</v>
      </c>
      <c r="E24">
        <v>44</v>
      </c>
    </row>
    <row r="25" spans="1:22" x14ac:dyDescent="0.25">
      <c r="A25">
        <v>24</v>
      </c>
      <c r="B25">
        <v>52</v>
      </c>
      <c r="C25" s="1">
        <v>39408</v>
      </c>
      <c r="D25" t="s">
        <v>6</v>
      </c>
      <c r="E25">
        <v>133</v>
      </c>
      <c r="G25" s="2" t="s">
        <v>0</v>
      </c>
      <c r="H25" s="2" t="s">
        <v>1</v>
      </c>
      <c r="I25" s="2" t="s">
        <v>2</v>
      </c>
      <c r="J25" s="2" t="s">
        <v>3</v>
      </c>
      <c r="K25" s="2" t="s">
        <v>4</v>
      </c>
      <c r="R25" s="58" t="s">
        <v>29</v>
      </c>
      <c r="S25" s="58"/>
      <c r="T25" s="58"/>
    </row>
    <row r="26" spans="1:22" x14ac:dyDescent="0.25">
      <c r="A26">
        <v>25</v>
      </c>
      <c r="B26">
        <v>54</v>
      </c>
      <c r="C26" s="1">
        <v>39410</v>
      </c>
      <c r="D26" t="s">
        <v>5</v>
      </c>
      <c r="E26">
        <v>47</v>
      </c>
      <c r="G26">
        <v>7</v>
      </c>
      <c r="H26">
        <v>13</v>
      </c>
      <c r="I26" s="1">
        <v>39369</v>
      </c>
      <c r="J26" t="s">
        <v>7</v>
      </c>
      <c r="K26">
        <v>26</v>
      </c>
      <c r="R26" s="59" t="s">
        <v>35</v>
      </c>
      <c r="S26" s="59"/>
      <c r="T26" s="59"/>
    </row>
    <row r="27" spans="1:22" x14ac:dyDescent="0.25">
      <c r="A27">
        <v>26</v>
      </c>
      <c r="B27">
        <v>55</v>
      </c>
      <c r="C27" s="1">
        <v>39411</v>
      </c>
      <c r="D27" t="s">
        <v>6</v>
      </c>
      <c r="E27">
        <v>111</v>
      </c>
      <c r="G27">
        <v>13</v>
      </c>
      <c r="H27">
        <v>26</v>
      </c>
      <c r="I27" s="1">
        <v>39382</v>
      </c>
      <c r="J27" t="s">
        <v>7</v>
      </c>
      <c r="K27">
        <v>15</v>
      </c>
    </row>
    <row r="28" spans="1:22" x14ac:dyDescent="0.25">
      <c r="A28">
        <v>27</v>
      </c>
      <c r="B28">
        <v>58</v>
      </c>
      <c r="C28" s="1">
        <v>39414</v>
      </c>
      <c r="D28" t="s">
        <v>5</v>
      </c>
      <c r="E28">
        <v>56</v>
      </c>
      <c r="G28">
        <v>22</v>
      </c>
      <c r="H28">
        <v>47</v>
      </c>
      <c r="I28" s="1">
        <v>39403</v>
      </c>
      <c r="J28" t="s">
        <v>7</v>
      </c>
      <c r="K28">
        <v>28</v>
      </c>
      <c r="R28" t="s">
        <v>30</v>
      </c>
      <c r="S28">
        <v>15</v>
      </c>
    </row>
    <row r="29" spans="1:22" x14ac:dyDescent="0.25">
      <c r="A29">
        <v>28</v>
      </c>
      <c r="B29">
        <v>61</v>
      </c>
      <c r="C29" s="1">
        <v>39417</v>
      </c>
      <c r="D29" t="s">
        <v>5</v>
      </c>
      <c r="E29">
        <v>49</v>
      </c>
      <c r="G29">
        <v>40</v>
      </c>
      <c r="H29">
        <v>97</v>
      </c>
      <c r="I29" s="1">
        <v>39453</v>
      </c>
      <c r="J29" t="s">
        <v>7</v>
      </c>
      <c r="K29">
        <v>18</v>
      </c>
      <c r="R29" t="s">
        <v>31</v>
      </c>
      <c r="S29">
        <v>28</v>
      </c>
    </row>
    <row r="30" spans="1:22" x14ac:dyDescent="0.25">
      <c r="A30">
        <v>29</v>
      </c>
      <c r="B30">
        <v>63</v>
      </c>
      <c r="C30" s="1">
        <v>39419</v>
      </c>
      <c r="D30" t="s">
        <v>6</v>
      </c>
      <c r="E30">
        <v>140</v>
      </c>
    </row>
    <row r="31" spans="1:22" x14ac:dyDescent="0.25">
      <c r="A31">
        <v>30</v>
      </c>
      <c r="B31">
        <v>68</v>
      </c>
      <c r="C31" s="1">
        <v>39424</v>
      </c>
      <c r="D31" t="s">
        <v>5</v>
      </c>
      <c r="E31">
        <v>52</v>
      </c>
      <c r="G31" s="2" t="s">
        <v>0</v>
      </c>
      <c r="H31" s="2" t="s">
        <v>1</v>
      </c>
      <c r="I31" s="2" t="s">
        <v>2</v>
      </c>
      <c r="J31" s="2" t="s">
        <v>3</v>
      </c>
      <c r="K31" s="2" t="s">
        <v>4</v>
      </c>
    </row>
    <row r="32" spans="1:22" x14ac:dyDescent="0.25">
      <c r="A32">
        <v>31</v>
      </c>
      <c r="B32">
        <v>72</v>
      </c>
      <c r="C32" s="1">
        <v>39428</v>
      </c>
      <c r="D32" t="s">
        <v>5</v>
      </c>
      <c r="E32">
        <v>55</v>
      </c>
      <c r="G32">
        <v>1</v>
      </c>
      <c r="H32">
        <v>3</v>
      </c>
      <c r="I32" s="1">
        <v>39359</v>
      </c>
      <c r="J32" t="s">
        <v>5</v>
      </c>
      <c r="K32">
        <v>43</v>
      </c>
    </row>
    <row r="33" spans="1:21" x14ac:dyDescent="0.25">
      <c r="A33">
        <v>32</v>
      </c>
      <c r="B33">
        <v>74</v>
      </c>
      <c r="C33" s="1">
        <v>39430</v>
      </c>
      <c r="D33" t="s">
        <v>5</v>
      </c>
      <c r="E33">
        <v>49</v>
      </c>
      <c r="G33">
        <v>2</v>
      </c>
      <c r="H33">
        <v>6</v>
      </c>
      <c r="I33" s="1">
        <v>39362</v>
      </c>
      <c r="J33" t="s">
        <v>5</v>
      </c>
      <c r="K33">
        <v>52</v>
      </c>
    </row>
    <row r="34" spans="1:21" x14ac:dyDescent="0.25">
      <c r="A34">
        <v>33</v>
      </c>
      <c r="B34">
        <v>77</v>
      </c>
      <c r="C34" s="1">
        <v>39433</v>
      </c>
      <c r="D34" t="s">
        <v>5</v>
      </c>
      <c r="E34">
        <v>50</v>
      </c>
      <c r="G34">
        <v>4</v>
      </c>
      <c r="H34">
        <v>8</v>
      </c>
      <c r="I34" s="1">
        <v>39364</v>
      </c>
      <c r="J34" t="s">
        <v>5</v>
      </c>
      <c r="K34">
        <v>46</v>
      </c>
    </row>
    <row r="35" spans="1:21" x14ac:dyDescent="0.25">
      <c r="A35">
        <v>34</v>
      </c>
      <c r="B35">
        <v>79</v>
      </c>
      <c r="C35" s="1">
        <v>39435</v>
      </c>
      <c r="D35" t="s">
        <v>6</v>
      </c>
      <c r="E35">
        <v>125</v>
      </c>
      <c r="G35">
        <v>5</v>
      </c>
      <c r="H35">
        <v>10</v>
      </c>
      <c r="I35" s="1">
        <v>39366</v>
      </c>
      <c r="J35" t="s">
        <v>5</v>
      </c>
      <c r="K35">
        <v>50</v>
      </c>
    </row>
    <row r="36" spans="1:21" x14ac:dyDescent="0.25">
      <c r="A36">
        <v>35</v>
      </c>
      <c r="B36">
        <v>80</v>
      </c>
      <c r="C36" s="1">
        <v>39436</v>
      </c>
      <c r="D36" t="s">
        <v>5</v>
      </c>
      <c r="E36">
        <v>49</v>
      </c>
      <c r="G36">
        <v>6</v>
      </c>
      <c r="H36">
        <v>12</v>
      </c>
      <c r="I36" s="1">
        <v>39368</v>
      </c>
      <c r="J36" t="s">
        <v>5</v>
      </c>
      <c r="K36">
        <v>47</v>
      </c>
    </row>
    <row r="37" spans="1:21" x14ac:dyDescent="0.25">
      <c r="A37">
        <v>36</v>
      </c>
      <c r="B37">
        <v>81</v>
      </c>
      <c r="C37" s="1">
        <v>39437</v>
      </c>
      <c r="D37" t="s">
        <v>5</v>
      </c>
      <c r="E37">
        <v>46</v>
      </c>
      <c r="G37">
        <v>8</v>
      </c>
      <c r="H37">
        <v>14</v>
      </c>
      <c r="I37" s="1">
        <v>39370</v>
      </c>
      <c r="J37" t="s">
        <v>5</v>
      </c>
      <c r="K37">
        <v>44</v>
      </c>
    </row>
    <row r="38" spans="1:21" x14ac:dyDescent="0.25">
      <c r="A38">
        <v>37</v>
      </c>
      <c r="B38">
        <v>82</v>
      </c>
      <c r="C38" s="1">
        <v>39438</v>
      </c>
      <c r="D38" t="s">
        <v>6</v>
      </c>
      <c r="E38">
        <v>156</v>
      </c>
      <c r="G38">
        <v>9</v>
      </c>
      <c r="H38">
        <v>15</v>
      </c>
      <c r="I38" s="1">
        <v>39371</v>
      </c>
      <c r="J38" t="s">
        <v>5</v>
      </c>
      <c r="K38">
        <v>48</v>
      </c>
      <c r="S38" s="58" t="s">
        <v>29</v>
      </c>
      <c r="T38" s="58"/>
      <c r="U38" s="58"/>
    </row>
    <row r="39" spans="1:21" x14ac:dyDescent="0.25">
      <c r="A39">
        <v>38</v>
      </c>
      <c r="B39">
        <v>92</v>
      </c>
      <c r="C39" s="1">
        <v>39448</v>
      </c>
      <c r="D39" t="s">
        <v>6</v>
      </c>
      <c r="E39">
        <v>144</v>
      </c>
      <c r="G39">
        <v>10</v>
      </c>
      <c r="H39">
        <v>19</v>
      </c>
      <c r="I39" s="1">
        <v>39375</v>
      </c>
      <c r="J39" t="s">
        <v>5</v>
      </c>
      <c r="K39">
        <v>51</v>
      </c>
      <c r="S39" s="55" t="s">
        <v>43</v>
      </c>
      <c r="T39" s="56"/>
      <c r="U39" s="57"/>
    </row>
    <row r="40" spans="1:21" x14ac:dyDescent="0.25">
      <c r="A40">
        <v>39</v>
      </c>
      <c r="B40">
        <v>93</v>
      </c>
      <c r="C40" s="1">
        <v>39449</v>
      </c>
      <c r="D40" t="s">
        <v>5</v>
      </c>
      <c r="E40">
        <v>48</v>
      </c>
      <c r="G40">
        <v>11</v>
      </c>
      <c r="H40">
        <v>22</v>
      </c>
      <c r="I40" s="1">
        <v>39378</v>
      </c>
      <c r="J40" t="s">
        <v>5</v>
      </c>
      <c r="K40">
        <v>49</v>
      </c>
    </row>
    <row r="41" spans="1:21" x14ac:dyDescent="0.25">
      <c r="A41">
        <v>40</v>
      </c>
      <c r="B41">
        <v>97</v>
      </c>
      <c r="C41" s="1">
        <v>39453</v>
      </c>
      <c r="D41" t="s">
        <v>7</v>
      </c>
      <c r="E41">
        <v>18</v>
      </c>
      <c r="G41">
        <v>14</v>
      </c>
      <c r="H41">
        <v>28</v>
      </c>
      <c r="I41" s="1">
        <v>39384</v>
      </c>
      <c r="J41" t="s">
        <v>5</v>
      </c>
      <c r="K41">
        <v>54</v>
      </c>
      <c r="S41" t="s">
        <v>30</v>
      </c>
      <c r="T41">
        <f>MIN(K32:K55)</f>
        <v>43</v>
      </c>
    </row>
    <row r="42" spans="1:21" x14ac:dyDescent="0.25">
      <c r="G42">
        <v>16</v>
      </c>
      <c r="H42">
        <v>32</v>
      </c>
      <c r="I42" s="1">
        <v>39388</v>
      </c>
      <c r="J42" t="s">
        <v>5</v>
      </c>
      <c r="K42">
        <v>47</v>
      </c>
      <c r="S42" t="s">
        <v>31</v>
      </c>
      <c r="T42">
        <f t="array" ref="T42">MAX(K32:K55)</f>
        <v>57</v>
      </c>
    </row>
    <row r="43" spans="1:21" x14ac:dyDescent="0.25">
      <c r="A43" t="s">
        <v>22</v>
      </c>
      <c r="G43">
        <v>18</v>
      </c>
      <c r="H43">
        <v>35</v>
      </c>
      <c r="I43" s="1">
        <v>39391</v>
      </c>
      <c r="J43" t="s">
        <v>5</v>
      </c>
      <c r="K43">
        <v>45</v>
      </c>
      <c r="S43" t="s">
        <v>33</v>
      </c>
      <c r="T43">
        <f>AVERAGE(K32:K55)</f>
        <v>49.083333333333336</v>
      </c>
    </row>
    <row r="44" spans="1:21" x14ac:dyDescent="0.25">
      <c r="A44" t="s">
        <v>23</v>
      </c>
      <c r="B44" t="s">
        <v>24</v>
      </c>
      <c r="C44" t="s">
        <v>25</v>
      </c>
      <c r="G44">
        <v>20</v>
      </c>
      <c r="H44">
        <v>39</v>
      </c>
      <c r="I44" s="1">
        <v>39395</v>
      </c>
      <c r="J44" t="s">
        <v>5</v>
      </c>
      <c r="K44">
        <v>57</v>
      </c>
    </row>
    <row r="45" spans="1:21" ht="15.75" thickBot="1" x14ac:dyDescent="0.3">
      <c r="A45" t="s">
        <v>6</v>
      </c>
      <c r="B45">
        <f>COUNTIF($D$2:$D$41,A45)</f>
        <v>12</v>
      </c>
      <c r="C45" s="3">
        <f>B45/$A$41</f>
        <v>0.3</v>
      </c>
      <c r="G45">
        <v>23</v>
      </c>
      <c r="H45">
        <v>48</v>
      </c>
      <c r="I45" s="1">
        <v>39404</v>
      </c>
      <c r="J45" t="s">
        <v>5</v>
      </c>
      <c r="K45">
        <v>44</v>
      </c>
    </row>
    <row r="46" spans="1:21" x14ac:dyDescent="0.25">
      <c r="A46" t="s">
        <v>5</v>
      </c>
      <c r="B46">
        <f t="shared" ref="B46:B47" si="0">COUNTIF($D$2:$D$41,A46)</f>
        <v>24</v>
      </c>
      <c r="C46" s="3">
        <f t="shared" ref="C46:C47" si="1">B46/$A$41</f>
        <v>0.6</v>
      </c>
      <c r="G46">
        <v>25</v>
      </c>
      <c r="H46">
        <v>54</v>
      </c>
      <c r="I46" s="1">
        <v>39410</v>
      </c>
      <c r="J46" t="s">
        <v>5</v>
      </c>
      <c r="K46">
        <v>47</v>
      </c>
      <c r="N46" s="7" t="s">
        <v>26</v>
      </c>
      <c r="O46" s="7" t="s">
        <v>27</v>
      </c>
    </row>
    <row r="47" spans="1:21" x14ac:dyDescent="0.25">
      <c r="A47" t="s">
        <v>7</v>
      </c>
      <c r="B47">
        <f t="shared" si="0"/>
        <v>4</v>
      </c>
      <c r="C47" s="3">
        <f t="shared" si="1"/>
        <v>0.1</v>
      </c>
      <c r="G47">
        <v>27</v>
      </c>
      <c r="H47">
        <v>58</v>
      </c>
      <c r="I47" s="1">
        <v>39414</v>
      </c>
      <c r="J47" t="s">
        <v>5</v>
      </c>
      <c r="K47">
        <v>56</v>
      </c>
      <c r="N47" s="4">
        <v>47.666666666666664</v>
      </c>
      <c r="O47" s="5">
        <v>9</v>
      </c>
    </row>
    <row r="48" spans="1:21" x14ac:dyDescent="0.25">
      <c r="G48">
        <v>28</v>
      </c>
      <c r="H48">
        <v>61</v>
      </c>
      <c r="I48" s="1">
        <v>39417</v>
      </c>
      <c r="J48" t="s">
        <v>5</v>
      </c>
      <c r="K48">
        <v>49</v>
      </c>
      <c r="N48" s="4">
        <v>52.333333333333329</v>
      </c>
      <c r="O48" s="5">
        <v>11</v>
      </c>
    </row>
    <row r="49" spans="1:15" ht="15.75" thickBot="1" x14ac:dyDescent="0.3">
      <c r="G49">
        <v>30</v>
      </c>
      <c r="H49">
        <v>68</v>
      </c>
      <c r="I49" s="1">
        <v>39424</v>
      </c>
      <c r="J49" t="s">
        <v>5</v>
      </c>
      <c r="K49">
        <v>52</v>
      </c>
      <c r="N49" s="6">
        <v>57</v>
      </c>
      <c r="O49" s="6">
        <v>4</v>
      </c>
    </row>
    <row r="50" spans="1:15" x14ac:dyDescent="0.25">
      <c r="G50">
        <v>31</v>
      </c>
      <c r="H50">
        <v>72</v>
      </c>
      <c r="I50" s="1">
        <v>39428</v>
      </c>
      <c r="J50" t="s">
        <v>5</v>
      </c>
      <c r="K50">
        <v>55</v>
      </c>
    </row>
    <row r="51" spans="1:15" x14ac:dyDescent="0.25">
      <c r="G51">
        <v>32</v>
      </c>
      <c r="H51">
        <v>74</v>
      </c>
      <c r="I51" s="1">
        <v>39430</v>
      </c>
      <c r="J51" t="s">
        <v>5</v>
      </c>
      <c r="K51">
        <v>49</v>
      </c>
    </row>
    <row r="52" spans="1:15" x14ac:dyDescent="0.25">
      <c r="G52">
        <v>33</v>
      </c>
      <c r="H52">
        <v>77</v>
      </c>
      <c r="I52" s="1">
        <v>39433</v>
      </c>
      <c r="J52" t="s">
        <v>5</v>
      </c>
      <c r="K52">
        <v>50</v>
      </c>
    </row>
    <row r="53" spans="1:15" x14ac:dyDescent="0.25">
      <c r="G53">
        <v>35</v>
      </c>
      <c r="H53">
        <v>80</v>
      </c>
      <c r="I53" s="1">
        <v>39436</v>
      </c>
      <c r="J53" t="s">
        <v>5</v>
      </c>
      <c r="K53">
        <v>49</v>
      </c>
    </row>
    <row r="54" spans="1:15" x14ac:dyDescent="0.25">
      <c r="G54">
        <v>36</v>
      </c>
      <c r="H54">
        <v>81</v>
      </c>
      <c r="I54" s="1">
        <v>39437</v>
      </c>
      <c r="J54" t="s">
        <v>5</v>
      </c>
      <c r="K54">
        <v>46</v>
      </c>
    </row>
    <row r="55" spans="1:15" x14ac:dyDescent="0.25">
      <c r="G55">
        <v>39</v>
      </c>
      <c r="H55">
        <v>93</v>
      </c>
      <c r="I55" s="1">
        <v>39449</v>
      </c>
      <c r="J55" t="s">
        <v>5</v>
      </c>
      <c r="K55">
        <v>48</v>
      </c>
    </row>
    <row r="59" spans="1:15" x14ac:dyDescent="0.25">
      <c r="A59" t="s">
        <v>36</v>
      </c>
    </row>
    <row r="61" spans="1:15" x14ac:dyDescent="0.25">
      <c r="G61" t="s">
        <v>37</v>
      </c>
    </row>
    <row r="62" spans="1:15" x14ac:dyDescent="0.25">
      <c r="G62" t="s">
        <v>38</v>
      </c>
    </row>
    <row r="63" spans="1:15" x14ac:dyDescent="0.25">
      <c r="G63" t="s">
        <v>39</v>
      </c>
    </row>
    <row r="64" spans="1:15" x14ac:dyDescent="0.25">
      <c r="G64" t="s">
        <v>40</v>
      </c>
    </row>
  </sheetData>
  <autoFilter ref="A1:E41" xr:uid="{6D3AD7DE-508D-4A89-AC13-4AEB7A94B746}"/>
  <dataConsolidate/>
  <mergeCells count="6">
    <mergeCell ref="S39:U39"/>
    <mergeCell ref="S13:U13"/>
    <mergeCell ref="S14:U14"/>
    <mergeCell ref="S38:U38"/>
    <mergeCell ref="R25:T25"/>
    <mergeCell ref="R26:T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7FDA-5BE8-4252-9046-914D38E32E59}">
  <dimension ref="A1:P52"/>
  <sheetViews>
    <sheetView workbookViewId="0">
      <selection activeCell="P29" sqref="P29"/>
    </sheetView>
  </sheetViews>
  <sheetFormatPr baseColWidth="10" defaultRowHeight="15" x14ac:dyDescent="0.25"/>
  <sheetData>
    <row r="1" spans="1:16" x14ac:dyDescent="0.25">
      <c r="A1" s="2" t="s">
        <v>0</v>
      </c>
      <c r="B1" s="2" t="s">
        <v>44</v>
      </c>
      <c r="C1" s="9" t="s">
        <v>46</v>
      </c>
      <c r="D1" s="2" t="s">
        <v>0</v>
      </c>
      <c r="E1" s="2" t="s">
        <v>44</v>
      </c>
      <c r="F1" s="2" t="s">
        <v>47</v>
      </c>
      <c r="H1" t="s">
        <v>48</v>
      </c>
      <c r="O1" t="s">
        <v>62</v>
      </c>
    </row>
    <row r="2" spans="1:16" x14ac:dyDescent="0.25">
      <c r="A2">
        <v>1</v>
      </c>
      <c r="B2">
        <v>9.6</v>
      </c>
      <c r="C2">
        <v>4</v>
      </c>
      <c r="D2" s="10">
        <v>1</v>
      </c>
      <c r="E2">
        <v>8.8000000000000007</v>
      </c>
      <c r="F2">
        <v>5.4</v>
      </c>
      <c r="H2" t="s">
        <v>49</v>
      </c>
      <c r="I2" t="s">
        <v>50</v>
      </c>
      <c r="O2" t="s">
        <v>63</v>
      </c>
    </row>
    <row r="3" spans="1:16" x14ac:dyDescent="0.25">
      <c r="A3">
        <v>2</v>
      </c>
      <c r="B3">
        <v>10.7</v>
      </c>
      <c r="C3">
        <v>2.6</v>
      </c>
      <c r="D3" s="10">
        <v>2</v>
      </c>
      <c r="E3">
        <v>9.1999999999999993</v>
      </c>
      <c r="F3">
        <v>5.5</v>
      </c>
      <c r="H3" t="s">
        <v>51</v>
      </c>
      <c r="I3" t="s">
        <v>52</v>
      </c>
      <c r="O3" t="s">
        <v>64</v>
      </c>
    </row>
    <row r="4" spans="1:16" x14ac:dyDescent="0.25">
      <c r="A4">
        <v>3</v>
      </c>
      <c r="B4">
        <v>10.5</v>
      </c>
      <c r="C4">
        <v>3.4</v>
      </c>
      <c r="D4" s="10">
        <v>3</v>
      </c>
      <c r="E4">
        <v>7.4</v>
      </c>
      <c r="F4">
        <v>2.7</v>
      </c>
    </row>
    <row r="5" spans="1:16" x14ac:dyDescent="0.25">
      <c r="A5">
        <v>4</v>
      </c>
      <c r="B5">
        <v>11.9</v>
      </c>
      <c r="C5">
        <v>3.8</v>
      </c>
      <c r="D5" s="10">
        <v>4</v>
      </c>
      <c r="E5">
        <v>15.6</v>
      </c>
      <c r="F5">
        <v>5.2</v>
      </c>
      <c r="H5" t="s">
        <v>53</v>
      </c>
      <c r="I5" t="s">
        <v>54</v>
      </c>
    </row>
    <row r="6" spans="1:16" x14ac:dyDescent="0.25">
      <c r="A6">
        <v>5</v>
      </c>
      <c r="B6">
        <v>12.3</v>
      </c>
      <c r="C6">
        <v>3.3</v>
      </c>
      <c r="D6" s="10">
        <v>5</v>
      </c>
      <c r="E6">
        <v>14.6</v>
      </c>
      <c r="F6">
        <v>3.4</v>
      </c>
      <c r="H6" t="s">
        <v>55</v>
      </c>
      <c r="I6" t="s">
        <v>56</v>
      </c>
    </row>
    <row r="7" spans="1:16" x14ac:dyDescent="0.25">
      <c r="A7">
        <v>6</v>
      </c>
      <c r="B7">
        <v>7.5</v>
      </c>
      <c r="C7">
        <v>3</v>
      </c>
      <c r="D7" s="10">
        <v>6</v>
      </c>
      <c r="E7">
        <v>8.9</v>
      </c>
      <c r="F7">
        <v>3</v>
      </c>
    </row>
    <row r="8" spans="1:16" x14ac:dyDescent="0.25">
      <c r="A8">
        <v>7</v>
      </c>
      <c r="B8">
        <v>10.5</v>
      </c>
      <c r="C8">
        <v>2</v>
      </c>
      <c r="D8" s="10">
        <v>7</v>
      </c>
      <c r="E8">
        <v>14.8</v>
      </c>
      <c r="F8">
        <v>3.8</v>
      </c>
      <c r="H8" t="s">
        <v>15</v>
      </c>
    </row>
    <row r="9" spans="1:16" x14ac:dyDescent="0.25">
      <c r="A9">
        <v>8</v>
      </c>
      <c r="B9">
        <v>14.7</v>
      </c>
      <c r="C9">
        <v>3.2</v>
      </c>
      <c r="D9" s="10">
        <v>8</v>
      </c>
      <c r="E9">
        <v>17.600000000000001</v>
      </c>
      <c r="F9">
        <v>2.9</v>
      </c>
      <c r="H9" t="s">
        <v>57</v>
      </c>
      <c r="P9" t="s">
        <v>71</v>
      </c>
    </row>
    <row r="10" spans="1:16" x14ac:dyDescent="0.25">
      <c r="A10">
        <v>9</v>
      </c>
      <c r="B10">
        <v>12.3</v>
      </c>
      <c r="C10">
        <v>3.3</v>
      </c>
      <c r="D10" s="10">
        <v>9</v>
      </c>
      <c r="E10">
        <v>9.6999999999999993</v>
      </c>
      <c r="F10">
        <v>3.4</v>
      </c>
      <c r="H10" t="s">
        <v>58</v>
      </c>
      <c r="P10" t="s">
        <v>72</v>
      </c>
    </row>
    <row r="11" spans="1:16" x14ac:dyDescent="0.25">
      <c r="A11">
        <v>10</v>
      </c>
      <c r="B11">
        <v>10.4</v>
      </c>
      <c r="C11">
        <v>3.1</v>
      </c>
      <c r="D11" s="10">
        <v>10</v>
      </c>
      <c r="E11">
        <v>12.1</v>
      </c>
      <c r="F11">
        <v>4.4000000000000004</v>
      </c>
      <c r="H11" t="s">
        <v>59</v>
      </c>
    </row>
    <row r="12" spans="1:16" x14ac:dyDescent="0.25">
      <c r="A12">
        <v>11</v>
      </c>
      <c r="B12">
        <v>11.2</v>
      </c>
      <c r="C12">
        <v>4.3</v>
      </c>
      <c r="D12" s="10">
        <v>11</v>
      </c>
      <c r="E12">
        <v>13.8</v>
      </c>
      <c r="F12">
        <v>2.7</v>
      </c>
      <c r="H12" t="s">
        <v>60</v>
      </c>
    </row>
    <row r="13" spans="1:16" x14ac:dyDescent="0.25">
      <c r="A13">
        <v>12</v>
      </c>
      <c r="B13">
        <v>14.4</v>
      </c>
      <c r="C13">
        <v>4.4000000000000004</v>
      </c>
      <c r="D13" s="10">
        <v>12</v>
      </c>
      <c r="E13">
        <v>7</v>
      </c>
      <c r="F13">
        <v>4.3</v>
      </c>
      <c r="H13" t="s">
        <v>61</v>
      </c>
    </row>
    <row r="14" spans="1:16" x14ac:dyDescent="0.25">
      <c r="A14">
        <v>13</v>
      </c>
      <c r="B14">
        <v>8.6999999999999993</v>
      </c>
      <c r="C14">
        <v>2.4</v>
      </c>
      <c r="D14" s="10">
        <v>13</v>
      </c>
      <c r="E14">
        <v>15.5</v>
      </c>
      <c r="F14">
        <v>4.2</v>
      </c>
    </row>
    <row r="15" spans="1:16" x14ac:dyDescent="0.25">
      <c r="A15">
        <v>14</v>
      </c>
      <c r="B15">
        <v>11</v>
      </c>
      <c r="C15">
        <v>4.0999999999999996</v>
      </c>
      <c r="D15" s="10">
        <v>14</v>
      </c>
      <c r="E15">
        <v>13.7</v>
      </c>
      <c r="F15">
        <v>5.8</v>
      </c>
      <c r="H15" t="s">
        <v>65</v>
      </c>
    </row>
    <row r="16" spans="1:16" x14ac:dyDescent="0.25">
      <c r="A16">
        <v>15</v>
      </c>
      <c r="B16">
        <v>9.6</v>
      </c>
      <c r="C16">
        <v>4.2</v>
      </c>
      <c r="D16" s="10">
        <v>15</v>
      </c>
      <c r="E16">
        <v>10.7</v>
      </c>
      <c r="F16">
        <v>4.2</v>
      </c>
      <c r="H16" t="s">
        <v>66</v>
      </c>
      <c r="N16" t="s">
        <v>70</v>
      </c>
    </row>
    <row r="17" spans="1:15" x14ac:dyDescent="0.25">
      <c r="A17">
        <v>16</v>
      </c>
      <c r="B17">
        <v>8.3000000000000007</v>
      </c>
      <c r="C17">
        <v>4.3</v>
      </c>
      <c r="D17" s="10">
        <v>16</v>
      </c>
      <c r="E17">
        <v>16.100000000000001</v>
      </c>
      <c r="F17">
        <v>3.6</v>
      </c>
    </row>
    <row r="18" spans="1:15" x14ac:dyDescent="0.25">
      <c r="A18">
        <v>17</v>
      </c>
      <c r="B18">
        <v>7.2</v>
      </c>
      <c r="C18">
        <v>3.7</v>
      </c>
      <c r="D18" s="10">
        <v>17</v>
      </c>
      <c r="E18">
        <v>15</v>
      </c>
      <c r="F18">
        <v>3.7</v>
      </c>
    </row>
    <row r="19" spans="1:15" x14ac:dyDescent="0.25">
      <c r="A19">
        <v>18</v>
      </c>
      <c r="B19">
        <v>10.5</v>
      </c>
      <c r="C19">
        <v>3.6</v>
      </c>
      <c r="D19" s="10">
        <v>18</v>
      </c>
      <c r="E19">
        <v>8.9</v>
      </c>
      <c r="F19">
        <v>2.5</v>
      </c>
    </row>
    <row r="20" spans="1:15" x14ac:dyDescent="0.25">
      <c r="A20">
        <v>19</v>
      </c>
      <c r="B20">
        <v>7.8</v>
      </c>
      <c r="C20">
        <v>3.2</v>
      </c>
      <c r="D20" s="10">
        <v>19</v>
      </c>
      <c r="E20">
        <v>14.4</v>
      </c>
      <c r="F20">
        <v>3.1</v>
      </c>
    </row>
    <row r="21" spans="1:15" x14ac:dyDescent="0.25">
      <c r="A21">
        <v>20</v>
      </c>
      <c r="B21">
        <v>11.2</v>
      </c>
      <c r="C21">
        <v>4</v>
      </c>
      <c r="D21" s="10">
        <v>20</v>
      </c>
      <c r="E21">
        <v>10.8</v>
      </c>
      <c r="F21">
        <v>4.5</v>
      </c>
    </row>
    <row r="22" spans="1:15" x14ac:dyDescent="0.25">
      <c r="A22">
        <v>21</v>
      </c>
      <c r="B22">
        <v>8.9</v>
      </c>
      <c r="C22">
        <v>2.9</v>
      </c>
      <c r="D22" s="10">
        <v>21</v>
      </c>
      <c r="E22">
        <v>14.6</v>
      </c>
      <c r="F22">
        <v>4</v>
      </c>
    </row>
    <row r="23" spans="1:15" x14ac:dyDescent="0.25">
      <c r="A23">
        <v>22</v>
      </c>
      <c r="B23">
        <v>10.199999999999999</v>
      </c>
      <c r="C23">
        <v>1.8</v>
      </c>
      <c r="D23" s="10">
        <v>22</v>
      </c>
      <c r="E23">
        <v>14.2</v>
      </c>
      <c r="F23">
        <v>4.9000000000000004</v>
      </c>
    </row>
    <row r="24" spans="1:15" x14ac:dyDescent="0.25">
      <c r="A24">
        <v>23</v>
      </c>
      <c r="B24">
        <v>11</v>
      </c>
      <c r="C24">
        <v>4</v>
      </c>
      <c r="D24" s="10">
        <v>23</v>
      </c>
      <c r="E24">
        <v>13.6</v>
      </c>
      <c r="F24">
        <v>4</v>
      </c>
    </row>
    <row r="25" spans="1:15" x14ac:dyDescent="0.25">
      <c r="A25">
        <v>24</v>
      </c>
      <c r="B25">
        <v>11.3</v>
      </c>
      <c r="C25">
        <v>2.7</v>
      </c>
      <c r="D25" s="10">
        <v>24</v>
      </c>
      <c r="E25">
        <v>17.2</v>
      </c>
      <c r="F25">
        <v>4.9000000000000004</v>
      </c>
    </row>
    <row r="26" spans="1:15" ht="15.75" thickBot="1" x14ac:dyDescent="0.3">
      <c r="A26">
        <v>25</v>
      </c>
      <c r="B26">
        <v>9.8000000000000007</v>
      </c>
      <c r="C26">
        <v>2.2000000000000002</v>
      </c>
      <c r="D26" s="10">
        <v>25</v>
      </c>
      <c r="E26">
        <v>14.6</v>
      </c>
      <c r="F26">
        <v>4.7</v>
      </c>
    </row>
    <row r="27" spans="1:15" x14ac:dyDescent="0.25">
      <c r="A27">
        <v>26</v>
      </c>
      <c r="B27">
        <v>10.4</v>
      </c>
      <c r="C27">
        <v>2.8</v>
      </c>
      <c r="D27" s="10">
        <v>26</v>
      </c>
      <c r="E27">
        <v>7.6</v>
      </c>
      <c r="F27">
        <v>5</v>
      </c>
      <c r="H27" s="7" t="s">
        <v>26</v>
      </c>
      <c r="I27" s="7" t="s">
        <v>27</v>
      </c>
      <c r="N27" s="7" t="s">
        <v>26</v>
      </c>
      <c r="O27" s="7" t="s">
        <v>27</v>
      </c>
    </row>
    <row r="28" spans="1:15" x14ac:dyDescent="0.25">
      <c r="A28">
        <v>27</v>
      </c>
      <c r="B28">
        <v>10.4</v>
      </c>
      <c r="C28">
        <v>3.6</v>
      </c>
      <c r="D28" s="10">
        <v>27</v>
      </c>
      <c r="E28">
        <v>8.5</v>
      </c>
      <c r="F28">
        <v>4.0999999999999996</v>
      </c>
      <c r="H28" s="4">
        <v>8.6999999999999993</v>
      </c>
      <c r="I28" s="5">
        <v>5</v>
      </c>
      <c r="N28" s="4">
        <v>9.120000000000001</v>
      </c>
      <c r="O28" s="5">
        <v>8</v>
      </c>
    </row>
    <row r="29" spans="1:15" x14ac:dyDescent="0.25">
      <c r="A29">
        <v>28</v>
      </c>
      <c r="B29">
        <v>11.1</v>
      </c>
      <c r="C29">
        <v>2.7</v>
      </c>
      <c r="D29" s="10">
        <v>28</v>
      </c>
      <c r="E29">
        <v>12.1</v>
      </c>
      <c r="F29">
        <v>4.0999999999999996</v>
      </c>
      <c r="H29" s="4">
        <v>10.199999999999999</v>
      </c>
      <c r="I29" s="5">
        <v>6</v>
      </c>
      <c r="N29" s="4">
        <v>11.240000000000002</v>
      </c>
      <c r="O29" s="5">
        <v>5</v>
      </c>
    </row>
    <row r="30" spans="1:15" x14ac:dyDescent="0.25">
      <c r="A30">
        <v>29</v>
      </c>
      <c r="B30">
        <v>10.5</v>
      </c>
      <c r="C30">
        <v>3.3</v>
      </c>
      <c r="D30" s="10">
        <v>29</v>
      </c>
      <c r="E30">
        <v>11.1</v>
      </c>
      <c r="F30">
        <v>2.9</v>
      </c>
      <c r="H30" s="4">
        <v>11.7</v>
      </c>
      <c r="I30" s="5">
        <v>14</v>
      </c>
      <c r="N30" s="4">
        <v>13.360000000000003</v>
      </c>
      <c r="O30" s="5">
        <v>2</v>
      </c>
    </row>
    <row r="31" spans="1:15" x14ac:dyDescent="0.25">
      <c r="A31">
        <v>30</v>
      </c>
      <c r="B31">
        <v>10.199999999999999</v>
      </c>
      <c r="C31">
        <v>2.7</v>
      </c>
      <c r="D31" s="10">
        <v>30</v>
      </c>
      <c r="E31">
        <v>9</v>
      </c>
      <c r="F31">
        <v>5.0999999999999996</v>
      </c>
      <c r="H31" s="4">
        <v>13.2</v>
      </c>
      <c r="I31" s="5">
        <v>3</v>
      </c>
      <c r="N31" s="4">
        <v>15.480000000000004</v>
      </c>
      <c r="O31" s="5">
        <v>10</v>
      </c>
    </row>
    <row r="32" spans="1:15" ht="15.75" thickBot="1" x14ac:dyDescent="0.3">
      <c r="A32" t="s">
        <v>45</v>
      </c>
      <c r="B32">
        <f>SUM(B2:B31)</f>
        <v>314.09999999999997</v>
      </c>
      <c r="C32">
        <f>SUM(C2:C31)</f>
        <v>98.600000000000009</v>
      </c>
      <c r="D32" s="10" t="s">
        <v>45</v>
      </c>
      <c r="E32">
        <f>SUM(E2:E31)</f>
        <v>367.10000000000008</v>
      </c>
      <c r="F32">
        <f>SUM(F2:F31)</f>
        <v>122</v>
      </c>
      <c r="H32" s="6">
        <v>14.7</v>
      </c>
      <c r="I32" s="6">
        <v>2</v>
      </c>
      <c r="N32" s="6">
        <v>17.600000000000005</v>
      </c>
      <c r="O32" s="6">
        <v>5</v>
      </c>
    </row>
    <row r="35" spans="1:15" x14ac:dyDescent="0.25">
      <c r="A35" t="s">
        <v>67</v>
      </c>
      <c r="D35" t="s">
        <v>73</v>
      </c>
    </row>
    <row r="36" spans="1:15" x14ac:dyDescent="0.25">
      <c r="A36" t="s">
        <v>30</v>
      </c>
      <c r="B36">
        <f>MIN(B2:B31)</f>
        <v>7.2</v>
      </c>
      <c r="C36">
        <f>MIN(C2:C31)</f>
        <v>1.8</v>
      </c>
      <c r="D36" t="s">
        <v>30</v>
      </c>
      <c r="E36">
        <f>MIN(E2:E31)</f>
        <v>7</v>
      </c>
      <c r="F36">
        <f>MIN(F2:F31)</f>
        <v>2.5</v>
      </c>
    </row>
    <row r="37" spans="1:15" x14ac:dyDescent="0.25">
      <c r="A37" t="s">
        <v>31</v>
      </c>
      <c r="B37">
        <f>MAX(B2:B31)</f>
        <v>14.7</v>
      </c>
      <c r="C37">
        <f>MAX(C2:C31)</f>
        <v>4.4000000000000004</v>
      </c>
      <c r="D37" t="s">
        <v>31</v>
      </c>
      <c r="E37">
        <f>MAX(E2:E31)</f>
        <v>17.600000000000001</v>
      </c>
      <c r="F37">
        <f>MAX(F2:F31)</f>
        <v>5.8</v>
      </c>
    </row>
    <row r="38" spans="1:15" x14ac:dyDescent="0.25">
      <c r="A38" t="s">
        <v>69</v>
      </c>
      <c r="B38">
        <f>INT(SQRT(30))</f>
        <v>5</v>
      </c>
      <c r="C38">
        <f>INT(SQRT(30))</f>
        <v>5</v>
      </c>
      <c r="D38" t="s">
        <v>69</v>
      </c>
      <c r="E38">
        <f>INT(SQRT(30))</f>
        <v>5</v>
      </c>
      <c r="F38">
        <f>INT(SQRT(30))</f>
        <v>5</v>
      </c>
    </row>
    <row r="39" spans="1:15" x14ac:dyDescent="0.25">
      <c r="A39" t="s">
        <v>68</v>
      </c>
      <c r="B39">
        <f>(B37-B36)/B38</f>
        <v>1.4999999999999998</v>
      </c>
      <c r="C39">
        <f>(C37-C36)/C38</f>
        <v>0.52000000000000013</v>
      </c>
      <c r="D39" t="s">
        <v>68</v>
      </c>
      <c r="E39">
        <f>(E37-E36)/E38</f>
        <v>2.12</v>
      </c>
      <c r="F39">
        <f>(F37-F36)/F38</f>
        <v>0.65999999999999992</v>
      </c>
    </row>
    <row r="40" spans="1:15" x14ac:dyDescent="0.25">
      <c r="A40" t="s">
        <v>28</v>
      </c>
      <c r="B40">
        <f>B36+B39</f>
        <v>8.6999999999999993</v>
      </c>
      <c r="C40">
        <f>C36+C39</f>
        <v>2.3200000000000003</v>
      </c>
      <c r="D40" t="s">
        <v>28</v>
      </c>
      <c r="E40">
        <f>E36+E39</f>
        <v>9.120000000000001</v>
      </c>
      <c r="F40">
        <f>F36+F39</f>
        <v>3.16</v>
      </c>
    </row>
    <row r="41" spans="1:15" x14ac:dyDescent="0.25">
      <c r="B41">
        <f>B40+$B$39</f>
        <v>10.199999999999999</v>
      </c>
      <c r="C41">
        <f>C40+$C$39</f>
        <v>2.8400000000000003</v>
      </c>
      <c r="E41">
        <f>E40+$E$39</f>
        <v>11.240000000000002</v>
      </c>
      <c r="F41">
        <f>F40+$F$39</f>
        <v>3.8200000000000003</v>
      </c>
    </row>
    <row r="42" spans="1:15" x14ac:dyDescent="0.25">
      <c r="B42">
        <f>B41+$B$39</f>
        <v>11.7</v>
      </c>
      <c r="C42">
        <f t="shared" ref="C42:C44" si="0">C41+$C$39</f>
        <v>3.3600000000000003</v>
      </c>
      <c r="E42">
        <f t="shared" ref="E42:E44" si="1">E41+$E$39</f>
        <v>13.360000000000003</v>
      </c>
      <c r="F42">
        <f t="shared" ref="F42:F44" si="2">F41+$F$39</f>
        <v>4.4800000000000004</v>
      </c>
    </row>
    <row r="43" spans="1:15" x14ac:dyDescent="0.25">
      <c r="B43">
        <f>B42+$B$39</f>
        <v>13.2</v>
      </c>
      <c r="C43">
        <f t="shared" si="0"/>
        <v>3.8800000000000003</v>
      </c>
      <c r="E43">
        <f t="shared" si="1"/>
        <v>15.480000000000004</v>
      </c>
      <c r="F43">
        <f t="shared" si="2"/>
        <v>5.1400000000000006</v>
      </c>
    </row>
    <row r="44" spans="1:15" x14ac:dyDescent="0.25">
      <c r="B44">
        <f>B43+$B$39</f>
        <v>14.7</v>
      </c>
      <c r="C44">
        <f t="shared" si="0"/>
        <v>4.4000000000000004</v>
      </c>
      <c r="E44">
        <f t="shared" si="1"/>
        <v>17.600000000000005</v>
      </c>
      <c r="F44">
        <f t="shared" si="2"/>
        <v>5.8000000000000007</v>
      </c>
    </row>
    <row r="45" spans="1:15" ht="15.75" thickBot="1" x14ac:dyDescent="0.3"/>
    <row r="46" spans="1:15" x14ac:dyDescent="0.25">
      <c r="H46" s="7" t="s">
        <v>26</v>
      </c>
      <c r="I46" s="7" t="s">
        <v>27</v>
      </c>
      <c r="N46" s="7" t="s">
        <v>26</v>
      </c>
      <c r="O46" s="7" t="s">
        <v>27</v>
      </c>
    </row>
    <row r="47" spans="1:15" x14ac:dyDescent="0.25">
      <c r="H47" s="4">
        <v>2.3200000000000003</v>
      </c>
      <c r="I47" s="5">
        <v>3</v>
      </c>
      <c r="N47" s="4">
        <v>3.16</v>
      </c>
      <c r="O47" s="5">
        <v>7</v>
      </c>
    </row>
    <row r="48" spans="1:15" x14ac:dyDescent="0.25">
      <c r="H48" s="4">
        <v>2.8400000000000003</v>
      </c>
      <c r="I48" s="5">
        <v>6</v>
      </c>
      <c r="N48" s="4">
        <v>3.8200000000000003</v>
      </c>
      <c r="O48" s="5">
        <v>5</v>
      </c>
    </row>
    <row r="49" spans="8:15" x14ac:dyDescent="0.25">
      <c r="H49" s="4">
        <v>3.3600000000000003</v>
      </c>
      <c r="I49" s="5">
        <v>8</v>
      </c>
      <c r="N49" s="4">
        <v>4.4800000000000004</v>
      </c>
      <c r="O49" s="5">
        <v>8</v>
      </c>
    </row>
    <row r="50" spans="8:15" x14ac:dyDescent="0.25">
      <c r="H50" s="4">
        <v>3.8800000000000003</v>
      </c>
      <c r="I50" s="5">
        <v>5</v>
      </c>
      <c r="N50" s="4">
        <v>5.1400000000000006</v>
      </c>
      <c r="O50" s="5">
        <v>6</v>
      </c>
    </row>
    <row r="51" spans="8:15" x14ac:dyDescent="0.25">
      <c r="H51" s="4">
        <v>4.4000000000000004</v>
      </c>
      <c r="I51" s="5">
        <v>8</v>
      </c>
      <c r="N51" s="4">
        <v>5.8000000000000007</v>
      </c>
      <c r="O51" s="5">
        <v>4</v>
      </c>
    </row>
    <row r="52" spans="8:15" ht="15.75" thickBot="1" x14ac:dyDescent="0.3">
      <c r="H52" s="6"/>
      <c r="I52" s="6"/>
      <c r="N52" s="6"/>
      <c r="O52" s="6"/>
    </row>
  </sheetData>
  <sortState xmlns:xlrd2="http://schemas.microsoft.com/office/spreadsheetml/2017/richdata2" ref="N47:N51">
    <sortCondition ref="N4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02E5-1460-427D-BD57-CFF94DA5DC83}">
  <dimension ref="A1:AE64"/>
  <sheetViews>
    <sheetView tabSelected="1" topLeftCell="G1" zoomScale="85" zoomScaleNormal="85" workbookViewId="0">
      <selection activeCell="Z40" sqref="Z40"/>
    </sheetView>
  </sheetViews>
  <sheetFormatPr baseColWidth="10" defaultRowHeight="15" x14ac:dyDescent="0.25"/>
  <cols>
    <col min="3" max="3" width="11.85546875" bestFit="1" customWidth="1"/>
    <col min="6" max="6" width="10.7109375" customWidth="1"/>
    <col min="7" max="7" width="20.42578125" customWidth="1"/>
    <col min="8" max="8" width="6.7109375" customWidth="1"/>
    <col min="9" max="9" width="22.85546875" customWidth="1"/>
    <col min="13" max="13" width="11.7109375" customWidth="1"/>
    <col min="14" max="15" width="14.5703125" customWidth="1"/>
    <col min="16" max="16" width="14.42578125" customWidth="1"/>
    <col min="17" max="17" width="13.7109375" bestFit="1" customWidth="1"/>
    <col min="21" max="21" width="15.5703125" customWidth="1"/>
    <col min="22" max="22" width="24.85546875" customWidth="1"/>
  </cols>
  <sheetData>
    <row r="1" spans="1:15" x14ac:dyDescent="0.25">
      <c r="C1" s="22"/>
      <c r="D1" s="2">
        <v>2014</v>
      </c>
      <c r="E1" s="2">
        <v>2015</v>
      </c>
      <c r="F1" s="2">
        <v>2016</v>
      </c>
      <c r="G1" s="29" t="s">
        <v>220</v>
      </c>
      <c r="I1" t="s">
        <v>48</v>
      </c>
    </row>
    <row r="2" spans="1:15" x14ac:dyDescent="0.25">
      <c r="A2" s="2" t="s">
        <v>203</v>
      </c>
      <c r="B2" s="22">
        <v>16503</v>
      </c>
      <c r="C2" s="2" t="s">
        <v>203</v>
      </c>
      <c r="D2" s="22">
        <v>16503</v>
      </c>
      <c r="E2" s="22">
        <v>22749</v>
      </c>
      <c r="F2" s="22">
        <v>29315</v>
      </c>
      <c r="G2" s="22">
        <f>AVERAGE(D2:F2)</f>
        <v>22855.666666666668</v>
      </c>
      <c r="I2" t="s">
        <v>215</v>
      </c>
    </row>
    <row r="3" spans="1:15" x14ac:dyDescent="0.25">
      <c r="A3" s="2" t="s">
        <v>204</v>
      </c>
      <c r="B3" s="22">
        <v>15872</v>
      </c>
      <c r="C3" s="2" t="s">
        <v>204</v>
      </c>
      <c r="D3" s="22">
        <v>15872</v>
      </c>
      <c r="E3" s="22">
        <v>21902</v>
      </c>
      <c r="F3" s="22">
        <v>27949</v>
      </c>
      <c r="G3" s="22">
        <f t="shared" ref="G3:G13" si="0">AVERAGE(D3:F3)</f>
        <v>21907.666666666668</v>
      </c>
      <c r="I3" t="s">
        <v>216</v>
      </c>
    </row>
    <row r="4" spans="1:15" x14ac:dyDescent="0.25">
      <c r="A4" s="2" t="s">
        <v>205</v>
      </c>
      <c r="B4" s="22">
        <v>14324</v>
      </c>
      <c r="C4" s="2" t="s">
        <v>205</v>
      </c>
      <c r="D4" s="22">
        <v>14324</v>
      </c>
      <c r="E4" s="22">
        <v>19423</v>
      </c>
      <c r="F4" s="22">
        <v>24897</v>
      </c>
      <c r="G4" s="22">
        <f t="shared" si="0"/>
        <v>19548</v>
      </c>
      <c r="I4" t="s">
        <v>217</v>
      </c>
    </row>
    <row r="5" spans="1:15" x14ac:dyDescent="0.25">
      <c r="A5" s="2" t="s">
        <v>206</v>
      </c>
      <c r="B5" s="22">
        <v>12594</v>
      </c>
      <c r="C5" s="2" t="s">
        <v>206</v>
      </c>
      <c r="D5" s="22">
        <v>12594</v>
      </c>
      <c r="E5" s="22">
        <v>16655</v>
      </c>
      <c r="F5" s="22">
        <v>21353</v>
      </c>
      <c r="G5" s="22">
        <f t="shared" si="0"/>
        <v>16867.333333333332</v>
      </c>
      <c r="I5" t="s">
        <v>218</v>
      </c>
    </row>
    <row r="6" spans="1:15" x14ac:dyDescent="0.25">
      <c r="A6" s="2" t="s">
        <v>207</v>
      </c>
      <c r="B6" s="22">
        <v>12953</v>
      </c>
      <c r="C6" s="2" t="s">
        <v>207</v>
      </c>
      <c r="D6" s="22">
        <v>12953</v>
      </c>
      <c r="E6" s="22">
        <v>17177</v>
      </c>
      <c r="F6" s="22">
        <v>21871</v>
      </c>
      <c r="G6" s="22">
        <f t="shared" si="0"/>
        <v>17333.666666666668</v>
      </c>
      <c r="I6" t="s">
        <v>219</v>
      </c>
    </row>
    <row r="7" spans="1:15" x14ac:dyDescent="0.25">
      <c r="A7" s="2" t="s">
        <v>208</v>
      </c>
      <c r="B7" s="22">
        <v>12173</v>
      </c>
      <c r="C7" s="2" t="s">
        <v>208</v>
      </c>
      <c r="D7" s="22">
        <v>12173</v>
      </c>
      <c r="E7" s="22">
        <v>15960</v>
      </c>
      <c r="F7" s="22">
        <v>19935</v>
      </c>
      <c r="G7" s="22">
        <f t="shared" si="0"/>
        <v>16022.666666666666</v>
      </c>
      <c r="I7" s="32"/>
      <c r="J7" s="32"/>
      <c r="K7" s="32"/>
      <c r="L7" s="32"/>
      <c r="M7" s="32"/>
      <c r="N7" s="30"/>
      <c r="O7" s="30"/>
    </row>
    <row r="8" spans="1:15" x14ac:dyDescent="0.25">
      <c r="A8" s="2" t="s">
        <v>209</v>
      </c>
      <c r="B8" s="22">
        <v>12115</v>
      </c>
      <c r="C8" s="2" t="s">
        <v>209</v>
      </c>
      <c r="D8" s="22">
        <v>12115</v>
      </c>
      <c r="E8" s="22">
        <v>16347</v>
      </c>
      <c r="F8" s="22">
        <v>20499</v>
      </c>
      <c r="G8" s="22">
        <f t="shared" si="0"/>
        <v>16320.333333333334</v>
      </c>
      <c r="I8" s="33" t="s">
        <v>225</v>
      </c>
    </row>
    <row r="9" spans="1:15" x14ac:dyDescent="0.25">
      <c r="A9" s="2" t="s">
        <v>210</v>
      </c>
      <c r="B9" s="22">
        <v>12643</v>
      </c>
      <c r="C9" s="2" t="s">
        <v>210</v>
      </c>
      <c r="D9" s="22">
        <v>12643</v>
      </c>
      <c r="E9" s="22">
        <v>16630</v>
      </c>
      <c r="F9" s="22">
        <v>20505</v>
      </c>
      <c r="G9" s="22">
        <f t="shared" si="0"/>
        <v>16592.666666666668</v>
      </c>
      <c r="I9" s="33" t="s">
        <v>226</v>
      </c>
    </row>
    <row r="10" spans="1:15" x14ac:dyDescent="0.25">
      <c r="A10" s="2" t="s">
        <v>211</v>
      </c>
      <c r="B10" s="22">
        <v>14410</v>
      </c>
      <c r="C10" s="2" t="s">
        <v>211</v>
      </c>
      <c r="D10" s="22">
        <v>14410</v>
      </c>
      <c r="E10" s="22">
        <v>18667</v>
      </c>
      <c r="F10" s="22">
        <v>23154</v>
      </c>
      <c r="G10" s="22">
        <f t="shared" si="0"/>
        <v>18743.666666666668</v>
      </c>
      <c r="I10" s="33" t="s">
        <v>227</v>
      </c>
    </row>
    <row r="11" spans="1:15" x14ac:dyDescent="0.25">
      <c r="A11" s="2" t="s">
        <v>212</v>
      </c>
      <c r="B11" s="22">
        <v>14558</v>
      </c>
      <c r="C11" s="2" t="s">
        <v>212</v>
      </c>
      <c r="D11" s="22">
        <v>14558</v>
      </c>
      <c r="E11" s="22">
        <v>19030</v>
      </c>
      <c r="F11" s="22">
        <v>23557</v>
      </c>
      <c r="G11" s="22">
        <f t="shared" si="0"/>
        <v>19048.333333333332</v>
      </c>
    </row>
    <row r="12" spans="1:15" x14ac:dyDescent="0.25">
      <c r="A12" s="2" t="s">
        <v>213</v>
      </c>
      <c r="B12" s="22">
        <v>17698</v>
      </c>
      <c r="C12" s="2" t="s">
        <v>213</v>
      </c>
      <c r="D12" s="22">
        <v>17698</v>
      </c>
      <c r="E12" s="22">
        <v>23101</v>
      </c>
      <c r="F12" s="22">
        <v>28359</v>
      </c>
      <c r="G12" s="22">
        <f t="shared" si="0"/>
        <v>23052.666666666668</v>
      </c>
      <c r="I12" t="s">
        <v>228</v>
      </c>
    </row>
    <row r="13" spans="1:15" x14ac:dyDescent="0.25">
      <c r="A13" s="2" t="s">
        <v>214</v>
      </c>
      <c r="B13" s="22">
        <v>20831</v>
      </c>
      <c r="C13" s="2" t="s">
        <v>214</v>
      </c>
      <c r="D13" s="22">
        <v>20831</v>
      </c>
      <c r="E13" s="22">
        <v>26991</v>
      </c>
      <c r="F13" s="22">
        <v>32992</v>
      </c>
      <c r="G13" s="22">
        <f t="shared" si="0"/>
        <v>26938</v>
      </c>
      <c r="I13" t="s">
        <v>229</v>
      </c>
    </row>
    <row r="14" spans="1:15" x14ac:dyDescent="0.25">
      <c r="A14" s="2" t="s">
        <v>203</v>
      </c>
      <c r="B14" s="22">
        <v>22749</v>
      </c>
      <c r="C14" s="29" t="s">
        <v>221</v>
      </c>
      <c r="D14" s="22">
        <f>AVERAGE(D2:D13)</f>
        <v>14722.833333333334</v>
      </c>
      <c r="E14" s="22">
        <f t="shared" ref="E14:F14" si="1">AVERAGE(E2:E13)</f>
        <v>19552.666666666668</v>
      </c>
      <c r="F14" s="22">
        <f t="shared" si="1"/>
        <v>24532.166666666668</v>
      </c>
      <c r="G14" s="22"/>
    </row>
    <row r="15" spans="1:15" x14ac:dyDescent="0.25">
      <c r="A15" s="2" t="s">
        <v>204</v>
      </c>
      <c r="B15" s="22">
        <v>21902</v>
      </c>
      <c r="I15" t="s">
        <v>230</v>
      </c>
    </row>
    <row r="16" spans="1:15" x14ac:dyDescent="0.25">
      <c r="A16" s="2" t="s">
        <v>205</v>
      </c>
      <c r="B16" s="22">
        <v>19423</v>
      </c>
      <c r="C16" t="s">
        <v>222</v>
      </c>
      <c r="I16" t="s">
        <v>232</v>
      </c>
    </row>
    <row r="17" spans="1:24" x14ac:dyDescent="0.25">
      <c r="A17" s="2" t="s">
        <v>206</v>
      </c>
      <c r="B17" s="22">
        <v>16655</v>
      </c>
      <c r="C17" t="s">
        <v>223</v>
      </c>
      <c r="I17" t="s">
        <v>231</v>
      </c>
      <c r="K17" t="s">
        <v>266</v>
      </c>
      <c r="L17" s="28">
        <v>16503</v>
      </c>
    </row>
    <row r="18" spans="1:24" ht="15.75" x14ac:dyDescent="0.25">
      <c r="A18" s="2" t="s">
        <v>207</v>
      </c>
      <c r="B18" s="22">
        <v>17177</v>
      </c>
      <c r="C18" t="s">
        <v>224</v>
      </c>
      <c r="I18" t="s">
        <v>233</v>
      </c>
    </row>
    <row r="19" spans="1:24" x14ac:dyDescent="0.25">
      <c r="A19" s="2" t="s">
        <v>208</v>
      </c>
      <c r="B19" s="22">
        <v>15960</v>
      </c>
      <c r="I19" t="s">
        <v>234</v>
      </c>
    </row>
    <row r="20" spans="1:24" x14ac:dyDescent="0.25">
      <c r="A20" s="2" t="s">
        <v>209</v>
      </c>
      <c r="B20" s="22">
        <v>16347</v>
      </c>
      <c r="I20" t="s">
        <v>235</v>
      </c>
      <c r="T20" t="s">
        <v>265</v>
      </c>
    </row>
    <row r="21" spans="1:24" x14ac:dyDescent="0.25">
      <c r="A21" s="2" t="s">
        <v>210</v>
      </c>
      <c r="B21" s="22">
        <v>16630</v>
      </c>
      <c r="J21" t="s">
        <v>236</v>
      </c>
      <c r="K21" s="28">
        <f>(F13-D2)/35</f>
        <v>471.1142857142857</v>
      </c>
      <c r="P21" t="s">
        <v>274</v>
      </c>
    </row>
    <row r="22" spans="1:24" x14ac:dyDescent="0.25">
      <c r="A22" s="2" t="s">
        <v>211</v>
      </c>
      <c r="B22" s="22">
        <v>18667</v>
      </c>
      <c r="I22" t="s">
        <v>237</v>
      </c>
      <c r="P22" t="s">
        <v>273</v>
      </c>
    </row>
    <row r="23" spans="1:24" x14ac:dyDescent="0.25">
      <c r="A23" s="2" t="s">
        <v>212</v>
      </c>
      <c r="B23" s="22">
        <v>19030</v>
      </c>
      <c r="I23" t="s">
        <v>238</v>
      </c>
      <c r="J23" s="2">
        <v>2014</v>
      </c>
      <c r="K23" s="2">
        <v>2015</v>
      </c>
      <c r="L23" s="2">
        <v>2016</v>
      </c>
      <c r="M23" s="2" t="s">
        <v>239</v>
      </c>
      <c r="N23" s="2" t="s">
        <v>220</v>
      </c>
      <c r="O23" s="2" t="s">
        <v>272</v>
      </c>
      <c r="P23" s="38" t="s">
        <v>240</v>
      </c>
      <c r="R23" t="s">
        <v>268</v>
      </c>
      <c r="S23" t="s">
        <v>238</v>
      </c>
      <c r="T23" s="22" t="s">
        <v>245</v>
      </c>
      <c r="U23" s="22" t="s">
        <v>246</v>
      </c>
      <c r="V23" s="22" t="s">
        <v>259</v>
      </c>
      <c r="X23" t="s">
        <v>267</v>
      </c>
    </row>
    <row r="24" spans="1:24" x14ac:dyDescent="0.25">
      <c r="A24" s="2" t="s">
        <v>213</v>
      </c>
      <c r="B24" s="22">
        <v>23101</v>
      </c>
      <c r="I24" s="2" t="s">
        <v>203</v>
      </c>
      <c r="J24" s="22">
        <v>16503</v>
      </c>
      <c r="K24" s="22">
        <v>22749</v>
      </c>
      <c r="L24" s="22">
        <v>29315</v>
      </c>
      <c r="M24" s="22">
        <f t="shared" ref="M24:M35" si="2">SUM(J24:L24)</f>
        <v>68567</v>
      </c>
      <c r="N24" s="22">
        <f>AVERAGE(J24:L24)</f>
        <v>22855.666666666668</v>
      </c>
      <c r="O24" s="40">
        <f>(N24-$N$37)/$N$37</f>
        <v>0.16595341877192893</v>
      </c>
      <c r="P24" s="39">
        <f t="shared" ref="P24:P36" si="3">M24/$M$36</f>
        <v>9.7162784897660739E-2</v>
      </c>
      <c r="R24">
        <v>0</v>
      </c>
      <c r="S24" s="2" t="s">
        <v>203</v>
      </c>
      <c r="T24" s="22">
        <v>16503</v>
      </c>
      <c r="U24" s="22">
        <f>($L$17+$K$21*R24)*(1+O24)-$AA$44</f>
        <v>14037.533371211273</v>
      </c>
      <c r="V24" s="22">
        <f>U24-T24</f>
        <v>-2465.4666287887267</v>
      </c>
      <c r="W24" s="22">
        <v>-2465.4666287887267</v>
      </c>
    </row>
    <row r="25" spans="1:24" x14ac:dyDescent="0.25">
      <c r="A25" s="2" t="s">
        <v>214</v>
      </c>
      <c r="B25" s="22">
        <v>26991</v>
      </c>
      <c r="I25" s="2" t="s">
        <v>204</v>
      </c>
      <c r="J25" s="22">
        <v>15872</v>
      </c>
      <c r="K25" s="22">
        <v>21902</v>
      </c>
      <c r="L25" s="22">
        <v>27949</v>
      </c>
      <c r="M25" s="22">
        <f t="shared" si="2"/>
        <v>65723</v>
      </c>
      <c r="N25" s="22">
        <f t="shared" ref="N25:N35" si="4">AVERAGE(J25:L25)</f>
        <v>21907.666666666668</v>
      </c>
      <c r="O25" s="40">
        <f t="shared" ref="O25:O35" si="5">(N25-$N$37)/$N$37</f>
        <v>0.11759237741110863</v>
      </c>
      <c r="P25" s="39">
        <f t="shared" si="3"/>
        <v>9.313269811759238E-2</v>
      </c>
      <c r="R25">
        <v>1</v>
      </c>
      <c r="S25" s="2" t="s">
        <v>204</v>
      </c>
      <c r="T25" s="22">
        <v>15872</v>
      </c>
      <c r="U25" s="22">
        <f t="shared" ref="U25:U35" si="6">($L$17+$K$21*R25)*(1+O25)-$AA$44</f>
        <v>13765.944840237422</v>
      </c>
      <c r="V25" s="22">
        <f t="shared" ref="V25:V35" si="7">U25-T25</f>
        <v>-2106.0551597625781</v>
      </c>
      <c r="W25" s="22">
        <v>-2106.0551597625781</v>
      </c>
      <c r="X25" s="31" t="s">
        <v>253</v>
      </c>
    </row>
    <row r="26" spans="1:24" x14ac:dyDescent="0.25">
      <c r="A26" s="2" t="s">
        <v>203</v>
      </c>
      <c r="B26" s="22">
        <v>29315</v>
      </c>
      <c r="I26" s="2" t="s">
        <v>205</v>
      </c>
      <c r="J26" s="22">
        <v>14324</v>
      </c>
      <c r="K26" s="22">
        <v>19423</v>
      </c>
      <c r="L26" s="22">
        <v>24897</v>
      </c>
      <c r="M26" s="22">
        <f t="shared" si="2"/>
        <v>58644</v>
      </c>
      <c r="N26" s="22">
        <f t="shared" si="4"/>
        <v>19548</v>
      </c>
      <c r="O26" s="40">
        <f t="shared" si="5"/>
        <v>-2.7830838382750136E-3</v>
      </c>
      <c r="P26" s="39">
        <f t="shared" si="3"/>
        <v>8.3101409680143748E-2</v>
      </c>
      <c r="R26">
        <v>2</v>
      </c>
      <c r="S26" s="2" t="s">
        <v>205</v>
      </c>
      <c r="T26" s="22">
        <v>14324</v>
      </c>
      <c r="U26" s="22">
        <f t="shared" si="6"/>
        <v>12192.481138954547</v>
      </c>
      <c r="V26" s="22">
        <f t="shared" si="7"/>
        <v>-2131.5188610454534</v>
      </c>
      <c r="W26" s="22">
        <v>-2131.5188610454534</v>
      </c>
      <c r="X26" s="31" t="s">
        <v>254</v>
      </c>
    </row>
    <row r="27" spans="1:24" x14ac:dyDescent="0.25">
      <c r="A27" s="2" t="s">
        <v>204</v>
      </c>
      <c r="B27" s="22">
        <v>27949</v>
      </c>
      <c r="I27" s="2" t="s">
        <v>206</v>
      </c>
      <c r="J27" s="22">
        <v>12594</v>
      </c>
      <c r="K27" s="22">
        <v>16655</v>
      </c>
      <c r="L27" s="22">
        <v>21353</v>
      </c>
      <c r="M27" s="22">
        <f t="shared" si="2"/>
        <v>50602</v>
      </c>
      <c r="N27" s="22">
        <f t="shared" si="4"/>
        <v>16867.333333333332</v>
      </c>
      <c r="O27" s="40">
        <f t="shared" si="5"/>
        <v>-0.13953396099148072</v>
      </c>
      <c r="P27" s="39">
        <f t="shared" si="3"/>
        <v>7.1705503250709943E-2</v>
      </c>
      <c r="R27">
        <v>3</v>
      </c>
      <c r="S27" s="2" t="s">
        <v>206</v>
      </c>
      <c r="T27" s="22">
        <v>12594</v>
      </c>
      <c r="U27" s="22">
        <f t="shared" si="6"/>
        <v>10212.208673022422</v>
      </c>
      <c r="V27" s="22">
        <f t="shared" si="7"/>
        <v>-2381.7913269775781</v>
      </c>
      <c r="W27" s="22">
        <v>-2381.7913269775781</v>
      </c>
      <c r="X27" s="31" t="s">
        <v>255</v>
      </c>
    </row>
    <row r="28" spans="1:24" x14ac:dyDescent="0.25">
      <c r="A28" s="2" t="s">
        <v>205</v>
      </c>
      <c r="B28" s="22">
        <v>24897</v>
      </c>
      <c r="I28" s="2" t="s">
        <v>207</v>
      </c>
      <c r="J28" s="22">
        <v>12953</v>
      </c>
      <c r="K28" s="22">
        <v>17177</v>
      </c>
      <c r="L28" s="22">
        <v>21871</v>
      </c>
      <c r="M28" s="22">
        <f t="shared" si="2"/>
        <v>52001</v>
      </c>
      <c r="N28" s="22">
        <f>AVERAGE(J28:L28)</f>
        <v>17333.666666666668</v>
      </c>
      <c r="O28" s="40">
        <f t="shared" si="5"/>
        <v>-0.11574454577917835</v>
      </c>
      <c r="P28" s="39">
        <f t="shared" si="3"/>
        <v>7.3687954518401794E-2</v>
      </c>
      <c r="R28">
        <v>4</v>
      </c>
      <c r="S28" s="2" t="s">
        <v>207</v>
      </c>
      <c r="T28" s="22">
        <v>12953</v>
      </c>
      <c r="U28" s="22">
        <f t="shared" si="6"/>
        <v>11055.013369041164</v>
      </c>
      <c r="V28" s="22">
        <f t="shared" si="7"/>
        <v>-1897.986630958836</v>
      </c>
      <c r="W28" s="22">
        <v>-1897.986630958836</v>
      </c>
      <c r="X28" s="31" t="s">
        <v>256</v>
      </c>
    </row>
    <row r="29" spans="1:24" x14ac:dyDescent="0.25">
      <c r="A29" s="2" t="s">
        <v>206</v>
      </c>
      <c r="B29" s="22">
        <v>21353</v>
      </c>
      <c r="I29" s="2" t="s">
        <v>208</v>
      </c>
      <c r="J29" s="22">
        <v>12173</v>
      </c>
      <c r="K29" s="22">
        <v>15960</v>
      </c>
      <c r="L29" s="22">
        <v>19935</v>
      </c>
      <c r="M29" s="22">
        <f t="shared" si="2"/>
        <v>48068</v>
      </c>
      <c r="N29" s="22">
        <f t="shared" si="4"/>
        <v>16022.666666666666</v>
      </c>
      <c r="O29" s="40">
        <f t="shared" si="5"/>
        <v>-0.18262358082562929</v>
      </c>
      <c r="P29" s="39">
        <f t="shared" si="3"/>
        <v>6.811470159786423E-2</v>
      </c>
      <c r="R29">
        <v>5</v>
      </c>
      <c r="S29" s="2" t="s">
        <v>208</v>
      </c>
      <c r="T29" s="22">
        <v>12173</v>
      </c>
      <c r="U29" s="22">
        <f t="shared" si="6"/>
        <v>10210.355686247938</v>
      </c>
      <c r="V29" s="22">
        <f t="shared" si="7"/>
        <v>-1962.6443137520619</v>
      </c>
      <c r="W29" s="22">
        <v>-1962.6443137520619</v>
      </c>
      <c r="X29" s="31" t="s">
        <v>257</v>
      </c>
    </row>
    <row r="30" spans="1:24" x14ac:dyDescent="0.25">
      <c r="A30" s="2" t="s">
        <v>207</v>
      </c>
      <c r="B30" s="22">
        <v>21871</v>
      </c>
      <c r="I30" s="2" t="s">
        <v>209</v>
      </c>
      <c r="J30" s="22">
        <v>12115</v>
      </c>
      <c r="K30" s="22">
        <v>16347</v>
      </c>
      <c r="L30" s="22">
        <v>20499</v>
      </c>
      <c r="M30" s="22">
        <f t="shared" si="2"/>
        <v>48961</v>
      </c>
      <c r="N30" s="22">
        <f t="shared" si="4"/>
        <v>16320.333333333334</v>
      </c>
      <c r="O30" s="40">
        <f t="shared" si="5"/>
        <v>-0.1674384859117008</v>
      </c>
      <c r="P30" s="39">
        <f t="shared" si="3"/>
        <v>6.9380126174024934E-2</v>
      </c>
      <c r="R30">
        <v>6</v>
      </c>
      <c r="S30" s="2" t="s">
        <v>209</v>
      </c>
      <c r="T30" s="22">
        <v>12115</v>
      </c>
      <c r="U30" s="22">
        <f t="shared" si="6"/>
        <v>10888.956506354811</v>
      </c>
      <c r="V30" s="22">
        <f t="shared" si="7"/>
        <v>-1226.0434936451893</v>
      </c>
      <c r="W30" s="22">
        <v>-1226.0434936451893</v>
      </c>
      <c r="X30" s="31" t="s">
        <v>258</v>
      </c>
    </row>
    <row r="31" spans="1:24" x14ac:dyDescent="0.25">
      <c r="A31" s="2" t="s">
        <v>208</v>
      </c>
      <c r="B31" s="22">
        <v>19935</v>
      </c>
      <c r="I31" s="2" t="s">
        <v>210</v>
      </c>
      <c r="J31" s="22">
        <v>12643</v>
      </c>
      <c r="K31" s="22">
        <v>16630</v>
      </c>
      <c r="L31" s="22">
        <v>20505</v>
      </c>
      <c r="M31" s="22">
        <f t="shared" si="2"/>
        <v>49778</v>
      </c>
      <c r="N31" s="22">
        <f t="shared" si="4"/>
        <v>16592.666666666668</v>
      </c>
      <c r="O31" s="40">
        <f t="shared" si="5"/>
        <v>-0.15354573950108535</v>
      </c>
      <c r="P31" s="39">
        <f t="shared" si="3"/>
        <v>7.0537855041576211E-2</v>
      </c>
      <c r="R31">
        <v>7</v>
      </c>
      <c r="S31" s="2" t="s">
        <v>210</v>
      </c>
      <c r="T31" s="22">
        <v>12643</v>
      </c>
      <c r="U31" s="22">
        <f t="shared" si="6"/>
        <v>11556.27562250504</v>
      </c>
      <c r="V31" s="22">
        <f t="shared" si="7"/>
        <v>-1086.7243774949602</v>
      </c>
      <c r="W31" s="22">
        <v>-1086.7243774949602</v>
      </c>
      <c r="X31" s="31" t="s">
        <v>260</v>
      </c>
    </row>
    <row r="32" spans="1:24" x14ac:dyDescent="0.25">
      <c r="A32" s="2" t="s">
        <v>209</v>
      </c>
      <c r="B32" s="22">
        <v>20499</v>
      </c>
      <c r="I32" s="2" t="s">
        <v>211</v>
      </c>
      <c r="J32" s="22">
        <v>14410</v>
      </c>
      <c r="K32" s="22">
        <v>18667</v>
      </c>
      <c r="L32" s="22">
        <v>23154</v>
      </c>
      <c r="M32" s="22">
        <f t="shared" si="2"/>
        <v>56231</v>
      </c>
      <c r="N32" s="22">
        <f t="shared" si="4"/>
        <v>18743.666666666668</v>
      </c>
      <c r="O32" s="40">
        <f t="shared" si="5"/>
        <v>-4.3815148818464614E-2</v>
      </c>
      <c r="P32" s="39">
        <f t="shared" si="3"/>
        <v>7.9682070931794607E-2</v>
      </c>
      <c r="R32">
        <v>8</v>
      </c>
      <c r="S32" s="2" t="s">
        <v>211</v>
      </c>
      <c r="T32" s="22">
        <v>14410</v>
      </c>
      <c r="U32" s="22">
        <f t="shared" si="6"/>
        <v>14179.501445668688</v>
      </c>
      <c r="V32" s="22">
        <f t="shared" si="7"/>
        <v>-230.49855433131233</v>
      </c>
      <c r="W32" s="22">
        <v>-230.49855433131233</v>
      </c>
      <c r="X32" s="31" t="s">
        <v>261</v>
      </c>
    </row>
    <row r="33" spans="1:27" x14ac:dyDescent="0.25">
      <c r="A33" s="2" t="s">
        <v>210</v>
      </c>
      <c r="B33" s="22">
        <v>20505</v>
      </c>
      <c r="I33" s="2" t="s">
        <v>212</v>
      </c>
      <c r="J33" s="22">
        <v>14558</v>
      </c>
      <c r="K33" s="22">
        <v>19030</v>
      </c>
      <c r="L33" s="22">
        <v>23557</v>
      </c>
      <c r="M33" s="22">
        <f t="shared" si="2"/>
        <v>57145</v>
      </c>
      <c r="N33" s="22">
        <f t="shared" si="4"/>
        <v>19048.333333333332</v>
      </c>
      <c r="O33" s="40">
        <f t="shared" si="5"/>
        <v>-2.8272957607568195E-2</v>
      </c>
      <c r="P33" s="39">
        <f t="shared" si="3"/>
        <v>8.0977253532702659E-2</v>
      </c>
      <c r="R33">
        <v>9</v>
      </c>
      <c r="S33" s="2" t="s">
        <v>212</v>
      </c>
      <c r="T33" s="22">
        <v>14558</v>
      </c>
      <c r="U33" s="22">
        <f t="shared" si="6"/>
        <v>14952.365905194125</v>
      </c>
      <c r="V33" s="22">
        <f t="shared" si="7"/>
        <v>394.36590519412493</v>
      </c>
      <c r="W33" s="22">
        <v>394.36590519412493</v>
      </c>
      <c r="X33" s="31" t="s">
        <v>262</v>
      </c>
    </row>
    <row r="34" spans="1:27" x14ac:dyDescent="0.25">
      <c r="A34" s="2" t="s">
        <v>211</v>
      </c>
      <c r="B34" s="22">
        <v>23154</v>
      </c>
      <c r="I34" s="2" t="s">
        <v>213</v>
      </c>
      <c r="J34" s="22">
        <v>17698</v>
      </c>
      <c r="K34" s="22">
        <v>23101</v>
      </c>
      <c r="L34" s="22">
        <v>28359</v>
      </c>
      <c r="M34" s="22">
        <f t="shared" si="2"/>
        <v>69158</v>
      </c>
      <c r="N34" s="22">
        <f t="shared" si="4"/>
        <v>23052.666666666668</v>
      </c>
      <c r="O34" s="40">
        <f t="shared" si="5"/>
        <v>0.17600312884374497</v>
      </c>
      <c r="P34" s="39">
        <f t="shared" si="3"/>
        <v>9.8000260736978734E-2</v>
      </c>
      <c r="R34">
        <v>10</v>
      </c>
      <c r="S34" s="2" t="s">
        <v>213</v>
      </c>
      <c r="T34" s="22">
        <v>17698</v>
      </c>
      <c r="U34" s="22">
        <f t="shared" si="6"/>
        <v>19743.70247695631</v>
      </c>
      <c r="V34" s="22">
        <f t="shared" si="7"/>
        <v>2045.7024769563104</v>
      </c>
      <c r="W34" s="22">
        <v>2045.7024769563104</v>
      </c>
      <c r="X34" s="31" t="s">
        <v>263</v>
      </c>
    </row>
    <row r="35" spans="1:27" x14ac:dyDescent="0.25">
      <c r="A35" s="2" t="s">
        <v>212</v>
      </c>
      <c r="B35" s="22">
        <v>23557</v>
      </c>
      <c r="I35" s="2" t="s">
        <v>214</v>
      </c>
      <c r="J35" s="22">
        <v>20831</v>
      </c>
      <c r="K35" s="22">
        <v>26991</v>
      </c>
      <c r="L35" s="22">
        <v>32992</v>
      </c>
      <c r="M35" s="22">
        <f t="shared" si="2"/>
        <v>80814</v>
      </c>
      <c r="N35" s="22">
        <f>AVERAGE(J35:L35)</f>
        <v>26938</v>
      </c>
      <c r="O35" s="40">
        <f t="shared" si="5"/>
        <v>0.37420857824660053</v>
      </c>
      <c r="P35" s="39">
        <f t="shared" si="3"/>
        <v>0.11451738152055004</v>
      </c>
      <c r="R35">
        <v>11</v>
      </c>
      <c r="S35" s="2" t="s">
        <v>214</v>
      </c>
      <c r="T35" s="22">
        <v>20831</v>
      </c>
      <c r="U35" s="22">
        <f t="shared" si="6"/>
        <v>24595.870488415781</v>
      </c>
      <c r="V35" s="22">
        <f t="shared" si="7"/>
        <v>3764.8704884157814</v>
      </c>
      <c r="W35" s="22">
        <v>3764.8704884157814</v>
      </c>
      <c r="X35" s="31" t="s">
        <v>264</v>
      </c>
    </row>
    <row r="36" spans="1:27" x14ac:dyDescent="0.25">
      <c r="A36" s="2" t="s">
        <v>213</v>
      </c>
      <c r="B36" s="22">
        <v>28359</v>
      </c>
      <c r="I36" s="2" t="s">
        <v>239</v>
      </c>
      <c r="J36" s="22">
        <f>SUM(J24:J35)</f>
        <v>176674</v>
      </c>
      <c r="K36" s="22">
        <f t="shared" ref="K36:L36" si="8">SUM(K24:K35)</f>
        <v>234632</v>
      </c>
      <c r="L36" s="22">
        <f t="shared" si="8"/>
        <v>294386</v>
      </c>
      <c r="M36" s="22">
        <f>SUM(M24:M35)</f>
        <v>705692</v>
      </c>
      <c r="N36" s="22"/>
      <c r="O36" s="22"/>
      <c r="P36" s="39">
        <f t="shared" si="3"/>
        <v>1</v>
      </c>
      <c r="T36" s="22" t="s">
        <v>247</v>
      </c>
      <c r="U36" s="22" t="s">
        <v>248</v>
      </c>
      <c r="V36" s="22" t="s">
        <v>249</v>
      </c>
      <c r="W36">
        <v>-2119.8988840583224</v>
      </c>
    </row>
    <row r="37" spans="1:27" x14ac:dyDescent="0.25">
      <c r="A37" s="2" t="s">
        <v>214</v>
      </c>
      <c r="B37" s="22">
        <v>32992</v>
      </c>
      <c r="M37" t="s">
        <v>271</v>
      </c>
      <c r="N37" s="37">
        <f>AVERAGE(N24:N35)</f>
        <v>19602.555555555555</v>
      </c>
      <c r="O37" s="64">
        <f>SUM(O24:O35)</f>
        <v>6.6613381477509392E-16</v>
      </c>
      <c r="R37">
        <v>12</v>
      </c>
      <c r="S37" s="2" t="s">
        <v>203</v>
      </c>
      <c r="T37" s="22">
        <v>22749</v>
      </c>
      <c r="U37" s="22">
        <f>($L$17+$K$21*R37)*(1+O24)-$AA$44</f>
        <v>20629.101115941678</v>
      </c>
      <c r="V37" s="22">
        <f>U37-T37</f>
        <v>-2119.8988840583224</v>
      </c>
      <c r="W37">
        <v>-1817.8903445173964</v>
      </c>
    </row>
    <row r="38" spans="1:27" x14ac:dyDescent="0.25">
      <c r="I38" s="2" t="s">
        <v>221</v>
      </c>
      <c r="J38" s="41">
        <f>AVERAGE(J36:L36)</f>
        <v>235230.66666666666</v>
      </c>
      <c r="R38">
        <v>13</v>
      </c>
      <c r="S38" s="2" t="s">
        <v>204</v>
      </c>
      <c r="T38" s="22">
        <v>21902</v>
      </c>
      <c r="U38" s="22">
        <f t="shared" ref="U38:U48" si="9">($L$17+$K$21*R38)*(1+O25)-$AA$44</f>
        <v>20084.109655482604</v>
      </c>
      <c r="V38" s="22">
        <f t="shared" ref="V38:V48" si="10">U38-T38</f>
        <v>-1817.8903445173964</v>
      </c>
      <c r="W38">
        <v>-1592.8812391286483</v>
      </c>
    </row>
    <row r="39" spans="1:27" x14ac:dyDescent="0.25">
      <c r="I39" s="34" t="s">
        <v>241</v>
      </c>
      <c r="J39" s="35"/>
      <c r="K39" s="35"/>
      <c r="L39" s="35"/>
      <c r="M39" s="35"/>
      <c r="N39" s="35"/>
      <c r="O39" s="35"/>
      <c r="P39" s="35"/>
      <c r="R39">
        <v>14</v>
      </c>
      <c r="S39" s="2" t="s">
        <v>205</v>
      </c>
      <c r="T39" s="22">
        <v>19423</v>
      </c>
      <c r="U39" s="22">
        <f t="shared" si="9"/>
        <v>17830.118760871352</v>
      </c>
      <c r="V39" s="22">
        <f t="shared" si="10"/>
        <v>-1592.8812391286483</v>
      </c>
      <c r="W39">
        <v>-1578.2572067907859</v>
      </c>
    </row>
    <row r="40" spans="1:27" x14ac:dyDescent="0.25">
      <c r="I40" s="34" t="s">
        <v>238</v>
      </c>
      <c r="J40" s="35">
        <v>2014</v>
      </c>
      <c r="K40" s="35">
        <v>2015</v>
      </c>
      <c r="L40" s="35">
        <v>2016</v>
      </c>
      <c r="M40" s="35" t="s">
        <v>239</v>
      </c>
      <c r="N40" s="35"/>
      <c r="O40" s="35"/>
      <c r="P40" s="35" t="s">
        <v>240</v>
      </c>
      <c r="R40">
        <v>15</v>
      </c>
      <c r="S40" s="2" t="s">
        <v>206</v>
      </c>
      <c r="T40" s="22">
        <v>16655</v>
      </c>
      <c r="U40" s="22">
        <f t="shared" si="9"/>
        <v>15076.742793209214</v>
      </c>
      <c r="V40" s="22">
        <f t="shared" si="10"/>
        <v>-1578.2572067907859</v>
      </c>
      <c r="W40">
        <v>-1122.9621105083934</v>
      </c>
    </row>
    <row r="41" spans="1:27" x14ac:dyDescent="0.25">
      <c r="I41" s="35" t="s">
        <v>242</v>
      </c>
      <c r="J41" s="35">
        <f>SUM(J24:J26)+SUM(J33:J35)</f>
        <v>99786</v>
      </c>
      <c r="K41" s="35">
        <f>SUM(K24:K26)+SUM(K33:K35)</f>
        <v>133196</v>
      </c>
      <c r="L41" s="35">
        <f t="shared" ref="L41" si="11">SUM(L24:L26)+SUM(L33:L35)</f>
        <v>167069</v>
      </c>
      <c r="M41" s="35">
        <f>SUM(J41:L41)</f>
        <v>400051</v>
      </c>
      <c r="N41" s="35"/>
      <c r="O41" s="35"/>
      <c r="P41" s="36">
        <f>M41/$M$43</f>
        <v>0.56689178848562827</v>
      </c>
      <c r="R41">
        <v>16</v>
      </c>
      <c r="S41" s="2" t="s">
        <v>207</v>
      </c>
      <c r="T41" s="22">
        <v>17177</v>
      </c>
      <c r="U41" s="22">
        <f t="shared" si="9"/>
        <v>16054.037889491607</v>
      </c>
      <c r="V41" s="22">
        <f t="shared" si="10"/>
        <v>-1122.9621105083934</v>
      </c>
      <c r="W41">
        <v>-1128.7118192036469</v>
      </c>
    </row>
    <row r="42" spans="1:27" x14ac:dyDescent="0.25">
      <c r="I42" s="34" t="s">
        <v>243</v>
      </c>
      <c r="J42" s="35">
        <f>SUM(J27:J32)</f>
        <v>76888</v>
      </c>
      <c r="K42" s="35">
        <f t="shared" ref="K42:L42" si="12">SUM(K27:K32)</f>
        <v>101436</v>
      </c>
      <c r="L42" s="35">
        <f t="shared" si="12"/>
        <v>127317</v>
      </c>
      <c r="M42" s="35">
        <f>SUM(J42:L42)</f>
        <v>305641</v>
      </c>
      <c r="N42" s="35"/>
      <c r="O42" s="35"/>
      <c r="P42" s="36">
        <f>M42/$M$43</f>
        <v>0.43310821151437173</v>
      </c>
      <c r="R42">
        <v>17</v>
      </c>
      <c r="S42" s="2" t="s">
        <v>208</v>
      </c>
      <c r="T42" s="22">
        <v>15960</v>
      </c>
      <c r="U42" s="22">
        <f t="shared" si="9"/>
        <v>14831.288180796353</v>
      </c>
      <c r="V42" s="22">
        <f t="shared" si="10"/>
        <v>-1128.7118192036469</v>
      </c>
      <c r="W42">
        <v>-751.26401737023116</v>
      </c>
      <c r="X42" t="s">
        <v>276</v>
      </c>
    </row>
    <row r="43" spans="1:27" x14ac:dyDescent="0.25">
      <c r="I43" s="34" t="s">
        <v>239</v>
      </c>
      <c r="J43" s="35">
        <f>SUM(J41:J42)</f>
        <v>176674</v>
      </c>
      <c r="K43" s="35">
        <f t="shared" ref="K43:L43" si="13">SUM(K41:K42)</f>
        <v>234632</v>
      </c>
      <c r="L43" s="35">
        <f t="shared" si="13"/>
        <v>294386</v>
      </c>
      <c r="M43" s="35">
        <f>SUM(J43:L43)</f>
        <v>705692</v>
      </c>
      <c r="N43" s="35"/>
      <c r="O43" s="35"/>
      <c r="P43" s="36">
        <f>M43/$M$43</f>
        <v>1</v>
      </c>
      <c r="R43">
        <v>18</v>
      </c>
      <c r="S43" s="2" t="s">
        <v>209</v>
      </c>
      <c r="T43" s="22">
        <v>16347</v>
      </c>
      <c r="U43" s="22">
        <f t="shared" si="9"/>
        <v>15595.735982629769</v>
      </c>
      <c r="V43" s="22">
        <f t="shared" si="10"/>
        <v>-751.26401737023116</v>
      </c>
      <c r="W43">
        <v>-288.40404559783929</v>
      </c>
      <c r="X43" t="s">
        <v>269</v>
      </c>
      <c r="Y43" s="42">
        <f>AVERAGE(V24:V35,V37:V48,V50:V61)</f>
        <v>8.084397349092695E-13</v>
      </c>
      <c r="Z43" t="s">
        <v>270</v>
      </c>
      <c r="AA43" t="s">
        <v>275</v>
      </c>
    </row>
    <row r="44" spans="1:27" x14ac:dyDescent="0.25">
      <c r="P44" s="11"/>
      <c r="R44">
        <v>19</v>
      </c>
      <c r="S44" s="2" t="s">
        <v>210</v>
      </c>
      <c r="T44" s="22">
        <v>16630</v>
      </c>
      <c r="U44" s="22">
        <f t="shared" si="9"/>
        <v>16341.595954402161</v>
      </c>
      <c r="V44" s="22">
        <f t="shared" si="10"/>
        <v>-288.40404559783929</v>
      </c>
      <c r="W44">
        <v>918.16956377120368</v>
      </c>
      <c r="X44" t="s">
        <v>277</v>
      </c>
      <c r="Y44">
        <f>_xlfn.STDEV.S(V24:V35,V37:V48,V50:V61)</f>
        <v>2403.0592586360508</v>
      </c>
      <c r="AA44">
        <v>5204.1958987818698</v>
      </c>
    </row>
    <row r="45" spans="1:27" x14ac:dyDescent="0.25">
      <c r="J45" t="s">
        <v>244</v>
      </c>
      <c r="R45">
        <v>20</v>
      </c>
      <c r="S45" s="2" t="s">
        <v>211</v>
      </c>
      <c r="T45" s="22">
        <v>18667</v>
      </c>
      <c r="U45" s="22">
        <f t="shared" si="9"/>
        <v>19585.169563771204</v>
      </c>
      <c r="V45" s="22">
        <f t="shared" si="10"/>
        <v>918.16956377120368</v>
      </c>
      <c r="W45">
        <v>1415.8998030257208</v>
      </c>
    </row>
    <row r="46" spans="1:27" x14ac:dyDescent="0.25">
      <c r="R46">
        <v>21</v>
      </c>
      <c r="S46" s="2" t="s">
        <v>212</v>
      </c>
      <c r="T46" s="22">
        <v>19030</v>
      </c>
      <c r="U46" s="22">
        <f t="shared" si="9"/>
        <v>20445.899803025721</v>
      </c>
      <c r="V46" s="22">
        <f t="shared" si="10"/>
        <v>1415.8998030257208</v>
      </c>
      <c r="W46">
        <v>3291.084965472146</v>
      </c>
    </row>
    <row r="47" spans="1:27" x14ac:dyDescent="0.25">
      <c r="R47">
        <v>22</v>
      </c>
      <c r="S47" s="2" t="s">
        <v>213</v>
      </c>
      <c r="T47" s="22">
        <v>23101</v>
      </c>
      <c r="U47" s="22">
        <f t="shared" si="9"/>
        <v>26392.084965472146</v>
      </c>
      <c r="V47" s="22">
        <f t="shared" si="10"/>
        <v>3291.084965472146</v>
      </c>
      <c r="W47">
        <v>5373.7820015728757</v>
      </c>
    </row>
    <row r="48" spans="1:27" x14ac:dyDescent="0.25">
      <c r="R48">
        <v>23</v>
      </c>
      <c r="S48" s="2" t="s">
        <v>214</v>
      </c>
      <c r="T48" s="22">
        <v>26991</v>
      </c>
      <c r="U48" s="22">
        <f t="shared" si="9"/>
        <v>32364.782001572876</v>
      </c>
      <c r="V48" s="22">
        <f t="shared" si="10"/>
        <v>5373.7820015728757</v>
      </c>
      <c r="W48">
        <v>-2094.3311393279255</v>
      </c>
    </row>
    <row r="49" spans="18:31" x14ac:dyDescent="0.25">
      <c r="T49" s="22" t="s">
        <v>250</v>
      </c>
      <c r="U49" s="22" t="s">
        <v>251</v>
      </c>
      <c r="V49" s="22" t="s">
        <v>252</v>
      </c>
      <c r="W49">
        <v>-1546.7255292722148</v>
      </c>
      <c r="Y49" t="s">
        <v>292</v>
      </c>
      <c r="Z49" t="s">
        <v>28</v>
      </c>
    </row>
    <row r="50" spans="18:31" x14ac:dyDescent="0.25">
      <c r="R50">
        <v>24</v>
      </c>
      <c r="S50" s="2" t="s">
        <v>203</v>
      </c>
      <c r="T50" s="22">
        <v>29315</v>
      </c>
      <c r="U50" s="22">
        <f>($L$17+$K$21*R50)*(1+O24)-$AA$44</f>
        <v>27220.668860672075</v>
      </c>
      <c r="V50" s="22">
        <f>U50-T50</f>
        <v>-2094.3311393279255</v>
      </c>
      <c r="W50">
        <v>-1429.2436172118396</v>
      </c>
      <c r="Y50">
        <f>(Z55-Z50)/5</f>
        <v>1921.4320287037401</v>
      </c>
      <c r="Z50">
        <f>MIN(W24:W59)</f>
        <v>-2465.4666287887267</v>
      </c>
    </row>
    <row r="51" spans="18:31" x14ac:dyDescent="0.25">
      <c r="R51">
        <v>25</v>
      </c>
      <c r="S51" s="2" t="s">
        <v>204</v>
      </c>
      <c r="T51" s="22">
        <v>27949</v>
      </c>
      <c r="U51" s="22">
        <f t="shared" ref="U51:U61" si="14">($L$17+$K$21*R51)*(1+O25)-$AA$44</f>
        <v>26402.274470727785</v>
      </c>
      <c r="V51" s="22">
        <f t="shared" ref="V51:V61" si="15">U51-T51</f>
        <v>-1546.7255292722148</v>
      </c>
      <c r="W51">
        <v>-1411.7230866039972</v>
      </c>
      <c r="Z51">
        <f>Z50+$Y$50</f>
        <v>-544.03460008498655</v>
      </c>
    </row>
    <row r="52" spans="18:31" x14ac:dyDescent="0.25">
      <c r="R52">
        <v>26</v>
      </c>
      <c r="S52" s="2" t="s">
        <v>205</v>
      </c>
      <c r="T52" s="22">
        <v>24897</v>
      </c>
      <c r="U52" s="22">
        <f t="shared" si="14"/>
        <v>23467.75638278816</v>
      </c>
      <c r="V52" s="22">
        <f t="shared" si="15"/>
        <v>-1429.2436172118396</v>
      </c>
      <c r="W52">
        <v>-817.93759005795073</v>
      </c>
      <c r="Z52">
        <f t="shared" ref="Z52:Z54" si="16">Z51+$Y$50</f>
        <v>1377.3974286187536</v>
      </c>
    </row>
    <row r="53" spans="18:31" x14ac:dyDescent="0.25">
      <c r="R53">
        <v>27</v>
      </c>
      <c r="S53" s="2" t="s">
        <v>206</v>
      </c>
      <c r="T53" s="22">
        <v>21353</v>
      </c>
      <c r="U53" s="22">
        <f t="shared" si="14"/>
        <v>19941.276913396003</v>
      </c>
      <c r="V53" s="22">
        <f t="shared" si="15"/>
        <v>-1411.7230866039972</v>
      </c>
      <c r="W53">
        <v>-482.77932465523918</v>
      </c>
      <c r="Z53">
        <f t="shared" si="16"/>
        <v>3298.8294573224939</v>
      </c>
    </row>
    <row r="54" spans="18:31" x14ac:dyDescent="0.25">
      <c r="R54">
        <v>28</v>
      </c>
      <c r="S54" s="2" t="s">
        <v>207</v>
      </c>
      <c r="T54" s="22">
        <v>21871</v>
      </c>
      <c r="U54" s="22">
        <f t="shared" si="14"/>
        <v>21053.062409942049</v>
      </c>
      <c r="V54" s="22">
        <f t="shared" si="15"/>
        <v>-817.93759005795073</v>
      </c>
      <c r="W54">
        <v>-196.48454109526938</v>
      </c>
      <c r="Z54">
        <f t="shared" si="16"/>
        <v>5220.2614860262338</v>
      </c>
    </row>
    <row r="55" spans="18:31" x14ac:dyDescent="0.25">
      <c r="R55">
        <v>29</v>
      </c>
      <c r="S55" s="2" t="s">
        <v>208</v>
      </c>
      <c r="T55" s="22">
        <v>19935</v>
      </c>
      <c r="U55" s="22">
        <f t="shared" si="14"/>
        <v>19452.220675344761</v>
      </c>
      <c r="V55" s="22">
        <f t="shared" si="15"/>
        <v>-482.77932465523918</v>
      </c>
      <c r="W55">
        <v>621.91628629928528</v>
      </c>
      <c r="Z55">
        <f>MAX(W24:W59)</f>
        <v>7141.6935147299737</v>
      </c>
    </row>
    <row r="56" spans="18:31" x14ac:dyDescent="0.25">
      <c r="R56">
        <v>30</v>
      </c>
      <c r="S56" s="2" t="s">
        <v>209</v>
      </c>
      <c r="T56" s="22">
        <v>20499</v>
      </c>
      <c r="U56" s="22">
        <f t="shared" si="14"/>
        <v>20302.515458904731</v>
      </c>
      <c r="V56" s="22">
        <f t="shared" si="15"/>
        <v>-196.48454109526938</v>
      </c>
      <c r="W56">
        <v>1836.8376818737161</v>
      </c>
    </row>
    <row r="57" spans="18:31" x14ac:dyDescent="0.25">
      <c r="R57">
        <v>31</v>
      </c>
      <c r="S57" s="2" t="s">
        <v>210</v>
      </c>
      <c r="T57" s="22">
        <v>20505</v>
      </c>
      <c r="U57" s="22">
        <f t="shared" si="14"/>
        <v>21126.916286299285</v>
      </c>
      <c r="V57" s="22">
        <f t="shared" si="15"/>
        <v>621.91628629928528</v>
      </c>
      <c r="W57">
        <v>2382.4337008573093</v>
      </c>
    </row>
    <row r="58" spans="18:31" x14ac:dyDescent="0.25">
      <c r="R58">
        <v>32</v>
      </c>
      <c r="S58" s="2" t="s">
        <v>211</v>
      </c>
      <c r="T58" s="22">
        <v>23154</v>
      </c>
      <c r="U58" s="22">
        <f t="shared" si="14"/>
        <v>24990.837681873716</v>
      </c>
      <c r="V58" s="22">
        <f t="shared" si="15"/>
        <v>1836.8376818737161</v>
      </c>
      <c r="W58">
        <v>4681.4674539879779</v>
      </c>
    </row>
    <row r="59" spans="18:31" x14ac:dyDescent="0.25">
      <c r="R59">
        <v>33</v>
      </c>
      <c r="S59" s="2" t="s">
        <v>212</v>
      </c>
      <c r="T59" s="22">
        <v>23557</v>
      </c>
      <c r="U59" s="22">
        <f t="shared" si="14"/>
        <v>25939.433700857309</v>
      </c>
      <c r="V59" s="22">
        <f t="shared" si="15"/>
        <v>2382.4337008573093</v>
      </c>
      <c r="W59">
        <v>7141.6935147299737</v>
      </c>
      <c r="AE59" s="43"/>
    </row>
    <row r="60" spans="18:31" x14ac:dyDescent="0.25">
      <c r="R60">
        <v>34</v>
      </c>
      <c r="S60" s="2" t="s">
        <v>213</v>
      </c>
      <c r="T60" s="22">
        <v>28359</v>
      </c>
      <c r="U60" s="22">
        <f t="shared" si="14"/>
        <v>33040.467453987978</v>
      </c>
      <c r="V60" s="22">
        <f t="shared" si="15"/>
        <v>4681.4674539879779</v>
      </c>
      <c r="AE60" s="43"/>
    </row>
    <row r="61" spans="18:31" x14ac:dyDescent="0.25">
      <c r="R61">
        <v>35</v>
      </c>
      <c r="S61" s="2" t="s">
        <v>214</v>
      </c>
      <c r="T61" s="22">
        <v>32992</v>
      </c>
      <c r="U61" s="22">
        <f t="shared" si="14"/>
        <v>40133.693514729974</v>
      </c>
      <c r="V61" s="22">
        <f t="shared" si="15"/>
        <v>7141.6935147299737</v>
      </c>
      <c r="AE61" s="43"/>
    </row>
    <row r="62" spans="18:31" x14ac:dyDescent="0.25">
      <c r="AE62" s="43"/>
    </row>
    <row r="63" spans="18:31" x14ac:dyDescent="0.25">
      <c r="AE63" s="43"/>
    </row>
    <row r="64" spans="18:31" x14ac:dyDescent="0.25">
      <c r="AE64" s="43"/>
    </row>
  </sheetData>
  <sortState xmlns:xlrd2="http://schemas.microsoft.com/office/spreadsheetml/2017/richdata2" ref="AE59:AE64">
    <sortCondition ref="AE59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4554-0F6E-40EA-BC90-68D424143366}">
  <dimension ref="A1:W78"/>
  <sheetViews>
    <sheetView topLeftCell="A57" zoomScale="85" zoomScaleNormal="85" workbookViewId="0">
      <selection activeCell="H83" sqref="H83"/>
    </sheetView>
  </sheetViews>
  <sheetFormatPr baseColWidth="10" defaultRowHeight="15" x14ac:dyDescent="0.25"/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W1" t="s">
        <v>293</v>
      </c>
    </row>
    <row r="2" spans="1:23" x14ac:dyDescent="0.25">
      <c r="A2" t="s">
        <v>278</v>
      </c>
      <c r="B2">
        <v>21</v>
      </c>
      <c r="C2">
        <v>20</v>
      </c>
      <c r="D2">
        <v>21</v>
      </c>
      <c r="E2">
        <v>21</v>
      </c>
      <c r="F2">
        <v>20</v>
      </c>
      <c r="G2">
        <v>21</v>
      </c>
      <c r="H2">
        <v>21</v>
      </c>
      <c r="I2">
        <v>21</v>
      </c>
      <c r="J2">
        <v>22</v>
      </c>
      <c r="K2">
        <v>22</v>
      </c>
      <c r="L2">
        <v>20</v>
      </c>
      <c r="M2">
        <v>21</v>
      </c>
      <c r="N2">
        <v>21</v>
      </c>
      <c r="O2">
        <v>21</v>
      </c>
      <c r="P2">
        <v>20</v>
      </c>
      <c r="Q2">
        <v>20</v>
      </c>
      <c r="R2">
        <v>21</v>
      </c>
      <c r="S2">
        <v>21</v>
      </c>
      <c r="T2">
        <v>21</v>
      </c>
      <c r="U2">
        <v>21</v>
      </c>
      <c r="W2" t="s">
        <v>294</v>
      </c>
    </row>
    <row r="3" spans="1:23" x14ac:dyDescent="0.25">
      <c r="A3" t="s">
        <v>279</v>
      </c>
      <c r="B3">
        <v>187.6</v>
      </c>
      <c r="C3">
        <v>214</v>
      </c>
      <c r="D3">
        <v>176.9</v>
      </c>
      <c r="E3">
        <v>195.6</v>
      </c>
      <c r="F3">
        <v>229.8</v>
      </c>
      <c r="G3">
        <v>210.8</v>
      </c>
      <c r="H3">
        <v>204.8</v>
      </c>
      <c r="I3">
        <v>159.19999999999999</v>
      </c>
      <c r="J3">
        <v>201.2</v>
      </c>
      <c r="K3">
        <v>181.3</v>
      </c>
      <c r="L3">
        <v>237.4</v>
      </c>
      <c r="M3">
        <v>223.1</v>
      </c>
      <c r="N3">
        <v>216.8</v>
      </c>
      <c r="O3">
        <v>287.39999999999998</v>
      </c>
      <c r="P3">
        <v>255.4</v>
      </c>
      <c r="Q3">
        <v>192.3</v>
      </c>
      <c r="R3">
        <v>331.9</v>
      </c>
      <c r="S3">
        <v>181.3</v>
      </c>
      <c r="T3">
        <v>190.3</v>
      </c>
      <c r="U3">
        <v>173.9</v>
      </c>
      <c r="W3" t="s">
        <v>295</v>
      </c>
    </row>
    <row r="4" spans="1:23" x14ac:dyDescent="0.25">
      <c r="A4" t="s">
        <v>280</v>
      </c>
      <c r="B4">
        <v>114.2</v>
      </c>
      <c r="C4">
        <v>101.5</v>
      </c>
      <c r="D4">
        <v>86.4</v>
      </c>
      <c r="E4">
        <v>93.1</v>
      </c>
      <c r="F4">
        <v>91.2</v>
      </c>
      <c r="G4">
        <v>88.3</v>
      </c>
      <c r="H4">
        <v>92.4</v>
      </c>
      <c r="I4">
        <v>84.8</v>
      </c>
      <c r="J4">
        <v>84.1</v>
      </c>
      <c r="K4">
        <v>91.8</v>
      </c>
      <c r="L4">
        <v>95.6</v>
      </c>
      <c r="M4">
        <v>84.6</v>
      </c>
      <c r="N4">
        <v>83</v>
      </c>
      <c r="O4">
        <v>75.900000000000006</v>
      </c>
      <c r="P4">
        <v>97.9</v>
      </c>
      <c r="Q4">
        <v>93.6</v>
      </c>
      <c r="R4">
        <v>99.4</v>
      </c>
      <c r="S4">
        <v>87.5</v>
      </c>
      <c r="T4">
        <v>87.6</v>
      </c>
      <c r="U4">
        <v>85.7</v>
      </c>
    </row>
    <row r="5" spans="1:23" x14ac:dyDescent="0.25">
      <c r="A5" t="s">
        <v>281</v>
      </c>
      <c r="B5">
        <v>48.1</v>
      </c>
      <c r="C5">
        <v>43.1</v>
      </c>
      <c r="D5">
        <v>50.9</v>
      </c>
      <c r="E5">
        <v>46.3</v>
      </c>
      <c r="F5">
        <v>41.1</v>
      </c>
      <c r="G5">
        <v>43.6</v>
      </c>
      <c r="H5">
        <v>44.6</v>
      </c>
      <c r="I5">
        <v>57.5</v>
      </c>
      <c r="J5">
        <v>45.2</v>
      </c>
      <c r="K5">
        <v>49.6</v>
      </c>
      <c r="L5">
        <v>40.299999999999997</v>
      </c>
      <c r="M5">
        <v>41.9</v>
      </c>
      <c r="N5">
        <v>42.7</v>
      </c>
      <c r="O5">
        <v>36.4</v>
      </c>
      <c r="P5">
        <v>38.6</v>
      </c>
      <c r="Q5">
        <v>47</v>
      </c>
      <c r="R5">
        <v>34.299999999999997</v>
      </c>
      <c r="S5">
        <v>49.6</v>
      </c>
      <c r="T5">
        <v>47.4</v>
      </c>
      <c r="U5">
        <v>51.8</v>
      </c>
    </row>
    <row r="7" spans="1:23" x14ac:dyDescent="0.25">
      <c r="A7" t="s">
        <v>282</v>
      </c>
    </row>
    <row r="8" spans="1:23" x14ac:dyDescent="0.25">
      <c r="A8" t="s">
        <v>283</v>
      </c>
      <c r="C8" t="s">
        <v>296</v>
      </c>
    </row>
    <row r="9" spans="1:23" x14ac:dyDescent="0.25">
      <c r="A9" t="s">
        <v>284</v>
      </c>
      <c r="N9" s="43"/>
    </row>
    <row r="10" spans="1:23" x14ac:dyDescent="0.25">
      <c r="A10" t="s">
        <v>285</v>
      </c>
      <c r="N10" s="43"/>
    </row>
    <row r="11" spans="1:23" x14ac:dyDescent="0.25">
      <c r="A11" t="s">
        <v>286</v>
      </c>
    </row>
    <row r="13" spans="1:23" ht="15.75" thickBot="1" x14ac:dyDescent="0.3">
      <c r="A13" t="s">
        <v>287</v>
      </c>
    </row>
    <row r="14" spans="1:23" x14ac:dyDescent="0.25">
      <c r="A14" s="7" t="s">
        <v>26</v>
      </c>
      <c r="B14" s="7" t="s">
        <v>27</v>
      </c>
      <c r="H14" t="s">
        <v>297</v>
      </c>
    </row>
    <row r="15" spans="1:23" x14ac:dyDescent="0.25">
      <c r="A15" s="4">
        <v>20</v>
      </c>
      <c r="B15" s="5">
        <v>5</v>
      </c>
      <c r="H15" t="s">
        <v>298</v>
      </c>
    </row>
    <row r="16" spans="1:23" x14ac:dyDescent="0.25">
      <c r="A16" s="4">
        <v>21</v>
      </c>
      <c r="B16" s="5">
        <v>13</v>
      </c>
    </row>
    <row r="17" spans="1:11" x14ac:dyDescent="0.25">
      <c r="A17" s="4">
        <v>22</v>
      </c>
      <c r="B17" s="5">
        <v>2</v>
      </c>
    </row>
    <row r="18" spans="1:11" ht="15.75" thickBot="1" x14ac:dyDescent="0.3">
      <c r="A18" s="6"/>
      <c r="B18" s="6"/>
    </row>
    <row r="20" spans="1:11" x14ac:dyDescent="0.25">
      <c r="A20" s="58" t="s">
        <v>29</v>
      </c>
      <c r="B20" s="58"/>
    </row>
    <row r="21" spans="1:11" x14ac:dyDescent="0.25">
      <c r="A21" s="59" t="s">
        <v>288</v>
      </c>
      <c r="B21" s="59"/>
    </row>
    <row r="23" spans="1:11" x14ac:dyDescent="0.25">
      <c r="A23" t="s">
        <v>289</v>
      </c>
    </row>
    <row r="24" spans="1:11" x14ac:dyDescent="0.25">
      <c r="A24" t="s">
        <v>290</v>
      </c>
    </row>
    <row r="25" spans="1:11" x14ac:dyDescent="0.25">
      <c r="A25" t="s">
        <v>291</v>
      </c>
    </row>
    <row r="26" spans="1:11" x14ac:dyDescent="0.25">
      <c r="A26" t="s">
        <v>299</v>
      </c>
    </row>
    <row r="27" spans="1:11" x14ac:dyDescent="0.25">
      <c r="A27" t="s">
        <v>300</v>
      </c>
      <c r="H27" t="s">
        <v>302</v>
      </c>
    </row>
    <row r="28" spans="1:11" x14ac:dyDescent="0.25">
      <c r="A28">
        <f>SQRT(20)</f>
        <v>4.4721359549995796</v>
      </c>
      <c r="H28" t="s">
        <v>303</v>
      </c>
    </row>
    <row r="29" spans="1:11" x14ac:dyDescent="0.25">
      <c r="A29" t="s">
        <v>301</v>
      </c>
      <c r="H29" t="s">
        <v>304</v>
      </c>
    </row>
    <row r="30" spans="1:11" x14ac:dyDescent="0.25">
      <c r="H30" t="s">
        <v>305</v>
      </c>
    </row>
    <row r="31" spans="1:11" x14ac:dyDescent="0.25">
      <c r="H31" t="s">
        <v>306</v>
      </c>
    </row>
    <row r="32" spans="1:11" x14ac:dyDescent="0.25">
      <c r="H32" s="45" t="s">
        <v>307</v>
      </c>
      <c r="I32" s="45"/>
      <c r="J32" s="45"/>
      <c r="K32" s="45"/>
    </row>
    <row r="38" spans="9:9" x14ac:dyDescent="0.25">
      <c r="I38" t="s">
        <v>322</v>
      </c>
    </row>
    <row r="39" spans="9:9" x14ac:dyDescent="0.25">
      <c r="I39" t="s">
        <v>323</v>
      </c>
    </row>
    <row r="40" spans="9:9" x14ac:dyDescent="0.25">
      <c r="I40" t="s">
        <v>324</v>
      </c>
    </row>
    <row r="41" spans="9:9" x14ac:dyDescent="0.25">
      <c r="I41" t="s">
        <v>325</v>
      </c>
    </row>
    <row r="42" spans="9:9" x14ac:dyDescent="0.25">
      <c r="I42" t="s">
        <v>326</v>
      </c>
    </row>
    <row r="43" spans="9:9" x14ac:dyDescent="0.25">
      <c r="I43" t="s">
        <v>327</v>
      </c>
    </row>
    <row r="51" spans="1:12" x14ac:dyDescent="0.25">
      <c r="A51" t="s">
        <v>308</v>
      </c>
      <c r="B51" t="s">
        <v>309</v>
      </c>
    </row>
    <row r="52" spans="1:12" x14ac:dyDescent="0.25">
      <c r="B52" t="s">
        <v>310</v>
      </c>
    </row>
    <row r="54" spans="1:12" x14ac:dyDescent="0.25">
      <c r="H54" t="s">
        <v>31</v>
      </c>
      <c r="I54">
        <f>MAX(B4:U4)</f>
        <v>114.2</v>
      </c>
    </row>
    <row r="55" spans="1:12" x14ac:dyDescent="0.25">
      <c r="H55" t="s">
        <v>30</v>
      </c>
      <c r="I55">
        <f>MIN(B4:U4)</f>
        <v>75.900000000000006</v>
      </c>
    </row>
    <row r="56" spans="1:12" x14ac:dyDescent="0.25">
      <c r="H56" t="s">
        <v>269</v>
      </c>
      <c r="I56">
        <f>AVERAGE(B4:U4)</f>
        <v>90.93</v>
      </c>
      <c r="J56">
        <f>$H$63</f>
        <v>84.79</v>
      </c>
      <c r="L56" t="s">
        <v>313</v>
      </c>
    </row>
    <row r="57" spans="1:12" x14ac:dyDescent="0.25">
      <c r="H57" t="s">
        <v>33</v>
      </c>
      <c r="I57">
        <f>I56*3-I55-I54</f>
        <v>82.690000000000012</v>
      </c>
      <c r="J57">
        <f>J56*3-I55-I54</f>
        <v>64.27</v>
      </c>
      <c r="L57" t="s">
        <v>314</v>
      </c>
    </row>
    <row r="59" spans="1:12" x14ac:dyDescent="0.25">
      <c r="H59" s="58" t="s">
        <v>311</v>
      </c>
      <c r="I59" s="58"/>
      <c r="J59" s="58"/>
    </row>
    <row r="60" spans="1:12" x14ac:dyDescent="0.25">
      <c r="H60" s="59" t="s">
        <v>312</v>
      </c>
      <c r="I60" s="59"/>
      <c r="J60" s="59"/>
    </row>
    <row r="62" spans="1:12" x14ac:dyDescent="0.25">
      <c r="H62">
        <f>SUMIF(B4:U4,"&lt;88,66666666")</f>
        <v>847.90000000000009</v>
      </c>
      <c r="I62">
        <f>COUNTIF(B4:U4,"&lt;88,66666666")</f>
        <v>10</v>
      </c>
    </row>
    <row r="63" spans="1:12" x14ac:dyDescent="0.25">
      <c r="H63">
        <f>AVERAGEIF(B4:U4,"&lt;88,66666666")</f>
        <v>84.79</v>
      </c>
    </row>
    <row r="67" spans="1:13" x14ac:dyDescent="0.25">
      <c r="A67" t="s">
        <v>315</v>
      </c>
      <c r="B67" t="s">
        <v>316</v>
      </c>
    </row>
    <row r="68" spans="1:13" x14ac:dyDescent="0.25">
      <c r="B68" t="s">
        <v>317</v>
      </c>
    </row>
    <row r="70" spans="1:13" x14ac:dyDescent="0.25">
      <c r="H70" t="s">
        <v>318</v>
      </c>
    </row>
    <row r="71" spans="1:13" x14ac:dyDescent="0.25">
      <c r="H71" t="s">
        <v>319</v>
      </c>
    </row>
    <row r="72" spans="1:13" x14ac:dyDescent="0.25">
      <c r="H72" t="s">
        <v>320</v>
      </c>
    </row>
    <row r="75" spans="1:13" x14ac:dyDescent="0.25">
      <c r="H75" t="s">
        <v>30</v>
      </c>
      <c r="I75">
        <f>MIN(B5:U5)</f>
        <v>34.299999999999997</v>
      </c>
      <c r="K75" s="58" t="s">
        <v>311</v>
      </c>
      <c r="L75" s="58"/>
      <c r="M75" s="58"/>
    </row>
    <row r="76" spans="1:13" x14ac:dyDescent="0.25">
      <c r="H76" t="s">
        <v>31</v>
      </c>
      <c r="I76">
        <f>MAX(B5:U5)</f>
        <v>57.5</v>
      </c>
      <c r="K76" s="60" t="s">
        <v>321</v>
      </c>
      <c r="L76" s="60"/>
      <c r="M76" s="60"/>
    </row>
    <row r="77" spans="1:13" x14ac:dyDescent="0.25">
      <c r="H77" t="s">
        <v>269</v>
      </c>
      <c r="I77">
        <f>AVERAGE(B5:U5)</f>
        <v>45</v>
      </c>
    </row>
    <row r="78" spans="1:13" x14ac:dyDescent="0.25">
      <c r="H78" t="s">
        <v>33</v>
      </c>
      <c r="I78">
        <f>I77*3-I76-I75</f>
        <v>43.2</v>
      </c>
    </row>
  </sheetData>
  <sortState xmlns:xlrd2="http://schemas.microsoft.com/office/spreadsheetml/2017/richdata2" ref="A15:A17">
    <sortCondition ref="A15"/>
  </sortState>
  <mergeCells count="6">
    <mergeCell ref="K76:M76"/>
    <mergeCell ref="A20:B20"/>
    <mergeCell ref="A21:B21"/>
    <mergeCell ref="H59:J59"/>
    <mergeCell ref="H60:J60"/>
    <mergeCell ref="K75:M7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31A1-69A8-4B42-80BB-020E726EE062}">
  <dimension ref="A1:Q36"/>
  <sheetViews>
    <sheetView workbookViewId="0">
      <selection activeCell="Q10" sqref="Q10"/>
    </sheetView>
  </sheetViews>
  <sheetFormatPr baseColWidth="10" defaultRowHeight="15" x14ac:dyDescent="0.25"/>
  <cols>
    <col min="12" max="12" width="23.7109375" bestFit="1" customWidth="1"/>
  </cols>
  <sheetData>
    <row r="1" spans="1:15" x14ac:dyDescent="0.25">
      <c r="A1" t="s">
        <v>200</v>
      </c>
      <c r="F1" t="s">
        <v>183</v>
      </c>
      <c r="G1" t="s">
        <v>182</v>
      </c>
      <c r="H1" t="s">
        <v>186</v>
      </c>
      <c r="I1" t="s">
        <v>185</v>
      </c>
      <c r="M1" t="s">
        <v>199</v>
      </c>
      <c r="N1" t="s">
        <v>198</v>
      </c>
      <c r="O1" t="s">
        <v>197</v>
      </c>
    </row>
    <row r="2" spans="1:15" x14ac:dyDescent="0.25">
      <c r="A2" t="s">
        <v>183</v>
      </c>
      <c r="B2" t="s">
        <v>182</v>
      </c>
      <c r="C2" t="s">
        <v>186</v>
      </c>
      <c r="D2" t="s">
        <v>185</v>
      </c>
      <c r="F2">
        <v>1</v>
      </c>
      <c r="G2">
        <v>2</v>
      </c>
      <c r="H2">
        <v>470</v>
      </c>
      <c r="I2">
        <v>60</v>
      </c>
      <c r="L2" t="s">
        <v>196</v>
      </c>
      <c r="M2">
        <f>AVERAGE(C3:C6)</f>
        <v>100.5</v>
      </c>
      <c r="N2">
        <f>AVERAGE(C10:C27)</f>
        <v>532.22222222222217</v>
      </c>
      <c r="O2">
        <f>AVERAGE(C31:C36)</f>
        <v>990.66666666666663</v>
      </c>
    </row>
    <row r="3" spans="1:15" x14ac:dyDescent="0.25">
      <c r="A3">
        <v>9</v>
      </c>
      <c r="B3">
        <v>1</v>
      </c>
      <c r="C3">
        <v>114</v>
      </c>
      <c r="D3">
        <v>20</v>
      </c>
      <c r="F3">
        <v>2</v>
      </c>
      <c r="G3">
        <v>2</v>
      </c>
      <c r="H3">
        <v>556</v>
      </c>
      <c r="I3">
        <v>60</v>
      </c>
      <c r="L3" t="s">
        <v>195</v>
      </c>
      <c r="M3">
        <f>AVERAGE(D3:D6)</f>
        <v>20</v>
      </c>
      <c r="N3">
        <v>60</v>
      </c>
      <c r="O3">
        <v>100</v>
      </c>
    </row>
    <row r="4" spans="1:15" x14ac:dyDescent="0.25">
      <c r="A4">
        <v>18</v>
      </c>
      <c r="B4">
        <v>1</v>
      </c>
      <c r="C4">
        <v>98</v>
      </c>
      <c r="D4">
        <v>20</v>
      </c>
      <c r="F4">
        <v>3</v>
      </c>
      <c r="G4">
        <v>3</v>
      </c>
      <c r="H4">
        <v>905</v>
      </c>
      <c r="I4">
        <v>100</v>
      </c>
      <c r="L4" t="s">
        <v>194</v>
      </c>
      <c r="M4">
        <f>SUM(C3:C6)</f>
        <v>402</v>
      </c>
      <c r="N4">
        <f>+SUM(C10:C27)</f>
        <v>9580</v>
      </c>
      <c r="O4">
        <f>SUM(C31:C36)</f>
        <v>5944</v>
      </c>
    </row>
    <row r="5" spans="1:15" x14ac:dyDescent="0.25">
      <c r="A5">
        <v>22</v>
      </c>
      <c r="B5">
        <v>1</v>
      </c>
      <c r="C5">
        <v>88</v>
      </c>
      <c r="D5">
        <v>20</v>
      </c>
      <c r="F5">
        <v>4</v>
      </c>
      <c r="G5">
        <v>2</v>
      </c>
      <c r="H5">
        <v>568</v>
      </c>
      <c r="I5">
        <v>60</v>
      </c>
      <c r="L5" t="s">
        <v>193</v>
      </c>
      <c r="M5">
        <f>SUM(D3:D6)</f>
        <v>80</v>
      </c>
      <c r="N5">
        <f>SUM(D10:D27)</f>
        <v>1080</v>
      </c>
      <c r="O5">
        <f>SUM(D31:D36)</f>
        <v>600</v>
      </c>
    </row>
    <row r="6" spans="1:15" x14ac:dyDescent="0.25">
      <c r="A6">
        <v>28</v>
      </c>
      <c r="B6">
        <v>1</v>
      </c>
      <c r="C6">
        <v>102</v>
      </c>
      <c r="D6">
        <v>20</v>
      </c>
      <c r="F6">
        <v>5</v>
      </c>
      <c r="G6">
        <v>2</v>
      </c>
      <c r="H6">
        <v>441</v>
      </c>
      <c r="I6">
        <v>60</v>
      </c>
      <c r="L6" t="s">
        <v>192</v>
      </c>
      <c r="M6">
        <f>COUNT(B3:B6)</f>
        <v>4</v>
      </c>
      <c r="N6">
        <f>COUNT(B10:B27)</f>
        <v>18</v>
      </c>
      <c r="O6">
        <f>COUNT(B31:B36)</f>
        <v>6</v>
      </c>
    </row>
    <row r="7" spans="1:15" x14ac:dyDescent="0.25">
      <c r="F7">
        <v>6</v>
      </c>
      <c r="G7">
        <v>2</v>
      </c>
      <c r="H7">
        <v>656</v>
      </c>
      <c r="I7">
        <v>60</v>
      </c>
      <c r="L7" t="s">
        <v>191</v>
      </c>
      <c r="M7" s="3">
        <f>M6/28</f>
        <v>0.14285714285714285</v>
      </c>
      <c r="N7" s="3">
        <f>N6/28</f>
        <v>0.6428571428571429</v>
      </c>
      <c r="O7" s="3">
        <f>O6/28</f>
        <v>0.21428571428571427</v>
      </c>
    </row>
    <row r="8" spans="1:15" x14ac:dyDescent="0.25">
      <c r="A8" t="s">
        <v>190</v>
      </c>
      <c r="F8">
        <v>7</v>
      </c>
      <c r="G8">
        <v>2</v>
      </c>
      <c r="H8">
        <v>460</v>
      </c>
      <c r="I8">
        <v>60</v>
      </c>
      <c r="L8" t="s">
        <v>189</v>
      </c>
      <c r="M8">
        <f>_xlfn.STDEV.S(C3:C6)</f>
        <v>10.754843869934453</v>
      </c>
      <c r="N8">
        <f>_xlfn.STDEV.S(C10:C27)</f>
        <v>63.983045139782703</v>
      </c>
      <c r="O8">
        <f>_xlfn.STDEV.S(C31:C36)</f>
        <v>124.99066631819595</v>
      </c>
    </row>
    <row r="9" spans="1:15" x14ac:dyDescent="0.25">
      <c r="A9" t="s">
        <v>188</v>
      </c>
      <c r="B9" t="s">
        <v>187</v>
      </c>
      <c r="C9" t="s">
        <v>186</v>
      </c>
      <c r="D9" t="s">
        <v>185</v>
      </c>
      <c r="F9">
        <v>8</v>
      </c>
      <c r="G9">
        <v>2</v>
      </c>
      <c r="H9">
        <v>523</v>
      </c>
      <c r="I9">
        <v>60</v>
      </c>
    </row>
    <row r="10" spans="1:15" x14ac:dyDescent="0.25">
      <c r="A10">
        <v>1</v>
      </c>
      <c r="B10">
        <v>2</v>
      </c>
      <c r="C10">
        <v>470</v>
      </c>
      <c r="D10">
        <v>60</v>
      </c>
      <c r="F10">
        <v>9</v>
      </c>
      <c r="G10">
        <v>1</v>
      </c>
      <c r="H10">
        <v>114</v>
      </c>
      <c r="I10">
        <v>20</v>
      </c>
    </row>
    <row r="11" spans="1:15" x14ac:dyDescent="0.25">
      <c r="A11">
        <v>2</v>
      </c>
      <c r="B11">
        <v>2</v>
      </c>
      <c r="C11">
        <v>556</v>
      </c>
      <c r="D11">
        <v>60</v>
      </c>
      <c r="F11">
        <v>10</v>
      </c>
      <c r="G11">
        <v>2</v>
      </c>
      <c r="H11">
        <v>593</v>
      </c>
      <c r="I11">
        <v>60</v>
      </c>
    </row>
    <row r="12" spans="1:15" x14ac:dyDescent="0.25">
      <c r="A12">
        <v>4</v>
      </c>
      <c r="B12">
        <v>2</v>
      </c>
      <c r="C12">
        <v>568</v>
      </c>
      <c r="D12">
        <v>60</v>
      </c>
      <c r="F12">
        <v>11</v>
      </c>
      <c r="G12">
        <v>3</v>
      </c>
      <c r="H12">
        <v>1156</v>
      </c>
      <c r="I12">
        <v>100</v>
      </c>
    </row>
    <row r="13" spans="1:15" x14ac:dyDescent="0.25">
      <c r="A13">
        <v>5</v>
      </c>
      <c r="B13">
        <v>2</v>
      </c>
      <c r="C13">
        <v>441</v>
      </c>
      <c r="D13">
        <v>60</v>
      </c>
      <c r="F13">
        <v>12</v>
      </c>
      <c r="G13">
        <v>2</v>
      </c>
      <c r="H13">
        <v>510</v>
      </c>
      <c r="I13">
        <v>60</v>
      </c>
    </row>
    <row r="14" spans="1:15" x14ac:dyDescent="0.25">
      <c r="A14">
        <v>6</v>
      </c>
      <c r="B14">
        <v>2</v>
      </c>
      <c r="C14">
        <v>656</v>
      </c>
      <c r="D14">
        <v>60</v>
      </c>
      <c r="F14">
        <v>13</v>
      </c>
      <c r="G14">
        <v>2</v>
      </c>
      <c r="H14">
        <v>460</v>
      </c>
      <c r="I14">
        <v>60</v>
      </c>
    </row>
    <row r="15" spans="1:15" x14ac:dyDescent="0.25">
      <c r="A15">
        <v>7</v>
      </c>
      <c r="B15">
        <v>2</v>
      </c>
      <c r="C15">
        <v>460</v>
      </c>
      <c r="D15">
        <v>60</v>
      </c>
      <c r="F15">
        <v>14</v>
      </c>
      <c r="G15">
        <v>2</v>
      </c>
      <c r="H15">
        <v>547</v>
      </c>
      <c r="I15">
        <v>60</v>
      </c>
    </row>
    <row r="16" spans="1:15" x14ac:dyDescent="0.25">
      <c r="A16">
        <v>8</v>
      </c>
      <c r="B16">
        <v>2</v>
      </c>
      <c r="C16">
        <v>523</v>
      </c>
      <c r="D16">
        <v>60</v>
      </c>
      <c r="F16">
        <v>15</v>
      </c>
      <c r="G16">
        <v>2</v>
      </c>
      <c r="H16">
        <v>598</v>
      </c>
      <c r="I16">
        <v>60</v>
      </c>
    </row>
    <row r="17" spans="1:17" x14ac:dyDescent="0.25">
      <c r="A17">
        <v>10</v>
      </c>
      <c r="B17">
        <v>2</v>
      </c>
      <c r="C17">
        <v>593</v>
      </c>
      <c r="D17">
        <v>60</v>
      </c>
      <c r="F17">
        <v>16</v>
      </c>
      <c r="G17">
        <v>2</v>
      </c>
      <c r="H17">
        <v>574</v>
      </c>
      <c r="I17">
        <v>60</v>
      </c>
    </row>
    <row r="18" spans="1:17" x14ac:dyDescent="0.25">
      <c r="A18">
        <v>12</v>
      </c>
      <c r="B18">
        <v>2</v>
      </c>
      <c r="C18">
        <v>510</v>
      </c>
      <c r="D18">
        <v>60</v>
      </c>
      <c r="F18">
        <v>17</v>
      </c>
      <c r="G18">
        <v>2</v>
      </c>
      <c r="H18">
        <v>502</v>
      </c>
      <c r="I18">
        <v>60</v>
      </c>
    </row>
    <row r="19" spans="1:17" x14ac:dyDescent="0.25">
      <c r="A19">
        <v>13</v>
      </c>
      <c r="B19">
        <v>2</v>
      </c>
      <c r="C19">
        <v>460</v>
      </c>
      <c r="D19">
        <v>60</v>
      </c>
      <c r="F19">
        <v>18</v>
      </c>
      <c r="G19">
        <v>1</v>
      </c>
      <c r="H19">
        <v>98</v>
      </c>
      <c r="I19">
        <v>20</v>
      </c>
    </row>
    <row r="20" spans="1:17" x14ac:dyDescent="0.25">
      <c r="A20">
        <v>14</v>
      </c>
      <c r="B20">
        <v>2</v>
      </c>
      <c r="C20">
        <v>547</v>
      </c>
      <c r="D20">
        <v>60</v>
      </c>
      <c r="F20">
        <v>19</v>
      </c>
      <c r="G20">
        <v>2</v>
      </c>
      <c r="H20">
        <v>540</v>
      </c>
      <c r="I20">
        <v>60</v>
      </c>
    </row>
    <row r="21" spans="1:17" x14ac:dyDescent="0.25">
      <c r="A21">
        <v>15</v>
      </c>
      <c r="B21">
        <v>2</v>
      </c>
      <c r="C21">
        <v>598</v>
      </c>
      <c r="D21">
        <v>60</v>
      </c>
      <c r="F21">
        <v>20</v>
      </c>
      <c r="G21">
        <v>3</v>
      </c>
      <c r="H21">
        <v>1112</v>
      </c>
      <c r="I21">
        <v>100</v>
      </c>
    </row>
    <row r="22" spans="1:17" x14ac:dyDescent="0.25">
      <c r="A22">
        <v>16</v>
      </c>
      <c r="B22">
        <v>2</v>
      </c>
      <c r="C22">
        <v>574</v>
      </c>
      <c r="D22">
        <v>60</v>
      </c>
      <c r="F22">
        <v>21</v>
      </c>
      <c r="G22">
        <v>2</v>
      </c>
      <c r="H22">
        <v>424</v>
      </c>
      <c r="I22">
        <v>60</v>
      </c>
    </row>
    <row r="23" spans="1:17" x14ac:dyDescent="0.25">
      <c r="A23">
        <v>17</v>
      </c>
      <c r="B23">
        <v>2</v>
      </c>
      <c r="C23">
        <v>502</v>
      </c>
      <c r="D23">
        <v>60</v>
      </c>
      <c r="F23">
        <v>22</v>
      </c>
      <c r="G23">
        <v>1</v>
      </c>
      <c r="H23">
        <v>88</v>
      </c>
      <c r="I23">
        <v>20</v>
      </c>
    </row>
    <row r="24" spans="1:17" x14ac:dyDescent="0.25">
      <c r="A24">
        <v>19</v>
      </c>
      <c r="B24">
        <v>2</v>
      </c>
      <c r="C24">
        <v>540</v>
      </c>
      <c r="D24">
        <v>60</v>
      </c>
      <c r="F24">
        <v>23</v>
      </c>
      <c r="G24">
        <v>2</v>
      </c>
      <c r="H24">
        <v>546</v>
      </c>
      <c r="I24">
        <v>60</v>
      </c>
    </row>
    <row r="25" spans="1:17" x14ac:dyDescent="0.25">
      <c r="A25">
        <v>21</v>
      </c>
      <c r="B25">
        <v>2</v>
      </c>
      <c r="C25">
        <v>424</v>
      </c>
      <c r="D25">
        <v>60</v>
      </c>
      <c r="F25">
        <v>24</v>
      </c>
      <c r="G25">
        <v>3</v>
      </c>
      <c r="H25">
        <v>979</v>
      </c>
      <c r="I25">
        <v>100</v>
      </c>
    </row>
    <row r="26" spans="1:17" x14ac:dyDescent="0.25">
      <c r="A26">
        <v>23</v>
      </c>
      <c r="B26">
        <v>2</v>
      </c>
      <c r="C26">
        <v>546</v>
      </c>
      <c r="D26">
        <v>60</v>
      </c>
      <c r="F26">
        <v>25</v>
      </c>
      <c r="G26">
        <v>3</v>
      </c>
      <c r="H26">
        <v>823</v>
      </c>
      <c r="I26">
        <v>100</v>
      </c>
    </row>
    <row r="27" spans="1:17" x14ac:dyDescent="0.25">
      <c r="A27">
        <v>27</v>
      </c>
      <c r="B27">
        <v>2</v>
      </c>
      <c r="C27">
        <v>612</v>
      </c>
      <c r="D27">
        <v>60</v>
      </c>
      <c r="F27">
        <v>26</v>
      </c>
      <c r="G27">
        <v>3</v>
      </c>
      <c r="H27">
        <v>969</v>
      </c>
      <c r="I27">
        <v>100</v>
      </c>
      <c r="Q27" s="27"/>
    </row>
    <row r="28" spans="1:17" x14ac:dyDescent="0.25">
      <c r="F28">
        <v>27</v>
      </c>
      <c r="G28">
        <v>2</v>
      </c>
      <c r="H28">
        <v>612</v>
      </c>
      <c r="I28">
        <v>60</v>
      </c>
    </row>
    <row r="29" spans="1:17" x14ac:dyDescent="0.25">
      <c r="A29" t="s">
        <v>184</v>
      </c>
      <c r="F29">
        <v>28</v>
      </c>
      <c r="G29">
        <v>1</v>
      </c>
      <c r="H29">
        <v>102</v>
      </c>
      <c r="I29">
        <v>20</v>
      </c>
    </row>
    <row r="30" spans="1:17" x14ac:dyDescent="0.25">
      <c r="A30" t="s">
        <v>183</v>
      </c>
      <c r="B30" t="s">
        <v>182</v>
      </c>
      <c r="C30" t="s">
        <v>181</v>
      </c>
      <c r="D30" t="s">
        <v>180</v>
      </c>
    </row>
    <row r="31" spans="1:17" x14ac:dyDescent="0.25">
      <c r="A31">
        <v>3</v>
      </c>
      <c r="B31">
        <v>3</v>
      </c>
      <c r="C31">
        <v>905</v>
      </c>
      <c r="D31">
        <v>100</v>
      </c>
    </row>
    <row r="32" spans="1:17" x14ac:dyDescent="0.25">
      <c r="A32">
        <v>11</v>
      </c>
      <c r="B32">
        <v>3</v>
      </c>
      <c r="C32">
        <v>1156</v>
      </c>
      <c r="D32">
        <v>100</v>
      </c>
    </row>
    <row r="33" spans="1:4" x14ac:dyDescent="0.25">
      <c r="A33">
        <v>20</v>
      </c>
      <c r="B33">
        <v>3</v>
      </c>
      <c r="C33">
        <v>1112</v>
      </c>
      <c r="D33">
        <v>100</v>
      </c>
    </row>
    <row r="34" spans="1:4" x14ac:dyDescent="0.25">
      <c r="A34">
        <v>24</v>
      </c>
      <c r="B34">
        <v>3</v>
      </c>
      <c r="C34">
        <v>979</v>
      </c>
      <c r="D34">
        <v>100</v>
      </c>
    </row>
    <row r="35" spans="1:4" x14ac:dyDescent="0.25">
      <c r="A35">
        <v>25</v>
      </c>
      <c r="B35">
        <v>3</v>
      </c>
      <c r="C35">
        <v>823</v>
      </c>
      <c r="D35">
        <v>100</v>
      </c>
    </row>
    <row r="36" spans="1:4" x14ac:dyDescent="0.25">
      <c r="A36">
        <v>26</v>
      </c>
      <c r="B36">
        <v>3</v>
      </c>
      <c r="C36">
        <v>969</v>
      </c>
      <c r="D36">
        <v>100</v>
      </c>
    </row>
  </sheetData>
  <autoFilter ref="F1:I29" xr:uid="{D48C90A7-66C0-42FB-AFB1-4CD64C104819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E4CB-FF93-4958-81C5-F333F8BAEB6F}">
  <dimension ref="A1:V44"/>
  <sheetViews>
    <sheetView topLeftCell="A24" workbookViewId="0">
      <selection activeCell="S32" sqref="S32"/>
    </sheetView>
  </sheetViews>
  <sheetFormatPr baseColWidth="10" defaultRowHeight="15" x14ac:dyDescent="0.25"/>
  <cols>
    <col min="1" max="1" width="17.42578125" customWidth="1"/>
    <col min="15" max="15" width="13.42578125" customWidth="1"/>
    <col min="22" max="22" width="22.85546875" customWidth="1"/>
  </cols>
  <sheetData>
    <row r="1" spans="1:18" x14ac:dyDescent="0.25">
      <c r="A1" t="s">
        <v>110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8" x14ac:dyDescent="0.25">
      <c r="A2">
        <v>2016</v>
      </c>
      <c r="B2" s="46">
        <v>42370</v>
      </c>
      <c r="C2" s="46">
        <v>42401</v>
      </c>
      <c r="D2" s="46">
        <v>42430</v>
      </c>
      <c r="E2" s="46">
        <v>42461</v>
      </c>
      <c r="F2" s="46">
        <v>42491</v>
      </c>
      <c r="G2" s="46">
        <v>42522</v>
      </c>
      <c r="H2" s="46">
        <v>42552</v>
      </c>
      <c r="I2" s="46">
        <v>42583</v>
      </c>
      <c r="J2" s="46">
        <v>42614</v>
      </c>
      <c r="K2" s="46">
        <v>42644</v>
      </c>
    </row>
    <row r="3" spans="1:18" x14ac:dyDescent="0.25">
      <c r="A3" t="s">
        <v>328</v>
      </c>
      <c r="B3">
        <v>79</v>
      </c>
      <c r="C3">
        <v>83</v>
      </c>
      <c r="D3">
        <v>84</v>
      </c>
      <c r="E3">
        <v>100</v>
      </c>
      <c r="F3">
        <v>110</v>
      </c>
      <c r="G3">
        <v>91</v>
      </c>
      <c r="H3">
        <v>99</v>
      </c>
      <c r="I3">
        <v>104</v>
      </c>
      <c r="J3">
        <v>116</v>
      </c>
      <c r="K3">
        <v>109</v>
      </c>
    </row>
    <row r="4" spans="1:18" x14ac:dyDescent="0.25">
      <c r="A4" t="s">
        <v>329</v>
      </c>
      <c r="B4">
        <v>14</v>
      </c>
      <c r="C4">
        <v>27</v>
      </c>
      <c r="D4">
        <v>28</v>
      </c>
      <c r="E4">
        <v>21</v>
      </c>
      <c r="F4">
        <v>19</v>
      </c>
      <c r="G4">
        <v>29</v>
      </c>
      <c r="H4">
        <v>33</v>
      </c>
      <c r="I4">
        <v>25</v>
      </c>
      <c r="J4">
        <v>26</v>
      </c>
      <c r="K4">
        <v>36</v>
      </c>
    </row>
    <row r="5" spans="1:18" x14ac:dyDescent="0.25">
      <c r="A5" t="s">
        <v>330</v>
      </c>
      <c r="B5">
        <v>93</v>
      </c>
      <c r="C5">
        <v>110</v>
      </c>
      <c r="D5">
        <v>112</v>
      </c>
      <c r="E5">
        <v>121</v>
      </c>
      <c r="F5">
        <v>129</v>
      </c>
      <c r="G5">
        <v>120</v>
      </c>
      <c r="H5">
        <v>132</v>
      </c>
      <c r="I5">
        <v>129</v>
      </c>
      <c r="J5">
        <v>142</v>
      </c>
      <c r="K5">
        <v>145</v>
      </c>
    </row>
    <row r="6" spans="1:18" x14ac:dyDescent="0.25">
      <c r="A6" t="s">
        <v>363</v>
      </c>
      <c r="B6">
        <f>B3/B5</f>
        <v>0.84946236559139787</v>
      </c>
      <c r="C6">
        <f t="shared" ref="C6:K6" si="0">C3/C5</f>
        <v>0.75454545454545452</v>
      </c>
      <c r="D6">
        <f t="shared" si="0"/>
        <v>0.75</v>
      </c>
      <c r="E6">
        <f t="shared" si="0"/>
        <v>0.82644628099173556</v>
      </c>
      <c r="F6">
        <f t="shared" si="0"/>
        <v>0.8527131782945736</v>
      </c>
      <c r="G6">
        <f t="shared" si="0"/>
        <v>0.7583333333333333</v>
      </c>
      <c r="H6">
        <f t="shared" si="0"/>
        <v>0.75</v>
      </c>
      <c r="I6">
        <f t="shared" si="0"/>
        <v>0.80620155038759689</v>
      </c>
      <c r="J6">
        <f t="shared" si="0"/>
        <v>0.81690140845070425</v>
      </c>
      <c r="K6">
        <f t="shared" si="0"/>
        <v>0.75172413793103443</v>
      </c>
    </row>
    <row r="7" spans="1:18" x14ac:dyDescent="0.25">
      <c r="A7" t="s">
        <v>364</v>
      </c>
      <c r="B7">
        <f>B4/B5</f>
        <v>0.15053763440860216</v>
      </c>
      <c r="C7">
        <f t="shared" ref="C7:K7" si="1">C4/C5</f>
        <v>0.24545454545454545</v>
      </c>
      <c r="D7">
        <f t="shared" si="1"/>
        <v>0.25</v>
      </c>
      <c r="E7">
        <f t="shared" si="1"/>
        <v>0.17355371900826447</v>
      </c>
      <c r="F7">
        <f t="shared" si="1"/>
        <v>0.14728682170542637</v>
      </c>
      <c r="G7">
        <f t="shared" si="1"/>
        <v>0.24166666666666667</v>
      </c>
      <c r="H7">
        <f t="shared" si="1"/>
        <v>0.25</v>
      </c>
      <c r="I7">
        <f t="shared" si="1"/>
        <v>0.19379844961240311</v>
      </c>
      <c r="J7">
        <f t="shared" si="1"/>
        <v>0.18309859154929578</v>
      </c>
      <c r="K7">
        <f t="shared" si="1"/>
        <v>0.24827586206896551</v>
      </c>
    </row>
    <row r="8" spans="1:18" x14ac:dyDescent="0.25">
      <c r="A8" t="s">
        <v>355</v>
      </c>
      <c r="B8">
        <f>$I$25+$I$26*B1</f>
        <v>101.46</v>
      </c>
      <c r="C8">
        <f t="shared" ref="C8:K8" si="2">$I$25+$I$26*C1</f>
        <v>106.32</v>
      </c>
      <c r="D8">
        <f t="shared" si="2"/>
        <v>111.17999999999999</v>
      </c>
      <c r="E8">
        <f t="shared" si="2"/>
        <v>116.03999999999999</v>
      </c>
      <c r="F8">
        <f t="shared" si="2"/>
        <v>120.89999999999999</v>
      </c>
      <c r="G8">
        <f t="shared" si="2"/>
        <v>125.75999999999999</v>
      </c>
      <c r="H8">
        <f t="shared" si="2"/>
        <v>130.62</v>
      </c>
      <c r="I8">
        <f t="shared" si="2"/>
        <v>135.47999999999999</v>
      </c>
      <c r="J8">
        <f t="shared" si="2"/>
        <v>140.34</v>
      </c>
      <c r="K8">
        <f t="shared" si="2"/>
        <v>145.19999999999999</v>
      </c>
    </row>
    <row r="9" spans="1:18" x14ac:dyDescent="0.25">
      <c r="A9" t="s">
        <v>356</v>
      </c>
      <c r="B9">
        <f>B8-B5</f>
        <v>8.4599999999999937</v>
      </c>
      <c r="C9">
        <f t="shared" ref="C9:K9" si="3">C8-C5</f>
        <v>-3.6800000000000068</v>
      </c>
      <c r="D9">
        <f t="shared" si="3"/>
        <v>-0.82000000000000739</v>
      </c>
      <c r="E9">
        <f t="shared" si="3"/>
        <v>-4.960000000000008</v>
      </c>
      <c r="F9">
        <f t="shared" si="3"/>
        <v>-8.1000000000000085</v>
      </c>
      <c r="G9">
        <f t="shared" si="3"/>
        <v>5.7599999999999909</v>
      </c>
      <c r="H9">
        <f t="shared" si="3"/>
        <v>-1.3799999999999955</v>
      </c>
      <c r="I9">
        <f t="shared" si="3"/>
        <v>6.4799999999999898</v>
      </c>
      <c r="J9">
        <f t="shared" si="3"/>
        <v>-1.6599999999999966</v>
      </c>
      <c r="K9">
        <f t="shared" si="3"/>
        <v>0.19999999999998863</v>
      </c>
    </row>
    <row r="10" spans="1:18" x14ac:dyDescent="0.25">
      <c r="A10" t="s">
        <v>331</v>
      </c>
    </row>
    <row r="11" spans="1:18" x14ac:dyDescent="0.25">
      <c r="A11" t="s">
        <v>343</v>
      </c>
    </row>
    <row r="12" spans="1:18" ht="15" customHeight="1" x14ac:dyDescent="0.25">
      <c r="A12" t="s">
        <v>332</v>
      </c>
      <c r="H12" s="61" t="s">
        <v>342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t="s">
        <v>333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</row>
    <row r="14" spans="1:18" x14ac:dyDescent="0.25"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</row>
    <row r="15" spans="1:18" x14ac:dyDescent="0.25">
      <c r="H15" s="48"/>
      <c r="I15" s="48"/>
      <c r="J15" s="46"/>
      <c r="K15" s="46"/>
      <c r="L15" s="46"/>
      <c r="M15" s="46"/>
      <c r="N15" s="46"/>
      <c r="O15" s="46"/>
      <c r="P15" s="46"/>
      <c r="Q15" s="46"/>
    </row>
    <row r="16" spans="1:18" x14ac:dyDescent="0.25">
      <c r="H16" t="s">
        <v>345</v>
      </c>
      <c r="N16" t="s">
        <v>276</v>
      </c>
    </row>
    <row r="17" spans="1:22" x14ac:dyDescent="0.25">
      <c r="G17" s="46"/>
      <c r="H17" t="s">
        <v>346</v>
      </c>
      <c r="I17" s="11"/>
      <c r="N17" s="46" t="s">
        <v>202</v>
      </c>
      <c r="O17" s="12">
        <f>AVERAGE(B9:K9)</f>
        <v>2.9999999999994031E-2</v>
      </c>
      <c r="P17" s="11" t="s">
        <v>357</v>
      </c>
    </row>
    <row r="18" spans="1:22" x14ac:dyDescent="0.25">
      <c r="G18" s="46"/>
      <c r="H18" t="s">
        <v>347</v>
      </c>
      <c r="I18" s="11"/>
      <c r="N18" s="46" t="s">
        <v>358</v>
      </c>
      <c r="O18">
        <f>_xlfn.STDEV.S(B9:K9)</f>
        <v>5.3318435419238952</v>
      </c>
      <c r="P18" s="11"/>
    </row>
    <row r="19" spans="1:22" x14ac:dyDescent="0.25">
      <c r="G19" s="46"/>
      <c r="H19" t="s">
        <v>328</v>
      </c>
      <c r="I19" s="11"/>
      <c r="K19" t="s">
        <v>329</v>
      </c>
      <c r="N19" s="46"/>
      <c r="P19" s="11"/>
    </row>
    <row r="20" spans="1:22" x14ac:dyDescent="0.25">
      <c r="G20" s="46"/>
      <c r="H20" t="s">
        <v>348</v>
      </c>
      <c r="I20" s="52">
        <v>81.709999999999994</v>
      </c>
      <c r="K20" t="s">
        <v>351</v>
      </c>
      <c r="L20">
        <v>19.75</v>
      </c>
      <c r="N20" s="46" t="s">
        <v>359</v>
      </c>
      <c r="P20" s="11"/>
    </row>
    <row r="21" spans="1:22" x14ac:dyDescent="0.25">
      <c r="G21" s="46"/>
      <c r="H21" t="s">
        <v>349</v>
      </c>
      <c r="I21" s="52">
        <v>3.51</v>
      </c>
      <c r="K21" t="s">
        <v>349</v>
      </c>
      <c r="L21">
        <v>1.3460000000000001</v>
      </c>
      <c r="N21" s="46"/>
      <c r="P21" s="11"/>
    </row>
    <row r="22" spans="1:22" x14ac:dyDescent="0.25">
      <c r="G22" s="46"/>
      <c r="H22" t="s">
        <v>350</v>
      </c>
      <c r="I22" s="52">
        <v>0.69650000000000001</v>
      </c>
      <c r="K22" t="s">
        <v>352</v>
      </c>
      <c r="L22">
        <v>0.39</v>
      </c>
      <c r="N22" s="46"/>
      <c r="P22" s="11"/>
    </row>
    <row r="23" spans="1:22" x14ac:dyDescent="0.25">
      <c r="G23" s="46"/>
      <c r="I23" s="11"/>
      <c r="N23" s="46"/>
      <c r="P23" s="11"/>
    </row>
    <row r="24" spans="1:22" x14ac:dyDescent="0.25">
      <c r="G24" s="46"/>
      <c r="H24" t="s">
        <v>353</v>
      </c>
      <c r="I24" s="11"/>
      <c r="N24" s="46"/>
      <c r="P24" s="11"/>
    </row>
    <row r="25" spans="1:22" x14ac:dyDescent="0.25">
      <c r="G25" s="46"/>
      <c r="H25" t="s">
        <v>351</v>
      </c>
      <c r="I25" s="52">
        <v>101.46</v>
      </c>
      <c r="N25" s="46"/>
      <c r="P25" s="11"/>
    </row>
    <row r="26" spans="1:22" x14ac:dyDescent="0.25">
      <c r="G26" s="46"/>
      <c r="H26" t="s">
        <v>349</v>
      </c>
      <c r="I26" s="52">
        <v>4.8600000000000003</v>
      </c>
      <c r="K26" t="s">
        <v>354</v>
      </c>
      <c r="N26" s="46"/>
      <c r="P26" s="11"/>
    </row>
    <row r="27" spans="1:22" x14ac:dyDescent="0.25">
      <c r="H27" t="s">
        <v>352</v>
      </c>
      <c r="I27" s="52">
        <v>0.94</v>
      </c>
      <c r="S27" s="58" t="s">
        <v>360</v>
      </c>
      <c r="T27" s="58"/>
      <c r="U27" s="58"/>
      <c r="V27" s="58"/>
    </row>
    <row r="28" spans="1:22" x14ac:dyDescent="0.25">
      <c r="A28" t="s">
        <v>328</v>
      </c>
      <c r="S28" s="59" t="s">
        <v>368</v>
      </c>
      <c r="T28" s="59"/>
      <c r="U28" s="59"/>
      <c r="V28" s="59"/>
    </row>
    <row r="29" spans="1:22" x14ac:dyDescent="0.25">
      <c r="A29" t="s">
        <v>334</v>
      </c>
    </row>
    <row r="31" spans="1:22" x14ac:dyDescent="0.25">
      <c r="I31" t="s">
        <v>361</v>
      </c>
    </row>
    <row r="32" spans="1:22" x14ac:dyDescent="0.25">
      <c r="A32" t="s">
        <v>329</v>
      </c>
      <c r="I32" t="s">
        <v>362</v>
      </c>
    </row>
    <row r="33" spans="1:16" x14ac:dyDescent="0.25">
      <c r="A33" t="s">
        <v>334</v>
      </c>
    </row>
    <row r="34" spans="1:16" x14ac:dyDescent="0.25">
      <c r="A34" t="s">
        <v>335</v>
      </c>
    </row>
    <row r="35" spans="1:16" x14ac:dyDescent="0.25">
      <c r="A35" s="47" t="s">
        <v>336</v>
      </c>
      <c r="B35" s="49"/>
      <c r="C35" s="49"/>
      <c r="D35" s="49"/>
      <c r="E35" s="49"/>
      <c r="F35" s="49"/>
      <c r="G35" s="49"/>
    </row>
    <row r="36" spans="1:16" x14ac:dyDescent="0.25">
      <c r="O36" t="s">
        <v>365</v>
      </c>
    </row>
    <row r="37" spans="1:16" x14ac:dyDescent="0.25">
      <c r="A37" t="s">
        <v>337</v>
      </c>
    </row>
    <row r="38" spans="1:16" x14ac:dyDescent="0.25">
      <c r="A38" t="s">
        <v>338</v>
      </c>
    </row>
    <row r="39" spans="1:16" x14ac:dyDescent="0.25">
      <c r="A39" t="s">
        <v>339</v>
      </c>
      <c r="D39" t="s">
        <v>341</v>
      </c>
    </row>
    <row r="40" spans="1:16" x14ac:dyDescent="0.25">
      <c r="D40" t="s">
        <v>340</v>
      </c>
    </row>
    <row r="43" spans="1:16" x14ac:dyDescent="0.25">
      <c r="O43" t="s">
        <v>366</v>
      </c>
      <c r="P43">
        <f>AVERAGE(B6:K6)</f>
        <v>0.79163277095258311</v>
      </c>
    </row>
    <row r="44" spans="1:16" x14ac:dyDescent="0.25">
      <c r="O44" t="s">
        <v>367</v>
      </c>
      <c r="P44">
        <f>AVERAGE(B7:K7)</f>
        <v>0.20836722904741692</v>
      </c>
    </row>
  </sheetData>
  <mergeCells count="3">
    <mergeCell ref="H12:R14"/>
    <mergeCell ref="S28:V28"/>
    <mergeCell ref="S27:V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0866-D07E-4BEC-B7E6-044CA2FB7F4B}">
  <dimension ref="A1:AA63"/>
  <sheetViews>
    <sheetView topLeftCell="A28" zoomScale="85" zoomScaleNormal="85" workbookViewId="0">
      <selection activeCell="M47" sqref="M47"/>
    </sheetView>
  </sheetViews>
  <sheetFormatPr baseColWidth="10" defaultColWidth="9.140625" defaultRowHeight="15" x14ac:dyDescent="0.25"/>
  <cols>
    <col min="3" max="3" width="10.85546875" customWidth="1"/>
    <col min="4" max="4" width="12.140625" customWidth="1"/>
    <col min="5" max="5" width="18" customWidth="1"/>
    <col min="6" max="6" width="16.42578125" customWidth="1"/>
    <col min="7" max="7" width="14.140625" bestFit="1" customWidth="1"/>
    <col min="8" max="8" width="10.85546875" bestFit="1" customWidth="1"/>
    <col min="9" max="9" width="13.42578125" bestFit="1" customWidth="1"/>
    <col min="10" max="10" width="14.42578125" customWidth="1"/>
    <col min="11" max="11" width="10.140625" customWidth="1"/>
    <col min="12" max="12" width="13.42578125" bestFit="1" customWidth="1"/>
    <col min="15" max="15" width="11.85546875" bestFit="1" customWidth="1"/>
    <col min="17" max="17" width="18.28515625" customWidth="1"/>
    <col min="19" max="19" width="17.42578125" customWidth="1"/>
    <col min="20" max="20" width="20.28515625" bestFit="1" customWidth="1"/>
    <col min="21" max="21" width="11.42578125" customWidth="1"/>
    <col min="23" max="23" width="9.140625" customWidth="1"/>
    <col min="24" max="24" width="13" customWidth="1"/>
    <col min="25" max="25" width="21.140625" customWidth="1"/>
    <col min="26" max="26" width="13.140625" customWidth="1"/>
  </cols>
  <sheetData>
    <row r="1" spans="1:26" x14ac:dyDescent="0.25">
      <c r="A1" t="s">
        <v>179</v>
      </c>
      <c r="B1" s="2" t="s">
        <v>178</v>
      </c>
      <c r="C1" s="2" t="s">
        <v>130</v>
      </c>
      <c r="D1" s="2" t="s">
        <v>112</v>
      </c>
      <c r="E1" s="2" t="s">
        <v>177</v>
      </c>
      <c r="F1" s="26" t="s">
        <v>176</v>
      </c>
      <c r="O1" t="s">
        <v>175</v>
      </c>
      <c r="R1" t="s">
        <v>174</v>
      </c>
    </row>
    <row r="2" spans="1:26" x14ac:dyDescent="0.25">
      <c r="A2">
        <v>1</v>
      </c>
      <c r="B2" t="s">
        <v>104</v>
      </c>
      <c r="C2">
        <v>136</v>
      </c>
      <c r="D2">
        <v>423.3</v>
      </c>
      <c r="E2" s="12">
        <f t="shared" ref="E2:E11" si="0">D2/C2</f>
        <v>3.1125000000000003</v>
      </c>
      <c r="F2" t="s">
        <v>173</v>
      </c>
      <c r="O2" t="s">
        <v>172</v>
      </c>
      <c r="R2" t="s">
        <v>171</v>
      </c>
    </row>
    <row r="3" spans="1:26" x14ac:dyDescent="0.25">
      <c r="A3">
        <v>2</v>
      </c>
      <c r="B3" t="s">
        <v>102</v>
      </c>
      <c r="C3">
        <v>139</v>
      </c>
      <c r="D3">
        <v>494.33</v>
      </c>
      <c r="E3" s="12">
        <f t="shared" si="0"/>
        <v>3.5563309352517987</v>
      </c>
      <c r="F3" t="s">
        <v>170</v>
      </c>
      <c r="O3" t="s">
        <v>169</v>
      </c>
      <c r="R3" t="s">
        <v>168</v>
      </c>
    </row>
    <row r="4" spans="1:26" x14ac:dyDescent="0.25">
      <c r="A4">
        <v>3</v>
      </c>
      <c r="B4" t="s">
        <v>99</v>
      </c>
      <c r="C4">
        <v>142</v>
      </c>
      <c r="D4">
        <v>422.56</v>
      </c>
      <c r="E4" s="12">
        <f t="shared" si="0"/>
        <v>2.9757746478873242</v>
      </c>
      <c r="F4" t="s">
        <v>167</v>
      </c>
      <c r="O4" t="s">
        <v>166</v>
      </c>
      <c r="R4" t="s">
        <v>165</v>
      </c>
    </row>
    <row r="5" spans="1:26" x14ac:dyDescent="0.25">
      <c r="A5">
        <v>4</v>
      </c>
      <c r="B5" t="s">
        <v>96</v>
      </c>
      <c r="C5">
        <v>145</v>
      </c>
      <c r="D5">
        <v>347.33</v>
      </c>
      <c r="E5" s="12">
        <f t="shared" si="0"/>
        <v>2.3953793103448273</v>
      </c>
      <c r="O5" t="s">
        <v>164</v>
      </c>
      <c r="R5" t="s">
        <v>163</v>
      </c>
    </row>
    <row r="6" spans="1:26" x14ac:dyDescent="0.25">
      <c r="A6">
        <v>5</v>
      </c>
      <c r="B6" t="s">
        <v>93</v>
      </c>
      <c r="C6">
        <v>148</v>
      </c>
      <c r="D6">
        <v>433.17</v>
      </c>
      <c r="E6" s="12">
        <f t="shared" si="0"/>
        <v>2.9268243243243246</v>
      </c>
      <c r="F6" t="s">
        <v>162</v>
      </c>
      <c r="O6" t="s">
        <v>161</v>
      </c>
      <c r="R6" t="s">
        <v>160</v>
      </c>
    </row>
    <row r="7" spans="1:26" x14ac:dyDescent="0.25">
      <c r="A7">
        <v>6</v>
      </c>
      <c r="B7" t="s">
        <v>90</v>
      </c>
      <c r="C7">
        <v>151</v>
      </c>
      <c r="D7">
        <v>466.39</v>
      </c>
      <c r="E7" s="12">
        <f t="shared" si="0"/>
        <v>3.0886754966887415</v>
      </c>
      <c r="F7" t="s">
        <v>159</v>
      </c>
      <c r="O7" t="s">
        <v>158</v>
      </c>
      <c r="R7" t="s">
        <v>157</v>
      </c>
    </row>
    <row r="8" spans="1:26" x14ac:dyDescent="0.25">
      <c r="A8">
        <v>7</v>
      </c>
      <c r="B8" t="s">
        <v>88</v>
      </c>
      <c r="C8">
        <v>154</v>
      </c>
      <c r="D8">
        <v>515.71</v>
      </c>
      <c r="E8" s="12">
        <f t="shared" si="0"/>
        <v>3.3487662337662338</v>
      </c>
      <c r="F8" t="s">
        <v>156</v>
      </c>
      <c r="R8" t="s">
        <v>155</v>
      </c>
    </row>
    <row r="9" spans="1:26" x14ac:dyDescent="0.25">
      <c r="A9">
        <v>8</v>
      </c>
      <c r="B9" t="s">
        <v>86</v>
      </c>
      <c r="C9">
        <v>157</v>
      </c>
      <c r="D9">
        <v>484.05</v>
      </c>
      <c r="E9" s="12">
        <f t="shared" si="0"/>
        <v>3.0831210191082805</v>
      </c>
      <c r="F9" t="s">
        <v>154</v>
      </c>
      <c r="R9" s="25"/>
    </row>
    <row r="10" spans="1:26" x14ac:dyDescent="0.25">
      <c r="A10">
        <v>9</v>
      </c>
      <c r="B10" t="s">
        <v>85</v>
      </c>
      <c r="C10">
        <v>160</v>
      </c>
      <c r="D10">
        <v>437.26</v>
      </c>
      <c r="E10" s="12">
        <f t="shared" si="0"/>
        <v>2.7328749999999999</v>
      </c>
      <c r="R10" s="25"/>
    </row>
    <row r="11" spans="1:26" x14ac:dyDescent="0.25">
      <c r="A11">
        <v>10</v>
      </c>
      <c r="B11" t="s">
        <v>84</v>
      </c>
      <c r="C11">
        <v>163</v>
      </c>
      <c r="D11">
        <v>541.4</v>
      </c>
      <c r="E11" s="12">
        <f t="shared" si="0"/>
        <v>3.3214723926380367</v>
      </c>
      <c r="S11" t="s">
        <v>153</v>
      </c>
    </row>
    <row r="12" spans="1:26" x14ac:dyDescent="0.25">
      <c r="B12" s="58" t="s">
        <v>152</v>
      </c>
      <c r="C12" s="58"/>
      <c r="D12" s="58"/>
      <c r="H12" s="58" t="s">
        <v>151</v>
      </c>
      <c r="I12" s="58"/>
      <c r="M12" t="s">
        <v>150</v>
      </c>
      <c r="Q12" t="s">
        <v>149</v>
      </c>
      <c r="S12" s="22" t="s">
        <v>148</v>
      </c>
      <c r="T12" s="22">
        <v>1</v>
      </c>
      <c r="U12" s="22">
        <v>2</v>
      </c>
      <c r="V12" s="22">
        <v>3</v>
      </c>
      <c r="X12" s="22" t="s">
        <v>147</v>
      </c>
      <c r="Y12" s="22" t="s">
        <v>134</v>
      </c>
      <c r="Z12" s="22" t="s">
        <v>146</v>
      </c>
    </row>
    <row r="13" spans="1:26" x14ac:dyDescent="0.25">
      <c r="S13" s="22" t="s">
        <v>145</v>
      </c>
      <c r="T13" s="22">
        <v>136</v>
      </c>
      <c r="U13" s="22">
        <v>148</v>
      </c>
      <c r="V13" s="22">
        <v>160</v>
      </c>
      <c r="X13" s="22">
        <f>AVERAGE(T13:V13)</f>
        <v>148</v>
      </c>
      <c r="Y13" s="22">
        <f>AVERAGE(X13:X16)</f>
        <v>149.5</v>
      </c>
      <c r="Z13" s="24">
        <f>X13/$Y$13</f>
        <v>0.98996655518394649</v>
      </c>
    </row>
    <row r="14" spans="1:26" x14ac:dyDescent="0.25">
      <c r="S14" s="22" t="s">
        <v>144</v>
      </c>
      <c r="T14" s="22">
        <v>139</v>
      </c>
      <c r="U14" s="22">
        <v>151</v>
      </c>
      <c r="V14" s="22">
        <v>163</v>
      </c>
      <c r="X14" s="22">
        <f>AVERAGE(T14:V14)</f>
        <v>151</v>
      </c>
      <c r="Y14" s="22"/>
      <c r="Z14" s="24">
        <f>X14/$Y$13</f>
        <v>1.0100334448160535</v>
      </c>
    </row>
    <row r="15" spans="1:26" x14ac:dyDescent="0.25">
      <c r="S15" s="22" t="s">
        <v>143</v>
      </c>
      <c r="T15" s="22">
        <v>142</v>
      </c>
      <c r="U15" s="22">
        <v>154</v>
      </c>
      <c r="V15" s="22"/>
      <c r="X15" s="22">
        <f>AVERAGE(T15:V15)</f>
        <v>148</v>
      </c>
      <c r="Y15" s="22"/>
      <c r="Z15" s="24">
        <f>X15/$Y$13</f>
        <v>0.98996655518394649</v>
      </c>
    </row>
    <row r="16" spans="1:26" x14ac:dyDescent="0.25">
      <c r="S16" s="22" t="s">
        <v>142</v>
      </c>
      <c r="T16" s="22">
        <v>145</v>
      </c>
      <c r="U16" s="22">
        <v>157</v>
      </c>
      <c r="V16" s="22"/>
      <c r="X16" s="22">
        <f>AVERAGE(T16:U16)</f>
        <v>151</v>
      </c>
      <c r="Y16" s="22"/>
      <c r="Z16" s="24">
        <f>X16/$Y$13</f>
        <v>1.0100334448160535</v>
      </c>
    </row>
    <row r="17" spans="1:25" x14ac:dyDescent="0.25">
      <c r="S17" s="22" t="s">
        <v>141</v>
      </c>
      <c r="T17" s="22">
        <f>SUM(T13:T16)</f>
        <v>562</v>
      </c>
      <c r="U17" s="22">
        <f>SUM(U13:U16)</f>
        <v>610</v>
      </c>
      <c r="V17" s="22">
        <f>SUM(V13:V16)</f>
        <v>323</v>
      </c>
      <c r="X17" t="s">
        <v>140</v>
      </c>
    </row>
    <row r="18" spans="1:25" x14ac:dyDescent="0.25">
      <c r="S18" s="22" t="s">
        <v>139</v>
      </c>
      <c r="T18" s="55">
        <f>AVERAGE(T17:U17)</f>
        <v>586</v>
      </c>
      <c r="U18" s="56"/>
      <c r="V18" s="57"/>
      <c r="X18" s="11">
        <f>MAX(Z13:Z16)-MIN(Z13:Z16)</f>
        <v>2.006688963210701E-2</v>
      </c>
    </row>
    <row r="19" spans="1:25" x14ac:dyDescent="0.25">
      <c r="S19" t="s">
        <v>138</v>
      </c>
      <c r="X19" t="s">
        <v>137</v>
      </c>
    </row>
    <row r="20" spans="1:25" x14ac:dyDescent="0.25">
      <c r="S20" t="s">
        <v>136</v>
      </c>
      <c r="X20" t="s">
        <v>135</v>
      </c>
    </row>
    <row r="21" spans="1:25" x14ac:dyDescent="0.25">
      <c r="X21" s="58" t="s">
        <v>134</v>
      </c>
      <c r="Y21" s="58"/>
    </row>
    <row r="22" spans="1:25" x14ac:dyDescent="0.25">
      <c r="X22" s="59">
        <v>149.5</v>
      </c>
      <c r="Y22" s="59"/>
    </row>
    <row r="23" spans="1:25" x14ac:dyDescent="0.25">
      <c r="A23" t="s">
        <v>133</v>
      </c>
      <c r="E23" s="23" t="s">
        <v>132</v>
      </c>
      <c r="J23" s="10" t="s">
        <v>131</v>
      </c>
      <c r="P23" s="10"/>
      <c r="R23" t="s">
        <v>111</v>
      </c>
      <c r="S23" t="s">
        <v>110</v>
      </c>
      <c r="T23" t="s">
        <v>130</v>
      </c>
      <c r="U23" t="s">
        <v>108</v>
      </c>
      <c r="V23" t="s">
        <v>107</v>
      </c>
    </row>
    <row r="24" spans="1:25" x14ac:dyDescent="0.25">
      <c r="A24" t="s">
        <v>129</v>
      </c>
      <c r="E24" s="23" t="s">
        <v>128</v>
      </c>
      <c r="J24" s="10" t="s">
        <v>127</v>
      </c>
      <c r="P24" s="10"/>
      <c r="R24" t="s">
        <v>104</v>
      </c>
      <c r="S24">
        <v>1</v>
      </c>
      <c r="T24">
        <v>136</v>
      </c>
      <c r="U24">
        <f t="shared" ref="U24:U35" si="1">$Y$25+$Y$26*S24</f>
        <v>136</v>
      </c>
      <c r="V24">
        <v>0</v>
      </c>
      <c r="X24" s="62" t="s">
        <v>126</v>
      </c>
      <c r="Y24" s="62"/>
    </row>
    <row r="25" spans="1:25" x14ac:dyDescent="0.25">
      <c r="A25" s="16" t="s">
        <v>125</v>
      </c>
      <c r="B25" s="16"/>
      <c r="C25" s="16"/>
      <c r="E25" s="10" t="s">
        <v>124</v>
      </c>
      <c r="J25" s="10" t="s">
        <v>123</v>
      </c>
      <c r="P25" s="10"/>
      <c r="R25" t="s">
        <v>102</v>
      </c>
      <c r="S25">
        <v>2</v>
      </c>
      <c r="T25">
        <v>139</v>
      </c>
      <c r="U25">
        <f t="shared" si="1"/>
        <v>139</v>
      </c>
      <c r="V25">
        <v>0</v>
      </c>
      <c r="X25" t="s">
        <v>103</v>
      </c>
      <c r="Y25">
        <v>133</v>
      </c>
    </row>
    <row r="26" spans="1:25" x14ac:dyDescent="0.25">
      <c r="A26" s="16" t="s">
        <v>122</v>
      </c>
      <c r="B26" s="16"/>
      <c r="C26" s="16"/>
      <c r="E26" s="10" t="s">
        <v>121</v>
      </c>
      <c r="J26" s="10" t="s">
        <v>120</v>
      </c>
      <c r="P26" s="10"/>
      <c r="R26" t="s">
        <v>99</v>
      </c>
      <c r="S26">
        <v>3</v>
      </c>
      <c r="T26">
        <v>142</v>
      </c>
      <c r="U26">
        <f t="shared" si="1"/>
        <v>142</v>
      </c>
      <c r="V26">
        <v>0</v>
      </c>
      <c r="X26" t="s">
        <v>101</v>
      </c>
      <c r="Y26">
        <v>3</v>
      </c>
    </row>
    <row r="27" spans="1:25" x14ac:dyDescent="0.25">
      <c r="A27" s="16" t="s">
        <v>119</v>
      </c>
      <c r="B27" s="16"/>
      <c r="C27" s="16"/>
      <c r="E27" s="10"/>
      <c r="J27" s="10" t="s">
        <v>118</v>
      </c>
      <c r="P27" s="10"/>
      <c r="R27" t="s">
        <v>96</v>
      </c>
      <c r="S27">
        <v>4</v>
      </c>
      <c r="T27">
        <v>145</v>
      </c>
      <c r="U27">
        <f t="shared" si="1"/>
        <v>145</v>
      </c>
      <c r="V27">
        <v>0</v>
      </c>
      <c r="X27" t="s">
        <v>117</v>
      </c>
      <c r="Y27">
        <v>1</v>
      </c>
    </row>
    <row r="28" spans="1:25" x14ac:dyDescent="0.25">
      <c r="A28" s="10" t="s">
        <v>116</v>
      </c>
      <c r="E28" s="10"/>
      <c r="J28" s="10" t="s">
        <v>115</v>
      </c>
      <c r="P28" s="10"/>
      <c r="R28" t="s">
        <v>93</v>
      </c>
      <c r="S28">
        <v>5</v>
      </c>
      <c r="T28">
        <v>148</v>
      </c>
      <c r="U28">
        <f t="shared" si="1"/>
        <v>148</v>
      </c>
      <c r="V28">
        <v>0</v>
      </c>
    </row>
    <row r="29" spans="1:25" x14ac:dyDescent="0.25">
      <c r="A29" t="s">
        <v>114</v>
      </c>
      <c r="E29" s="10"/>
      <c r="R29" t="s">
        <v>90</v>
      </c>
      <c r="S29">
        <v>6</v>
      </c>
      <c r="T29">
        <v>151</v>
      </c>
      <c r="U29">
        <f t="shared" si="1"/>
        <v>151</v>
      </c>
      <c r="V29">
        <v>0</v>
      </c>
      <c r="X29" s="2" t="s">
        <v>83</v>
      </c>
      <c r="Y29" s="22">
        <v>166</v>
      </c>
    </row>
    <row r="30" spans="1:25" x14ac:dyDescent="0.25">
      <c r="A30" t="s">
        <v>113</v>
      </c>
      <c r="E30" s="10"/>
      <c r="R30" t="s">
        <v>88</v>
      </c>
      <c r="S30">
        <v>7</v>
      </c>
      <c r="T30">
        <v>154</v>
      </c>
      <c r="U30">
        <f t="shared" si="1"/>
        <v>154</v>
      </c>
      <c r="V30">
        <v>0</v>
      </c>
      <c r="X30" s="2" t="s">
        <v>81</v>
      </c>
      <c r="Y30" s="22">
        <v>169</v>
      </c>
    </row>
    <row r="31" spans="1:25" x14ac:dyDescent="0.25">
      <c r="R31" t="s">
        <v>86</v>
      </c>
      <c r="S31">
        <v>8</v>
      </c>
      <c r="T31">
        <v>157</v>
      </c>
      <c r="U31">
        <f t="shared" si="1"/>
        <v>157</v>
      </c>
      <c r="V31">
        <v>0</v>
      </c>
      <c r="X31" s="21"/>
    </row>
    <row r="32" spans="1:25" x14ac:dyDescent="0.25">
      <c r="R32" t="s">
        <v>85</v>
      </c>
      <c r="S32">
        <v>9</v>
      </c>
      <c r="T32">
        <v>160</v>
      </c>
      <c r="U32">
        <f t="shared" si="1"/>
        <v>160</v>
      </c>
      <c r="V32">
        <v>0</v>
      </c>
    </row>
    <row r="33" spans="7:27" x14ac:dyDescent="0.25">
      <c r="R33" t="s">
        <v>84</v>
      </c>
      <c r="S33">
        <v>10</v>
      </c>
      <c r="T33">
        <v>163</v>
      </c>
      <c r="U33">
        <f t="shared" si="1"/>
        <v>163</v>
      </c>
      <c r="V33">
        <v>0</v>
      </c>
    </row>
    <row r="34" spans="7:27" x14ac:dyDescent="0.25">
      <c r="R34" t="s">
        <v>83</v>
      </c>
      <c r="S34">
        <v>11</v>
      </c>
      <c r="U34">
        <f t="shared" si="1"/>
        <v>166</v>
      </c>
      <c r="V34">
        <v>0</v>
      </c>
    </row>
    <row r="35" spans="7:27" x14ac:dyDescent="0.25">
      <c r="R35" t="s">
        <v>81</v>
      </c>
      <c r="S35">
        <v>12</v>
      </c>
      <c r="U35">
        <f t="shared" si="1"/>
        <v>169</v>
      </c>
      <c r="V35">
        <v>0</v>
      </c>
    </row>
    <row r="37" spans="7:27" x14ac:dyDescent="0.25">
      <c r="Q37" s="50" t="s">
        <v>112</v>
      </c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7:27" x14ac:dyDescent="0.25">
      <c r="Q38" s="50" t="s">
        <v>111</v>
      </c>
      <c r="R38" s="50" t="s">
        <v>110</v>
      </c>
      <c r="S38" s="50" t="s">
        <v>109</v>
      </c>
      <c r="T38" s="50" t="s">
        <v>108</v>
      </c>
      <c r="U38" s="50" t="s">
        <v>107</v>
      </c>
      <c r="V38" s="50" t="s">
        <v>106</v>
      </c>
      <c r="W38" s="50"/>
      <c r="X38" s="50"/>
      <c r="Y38" s="63" t="s">
        <v>105</v>
      </c>
      <c r="Z38" s="63"/>
      <c r="AA38" s="50"/>
    </row>
    <row r="39" spans="7:27" x14ac:dyDescent="0.25">
      <c r="Q39" s="50" t="s">
        <v>104</v>
      </c>
      <c r="R39" s="50">
        <v>1</v>
      </c>
      <c r="S39" s="50">
        <v>423.3</v>
      </c>
      <c r="T39" s="50"/>
      <c r="U39" s="50"/>
      <c r="V39" s="50"/>
      <c r="W39" s="50"/>
      <c r="X39" s="50"/>
      <c r="Y39" s="50" t="s">
        <v>103</v>
      </c>
      <c r="Z39" s="50">
        <v>406.24266669999997</v>
      </c>
      <c r="AA39" s="50"/>
    </row>
    <row r="40" spans="7:27" x14ac:dyDescent="0.25">
      <c r="Q40" s="50" t="s">
        <v>102</v>
      </c>
      <c r="R40" s="50">
        <v>2</v>
      </c>
      <c r="S40" s="50">
        <v>494.33</v>
      </c>
      <c r="T40" s="50" cm="1">
        <f t="array" ref="T40">TREND(S39,R39,R40)</f>
        <v>423.3</v>
      </c>
      <c r="U40" s="50">
        <f t="shared" ref="U40:U48" si="2">S40-T40</f>
        <v>71.029999999999973</v>
      </c>
      <c r="V40" s="51">
        <f t="shared" ref="V40:V48" si="3">ABS(U40/S40)</f>
        <v>0.14368943822952274</v>
      </c>
      <c r="W40" s="50"/>
      <c r="X40" s="50"/>
      <c r="Y40" s="50" t="s">
        <v>101</v>
      </c>
      <c r="Z40" s="50">
        <v>9.1467878789999997</v>
      </c>
      <c r="AA40" s="50"/>
    </row>
    <row r="41" spans="7:27" x14ac:dyDescent="0.25">
      <c r="G41" s="62" t="s">
        <v>100</v>
      </c>
      <c r="H41" s="62"/>
      <c r="I41" s="62"/>
      <c r="Q41" s="50" t="s">
        <v>99</v>
      </c>
      <c r="R41" s="50">
        <v>3</v>
      </c>
      <c r="S41" s="50">
        <v>422.56</v>
      </c>
      <c r="T41" s="50" cm="1">
        <f t="array" ref="T41">TREND(S39:S40,R39:R40,R41)</f>
        <v>565.3599999999999</v>
      </c>
      <c r="U41" s="50">
        <f t="shared" si="2"/>
        <v>-142.7999999999999</v>
      </c>
      <c r="V41" s="51">
        <f t="shared" si="3"/>
        <v>0.33794017417644806</v>
      </c>
      <c r="W41" s="50"/>
      <c r="X41" s="50"/>
      <c r="Y41" s="50" t="s">
        <v>98</v>
      </c>
      <c r="Z41" s="50">
        <f>RSQ(S39:S48,R39:R48)</f>
        <v>0.24573293321772569</v>
      </c>
      <c r="AA41" s="50"/>
    </row>
    <row r="42" spans="7:27" ht="15.75" thickBot="1" x14ac:dyDescent="0.3">
      <c r="G42" t="s">
        <v>97</v>
      </c>
      <c r="H42">
        <f>INT(SQRT(10))</f>
        <v>3</v>
      </c>
      <c r="Q42" s="50" t="s">
        <v>96</v>
      </c>
      <c r="R42" s="50">
        <v>4</v>
      </c>
      <c r="S42" s="50">
        <v>347.33</v>
      </c>
      <c r="T42" s="50" cm="1">
        <f t="array" ref="T42">TREND(S39:S41,R39:R41,R42)</f>
        <v>445.99</v>
      </c>
      <c r="U42" s="50">
        <f t="shared" si="2"/>
        <v>-98.660000000000025</v>
      </c>
      <c r="V42" s="51">
        <f t="shared" si="3"/>
        <v>0.28405263006362835</v>
      </c>
      <c r="W42" s="50"/>
      <c r="X42" s="50"/>
      <c r="Y42" s="50"/>
      <c r="Z42" s="50"/>
      <c r="AA42" s="50"/>
    </row>
    <row r="43" spans="7:27" x14ac:dyDescent="0.25">
      <c r="G43" s="20" t="s">
        <v>95</v>
      </c>
      <c r="H43" s="20" t="s">
        <v>26</v>
      </c>
      <c r="I43" s="20" t="s">
        <v>27</v>
      </c>
      <c r="J43" s="20" t="s">
        <v>94</v>
      </c>
      <c r="Q43" s="50" t="s">
        <v>93</v>
      </c>
      <c r="R43" s="50">
        <v>5</v>
      </c>
      <c r="S43" s="50">
        <v>433.17</v>
      </c>
      <c r="T43" s="50" cm="1">
        <f t="array" ref="T43">TREND(S39:S42,R39:R42,R43)</f>
        <v>346.96</v>
      </c>
      <c r="U43" s="50">
        <f t="shared" si="2"/>
        <v>86.210000000000036</v>
      </c>
      <c r="V43" s="51">
        <f t="shared" si="3"/>
        <v>0.19902116951774138</v>
      </c>
      <c r="W43" s="50"/>
      <c r="X43" s="50"/>
      <c r="Y43" s="50" t="s">
        <v>92</v>
      </c>
      <c r="Z43" s="50"/>
      <c r="AA43" s="50"/>
    </row>
    <row r="44" spans="7:27" x14ac:dyDescent="0.25">
      <c r="G44" t="s">
        <v>91</v>
      </c>
      <c r="H44">
        <v>347.33</v>
      </c>
      <c r="I44">
        <v>1</v>
      </c>
      <c r="J44" s="19">
        <v>0.1</v>
      </c>
      <c r="Q44" s="50" t="s">
        <v>90</v>
      </c>
      <c r="R44" s="50">
        <v>6</v>
      </c>
      <c r="S44" s="50">
        <v>466.39</v>
      </c>
      <c r="T44" s="50" cm="1">
        <f t="array" ref="T44">TREND(S39:S43,R39:R43,R44)</f>
        <v>385.96000000000004</v>
      </c>
      <c r="U44" s="50">
        <f t="shared" si="2"/>
        <v>80.42999999999995</v>
      </c>
      <c r="V44" s="51">
        <f t="shared" si="3"/>
        <v>0.17245223954201408</v>
      </c>
      <c r="W44" s="50"/>
      <c r="X44" s="50"/>
      <c r="Y44" s="50"/>
      <c r="Z44" s="50"/>
      <c r="AA44" s="50"/>
    </row>
    <row r="45" spans="7:27" x14ac:dyDescent="0.25">
      <c r="G45" t="s">
        <v>89</v>
      </c>
      <c r="H45">
        <v>412.02</v>
      </c>
      <c r="I45">
        <v>0</v>
      </c>
      <c r="J45" s="19">
        <v>0.1</v>
      </c>
      <c r="Q45" s="50" t="s">
        <v>88</v>
      </c>
      <c r="R45" s="50">
        <v>7</v>
      </c>
      <c r="S45" s="50">
        <v>515.71</v>
      </c>
      <c r="T45" s="50" cm="1">
        <f t="array" ref="T45">TREND(S39:S44,R39:R44,R45)</f>
        <v>426.85400000000004</v>
      </c>
      <c r="U45" s="50">
        <f t="shared" si="2"/>
        <v>88.855999999999995</v>
      </c>
      <c r="V45" s="51">
        <f t="shared" si="3"/>
        <v>0.1722983847511198</v>
      </c>
      <c r="W45" s="50"/>
      <c r="X45" s="50"/>
      <c r="Y45" s="50"/>
      <c r="Z45" s="50"/>
      <c r="AA45" s="50"/>
    </row>
    <row r="46" spans="7:27" ht="15.75" thickBot="1" x14ac:dyDescent="0.3">
      <c r="G46" s="13" t="s">
        <v>87</v>
      </c>
      <c r="H46" s="13" t="s">
        <v>74</v>
      </c>
      <c r="I46" s="13">
        <v>9</v>
      </c>
      <c r="J46" s="18">
        <v>1</v>
      </c>
      <c r="Q46" s="50" t="s">
        <v>86</v>
      </c>
      <c r="R46" s="50">
        <v>8</v>
      </c>
      <c r="S46" s="50">
        <v>484.05</v>
      </c>
      <c r="T46" s="50" cm="1">
        <f t="array" ref="T46">TREND(S39:S45,R39:R45,R46)</f>
        <v>476.39285714285717</v>
      </c>
      <c r="U46" s="50">
        <f t="shared" si="2"/>
        <v>7.6571428571428442</v>
      </c>
      <c r="V46" s="51">
        <f t="shared" si="3"/>
        <v>1.5818908908465747E-2</v>
      </c>
      <c r="W46" s="50"/>
      <c r="X46" s="50"/>
      <c r="Y46" s="50"/>
      <c r="Z46" s="50"/>
      <c r="AA46" s="50"/>
    </row>
    <row r="47" spans="7:27" x14ac:dyDescent="0.25">
      <c r="G47" s="17"/>
      <c r="H47" s="16"/>
      <c r="Q47" s="50" t="s">
        <v>85</v>
      </c>
      <c r="R47" s="50">
        <v>9</v>
      </c>
      <c r="S47" s="50">
        <v>437.26</v>
      </c>
      <c r="T47" s="50" cm="1">
        <f t="array" ref="T47">TREND(S39:S46,R39:R46,R47)</f>
        <v>488.50571428571436</v>
      </c>
      <c r="U47" s="50">
        <f t="shared" si="2"/>
        <v>-51.245714285714371</v>
      </c>
      <c r="V47" s="51">
        <f t="shared" si="3"/>
        <v>0.11719735234348985</v>
      </c>
      <c r="W47" s="50"/>
      <c r="X47" s="50"/>
      <c r="Y47" s="50"/>
      <c r="Z47" s="50"/>
      <c r="AA47" s="50"/>
    </row>
    <row r="48" spans="7:27" x14ac:dyDescent="0.25">
      <c r="Q48" s="50" t="s">
        <v>84</v>
      </c>
      <c r="R48" s="50">
        <v>10</v>
      </c>
      <c r="S48" s="50">
        <v>541.4</v>
      </c>
      <c r="T48" s="50" cm="1">
        <f t="array" ref="T48">TREND(S39:S47,R39:R47,R48)</f>
        <v>474.65222222222229</v>
      </c>
      <c r="U48" s="50">
        <f t="shared" si="2"/>
        <v>66.747777777777685</v>
      </c>
      <c r="V48" s="51">
        <f t="shared" si="3"/>
        <v>0.12328736198333522</v>
      </c>
      <c r="W48" s="50"/>
      <c r="X48" s="50"/>
      <c r="Y48" s="50"/>
      <c r="Z48" s="50"/>
      <c r="AA48" s="50"/>
    </row>
    <row r="49" spans="1:27" x14ac:dyDescent="0.25">
      <c r="Q49" s="50" t="s">
        <v>83</v>
      </c>
      <c r="R49" s="50">
        <v>11</v>
      </c>
      <c r="S49" s="50"/>
      <c r="T49" s="50" cm="1">
        <f t="array" ref="T49:T50">TREND(S39:S48,R39:R48,R49:R50)</f>
        <v>506.85733333333337</v>
      </c>
      <c r="U49" s="50"/>
      <c r="V49" s="50"/>
      <c r="W49" s="50"/>
      <c r="X49" s="50"/>
      <c r="Y49" s="50"/>
      <c r="Z49" s="50"/>
      <c r="AA49" s="50"/>
    </row>
    <row r="50" spans="1:27" x14ac:dyDescent="0.25">
      <c r="A50" t="s">
        <v>82</v>
      </c>
      <c r="Q50" s="50" t="s">
        <v>81</v>
      </c>
      <c r="R50" s="50">
        <v>12</v>
      </c>
      <c r="S50" s="50"/>
      <c r="T50" s="50">
        <v>516.00412121212116</v>
      </c>
      <c r="U50" s="50"/>
      <c r="V50" s="50"/>
      <c r="W50" s="50"/>
      <c r="X50" s="50"/>
      <c r="Y50" s="50"/>
      <c r="Z50" s="50"/>
      <c r="AA50" s="50"/>
    </row>
    <row r="51" spans="1:27" x14ac:dyDescent="0.25">
      <c r="A51" t="s">
        <v>80</v>
      </c>
      <c r="E51" t="s">
        <v>79</v>
      </c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x14ac:dyDescent="0.25">
      <c r="A52" s="12">
        <f t="shared" ref="A52:A61" si="4">E2</f>
        <v>3.1125000000000003</v>
      </c>
      <c r="E52" t="s">
        <v>78</v>
      </c>
      <c r="G52" s="15">
        <f>AVERAGE(A52:A61)</f>
        <v>3.0541719360009565</v>
      </c>
      <c r="Q52" s="50" t="s">
        <v>344</v>
      </c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x14ac:dyDescent="0.25">
      <c r="A53" s="12">
        <f t="shared" si="4"/>
        <v>3.5563309352517987</v>
      </c>
      <c r="E53" t="s">
        <v>77</v>
      </c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x14ac:dyDescent="0.25">
      <c r="A54" s="12">
        <f t="shared" si="4"/>
        <v>2.9757746478873242</v>
      </c>
      <c r="E54" t="s">
        <v>76</v>
      </c>
      <c r="G54" s="15">
        <f>_xlfn.STDEV.S(A52:A61)</f>
        <v>0.32921332104332973</v>
      </c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x14ac:dyDescent="0.25">
      <c r="A55" s="12">
        <f t="shared" si="4"/>
        <v>2.3953793103448273</v>
      </c>
      <c r="E55" t="s">
        <v>75</v>
      </c>
    </row>
    <row r="56" spans="1:27" x14ac:dyDescent="0.25">
      <c r="A56" s="12">
        <f t="shared" si="4"/>
        <v>2.9268243243243246</v>
      </c>
    </row>
    <row r="57" spans="1:27" ht="15.75" thickBot="1" x14ac:dyDescent="0.3">
      <c r="A57" s="12">
        <f t="shared" si="4"/>
        <v>3.0886754966887415</v>
      </c>
    </row>
    <row r="58" spans="1:27" x14ac:dyDescent="0.25">
      <c r="A58" s="12">
        <f t="shared" si="4"/>
        <v>3.3487662337662338</v>
      </c>
      <c r="Z58" s="14" t="s">
        <v>26</v>
      </c>
      <c r="AA58" s="14" t="s">
        <v>27</v>
      </c>
    </row>
    <row r="59" spans="1:27" x14ac:dyDescent="0.25">
      <c r="A59" s="12">
        <f t="shared" si="4"/>
        <v>3.0831210191082805</v>
      </c>
      <c r="Z59">
        <v>-142.7999999999999</v>
      </c>
      <c r="AA59">
        <v>1</v>
      </c>
    </row>
    <row r="60" spans="1:27" x14ac:dyDescent="0.25">
      <c r="A60" s="12">
        <f t="shared" si="4"/>
        <v>2.7328749999999999</v>
      </c>
      <c r="Z60">
        <v>-65.581333333333262</v>
      </c>
      <c r="AA60">
        <v>1</v>
      </c>
    </row>
    <row r="61" spans="1:27" x14ac:dyDescent="0.25">
      <c r="A61" s="12">
        <f t="shared" si="4"/>
        <v>3.3214723926380367</v>
      </c>
      <c r="Z61">
        <v>11.637333333333373</v>
      </c>
      <c r="AA61">
        <v>2</v>
      </c>
    </row>
    <row r="62" spans="1:27" ht="15.75" thickBot="1" x14ac:dyDescent="0.3">
      <c r="A62" s="12"/>
      <c r="Z62" s="13" t="s">
        <v>74</v>
      </c>
      <c r="AA62" s="13">
        <v>5</v>
      </c>
    </row>
    <row r="63" spans="1:27" x14ac:dyDescent="0.25">
      <c r="A63" s="12"/>
    </row>
  </sheetData>
  <dataConsolidate link="1"/>
  <mergeCells count="8">
    <mergeCell ref="H12:I12"/>
    <mergeCell ref="G41:I41"/>
    <mergeCell ref="T18:V18"/>
    <mergeCell ref="B12:D12"/>
    <mergeCell ref="X21:Y21"/>
    <mergeCell ref="X22:Y22"/>
    <mergeCell ref="X24:Y24"/>
    <mergeCell ref="Y38:Z38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0B15-9653-4680-AF3B-5C0F6A2EF1FD}">
  <dimension ref="A1:Y52"/>
  <sheetViews>
    <sheetView zoomScale="70" zoomScaleNormal="70" workbookViewId="0">
      <selection activeCell="U29" sqref="U29"/>
    </sheetView>
  </sheetViews>
  <sheetFormatPr baseColWidth="10" defaultRowHeight="15" x14ac:dyDescent="0.25"/>
  <cols>
    <col min="8" max="8" width="14.28515625" bestFit="1" customWidth="1"/>
    <col min="9" max="9" width="21.7109375" bestFit="1" customWidth="1"/>
    <col min="10" max="10" width="16.85546875" customWidth="1"/>
  </cols>
  <sheetData>
    <row r="1" spans="1:17" ht="45" x14ac:dyDescent="0.25">
      <c r="B1" s="25" t="s">
        <v>372</v>
      </c>
      <c r="C1" s="25" t="s">
        <v>373</v>
      </c>
      <c r="D1" s="25" t="s">
        <v>374</v>
      </c>
      <c r="E1" s="25" t="s">
        <v>375</v>
      </c>
      <c r="F1" s="25" t="s">
        <v>376</v>
      </c>
    </row>
    <row r="2" spans="1:17" x14ac:dyDescent="0.25">
      <c r="A2">
        <v>1</v>
      </c>
      <c r="B2" t="s">
        <v>369</v>
      </c>
      <c r="C2">
        <v>1</v>
      </c>
      <c r="D2">
        <v>1</v>
      </c>
      <c r="E2">
        <v>28</v>
      </c>
      <c r="F2">
        <v>28</v>
      </c>
    </row>
    <row r="3" spans="1:17" x14ac:dyDescent="0.25">
      <c r="A3">
        <v>2</v>
      </c>
      <c r="B3" t="s">
        <v>370</v>
      </c>
      <c r="C3">
        <v>2</v>
      </c>
      <c r="D3">
        <v>2</v>
      </c>
      <c r="E3">
        <v>24</v>
      </c>
      <c r="F3">
        <v>48</v>
      </c>
    </row>
    <row r="4" spans="1:17" x14ac:dyDescent="0.25">
      <c r="A4">
        <v>3</v>
      </c>
      <c r="B4" t="s">
        <v>370</v>
      </c>
      <c r="C4">
        <v>3</v>
      </c>
      <c r="D4">
        <v>3</v>
      </c>
      <c r="E4">
        <v>21</v>
      </c>
      <c r="F4">
        <v>63</v>
      </c>
    </row>
    <row r="5" spans="1:17" x14ac:dyDescent="0.25">
      <c r="A5">
        <v>4</v>
      </c>
      <c r="B5" t="s">
        <v>369</v>
      </c>
      <c r="C5">
        <v>1</v>
      </c>
      <c r="D5">
        <v>1</v>
      </c>
      <c r="E5">
        <v>23</v>
      </c>
      <c r="F5">
        <v>23</v>
      </c>
    </row>
    <row r="6" spans="1:17" x14ac:dyDescent="0.25">
      <c r="A6">
        <v>5</v>
      </c>
      <c r="B6" t="s">
        <v>371</v>
      </c>
      <c r="C6" s="44"/>
      <c r="D6">
        <v>1</v>
      </c>
      <c r="E6">
        <v>26</v>
      </c>
      <c r="F6">
        <v>26</v>
      </c>
    </row>
    <row r="7" spans="1:17" x14ac:dyDescent="0.25">
      <c r="A7">
        <v>6</v>
      </c>
      <c r="B7" t="s">
        <v>371</v>
      </c>
      <c r="D7">
        <v>1</v>
      </c>
      <c r="E7">
        <v>22</v>
      </c>
      <c r="F7">
        <v>22</v>
      </c>
    </row>
    <row r="8" spans="1:17" x14ac:dyDescent="0.25">
      <c r="A8">
        <v>7</v>
      </c>
      <c r="B8" t="s">
        <v>370</v>
      </c>
      <c r="C8">
        <v>3</v>
      </c>
      <c r="D8">
        <v>3</v>
      </c>
      <c r="E8">
        <v>23</v>
      </c>
      <c r="F8">
        <v>69</v>
      </c>
      <c r="H8" t="s">
        <v>377</v>
      </c>
      <c r="Q8" t="s">
        <v>395</v>
      </c>
    </row>
    <row r="9" spans="1:17" x14ac:dyDescent="0.25">
      <c r="A9">
        <v>8</v>
      </c>
      <c r="B9" t="s">
        <v>369</v>
      </c>
      <c r="C9">
        <v>1</v>
      </c>
      <c r="D9">
        <v>1</v>
      </c>
      <c r="E9">
        <v>29</v>
      </c>
      <c r="F9">
        <v>29</v>
      </c>
      <c r="H9" s="53" t="s">
        <v>372</v>
      </c>
      <c r="I9" t="s">
        <v>27</v>
      </c>
      <c r="J9" s="54" t="s">
        <v>201</v>
      </c>
      <c r="Q9" t="s">
        <v>396</v>
      </c>
    </row>
    <row r="10" spans="1:17" x14ac:dyDescent="0.25">
      <c r="A10">
        <v>9</v>
      </c>
      <c r="B10" t="s">
        <v>369</v>
      </c>
      <c r="C10">
        <v>1</v>
      </c>
      <c r="D10">
        <v>1</v>
      </c>
      <c r="E10">
        <v>24</v>
      </c>
      <c r="F10">
        <v>24</v>
      </c>
      <c r="H10" t="s">
        <v>369</v>
      </c>
      <c r="I10" s="43">
        <v>5</v>
      </c>
      <c r="J10" s="3">
        <f>5/30</f>
        <v>0.16666666666666666</v>
      </c>
    </row>
    <row r="11" spans="1:17" x14ac:dyDescent="0.25">
      <c r="A11">
        <v>10</v>
      </c>
      <c r="B11" t="s">
        <v>371</v>
      </c>
      <c r="D11">
        <v>1</v>
      </c>
      <c r="E11">
        <v>24</v>
      </c>
      <c r="F11">
        <v>24</v>
      </c>
      <c r="H11" t="s">
        <v>371</v>
      </c>
      <c r="I11" s="43">
        <v>10</v>
      </c>
      <c r="J11" s="3">
        <f>10/30</f>
        <v>0.33333333333333331</v>
      </c>
    </row>
    <row r="12" spans="1:17" x14ac:dyDescent="0.25">
      <c r="A12">
        <v>11</v>
      </c>
      <c r="B12" t="s">
        <v>370</v>
      </c>
      <c r="C12">
        <v>2</v>
      </c>
      <c r="D12">
        <v>2</v>
      </c>
      <c r="E12">
        <v>26</v>
      </c>
      <c r="F12">
        <v>52</v>
      </c>
      <c r="H12" t="s">
        <v>370</v>
      </c>
      <c r="I12" s="43">
        <v>15</v>
      </c>
      <c r="J12" s="3">
        <f>15/30</f>
        <v>0.5</v>
      </c>
    </row>
    <row r="13" spans="1:17" x14ac:dyDescent="0.25">
      <c r="A13">
        <v>12</v>
      </c>
      <c r="B13" t="s">
        <v>370</v>
      </c>
      <c r="C13">
        <v>3</v>
      </c>
      <c r="D13">
        <v>3</v>
      </c>
      <c r="E13">
        <v>22</v>
      </c>
      <c r="F13">
        <v>66</v>
      </c>
      <c r="H13" t="s">
        <v>239</v>
      </c>
      <c r="I13">
        <f>SUM(I10:I12)</f>
        <v>30</v>
      </c>
    </row>
    <row r="14" spans="1:17" x14ac:dyDescent="0.25">
      <c r="A14">
        <v>13</v>
      </c>
      <c r="B14" t="s">
        <v>370</v>
      </c>
      <c r="C14">
        <v>1</v>
      </c>
      <c r="D14">
        <v>1</v>
      </c>
      <c r="E14">
        <v>23</v>
      </c>
      <c r="F14">
        <v>23</v>
      </c>
    </row>
    <row r="15" spans="1:17" x14ac:dyDescent="0.25">
      <c r="A15">
        <v>14</v>
      </c>
      <c r="B15" t="s">
        <v>370</v>
      </c>
      <c r="C15">
        <v>3</v>
      </c>
      <c r="D15">
        <v>3</v>
      </c>
      <c r="E15">
        <v>21</v>
      </c>
      <c r="F15">
        <v>63</v>
      </c>
      <c r="H15" t="s">
        <v>378</v>
      </c>
    </row>
    <row r="16" spans="1:17" x14ac:dyDescent="0.25">
      <c r="A16">
        <v>15</v>
      </c>
      <c r="B16" t="s">
        <v>371</v>
      </c>
      <c r="D16">
        <v>1</v>
      </c>
      <c r="E16">
        <v>20</v>
      </c>
      <c r="F16">
        <v>20</v>
      </c>
      <c r="H16" t="s">
        <v>379</v>
      </c>
    </row>
    <row r="17" spans="1:25" x14ac:dyDescent="0.25">
      <c r="A17">
        <v>16</v>
      </c>
      <c r="B17" t="s">
        <v>370</v>
      </c>
      <c r="C17">
        <v>2</v>
      </c>
      <c r="D17">
        <v>2</v>
      </c>
      <c r="E17">
        <v>29</v>
      </c>
      <c r="F17">
        <v>58</v>
      </c>
      <c r="H17" t="s">
        <v>380</v>
      </c>
    </row>
    <row r="18" spans="1:25" x14ac:dyDescent="0.25">
      <c r="A18">
        <v>17</v>
      </c>
      <c r="B18" t="s">
        <v>369</v>
      </c>
      <c r="C18">
        <v>1</v>
      </c>
      <c r="D18">
        <v>1</v>
      </c>
      <c r="E18">
        <v>30</v>
      </c>
      <c r="F18">
        <v>30</v>
      </c>
      <c r="H18" t="s">
        <v>381</v>
      </c>
    </row>
    <row r="19" spans="1:25" x14ac:dyDescent="0.25">
      <c r="A19">
        <v>18</v>
      </c>
      <c r="B19" t="s">
        <v>371</v>
      </c>
      <c r="D19">
        <v>1</v>
      </c>
      <c r="E19">
        <v>27</v>
      </c>
      <c r="F19">
        <v>27</v>
      </c>
      <c r="H19" t="s">
        <v>382</v>
      </c>
    </row>
    <row r="20" spans="1:25" x14ac:dyDescent="0.25">
      <c r="A20">
        <v>19</v>
      </c>
      <c r="B20" t="s">
        <v>371</v>
      </c>
      <c r="D20">
        <v>1</v>
      </c>
      <c r="E20">
        <v>29</v>
      </c>
      <c r="F20">
        <v>29</v>
      </c>
      <c r="H20" t="s">
        <v>383</v>
      </c>
    </row>
    <row r="21" spans="1:25" x14ac:dyDescent="0.25">
      <c r="A21">
        <v>20</v>
      </c>
      <c r="B21" t="s">
        <v>371</v>
      </c>
      <c r="D21">
        <v>1</v>
      </c>
      <c r="E21">
        <v>29</v>
      </c>
      <c r="F21">
        <v>29</v>
      </c>
      <c r="H21" t="s">
        <v>384</v>
      </c>
    </row>
    <row r="22" spans="1:25" x14ac:dyDescent="0.25">
      <c r="A22">
        <v>21</v>
      </c>
      <c r="B22" t="s">
        <v>370</v>
      </c>
      <c r="C22">
        <v>1</v>
      </c>
      <c r="D22">
        <v>1</v>
      </c>
      <c r="E22">
        <v>25</v>
      </c>
      <c r="F22">
        <v>25</v>
      </c>
    </row>
    <row r="23" spans="1:25" x14ac:dyDescent="0.25">
      <c r="A23">
        <v>22</v>
      </c>
      <c r="B23" t="s">
        <v>370</v>
      </c>
      <c r="C23">
        <v>2</v>
      </c>
      <c r="D23">
        <v>2</v>
      </c>
      <c r="E23">
        <v>27</v>
      </c>
      <c r="F23">
        <v>54</v>
      </c>
      <c r="H23" t="s">
        <v>385</v>
      </c>
      <c r="I23" t="s">
        <v>372</v>
      </c>
      <c r="J23" t="s">
        <v>387</v>
      </c>
      <c r="K23" t="s">
        <v>386</v>
      </c>
    </row>
    <row r="24" spans="1:25" x14ac:dyDescent="0.25">
      <c r="A24">
        <v>23</v>
      </c>
      <c r="B24" t="s">
        <v>370</v>
      </c>
      <c r="C24">
        <v>2</v>
      </c>
      <c r="D24">
        <v>2</v>
      </c>
      <c r="E24">
        <v>22</v>
      </c>
      <c r="F24">
        <v>44</v>
      </c>
      <c r="I24" t="s">
        <v>388</v>
      </c>
      <c r="J24" t="s">
        <v>391</v>
      </c>
      <c r="K24" t="s">
        <v>391</v>
      </c>
    </row>
    <row r="25" spans="1:25" x14ac:dyDescent="0.25">
      <c r="A25">
        <v>24</v>
      </c>
      <c r="B25" t="s">
        <v>370</v>
      </c>
      <c r="C25">
        <v>2</v>
      </c>
      <c r="D25">
        <v>2</v>
      </c>
      <c r="E25">
        <v>29</v>
      </c>
      <c r="F25">
        <v>58</v>
      </c>
      <c r="I25" t="s">
        <v>389</v>
      </c>
      <c r="J25">
        <v>1</v>
      </c>
      <c r="K25">
        <v>1</v>
      </c>
    </row>
    <row r="26" spans="1:25" x14ac:dyDescent="0.25">
      <c r="A26">
        <v>25</v>
      </c>
      <c r="B26" t="s">
        <v>370</v>
      </c>
      <c r="C26">
        <v>3</v>
      </c>
      <c r="D26">
        <v>3</v>
      </c>
      <c r="E26">
        <v>22</v>
      </c>
      <c r="F26">
        <v>66</v>
      </c>
      <c r="I26" t="s">
        <v>390</v>
      </c>
      <c r="J26">
        <v>0</v>
      </c>
      <c r="K26">
        <v>1</v>
      </c>
    </row>
    <row r="27" spans="1:25" x14ac:dyDescent="0.25">
      <c r="A27">
        <v>26</v>
      </c>
      <c r="B27" t="s">
        <v>370</v>
      </c>
      <c r="C27">
        <v>2</v>
      </c>
      <c r="D27">
        <v>2</v>
      </c>
      <c r="E27">
        <v>28</v>
      </c>
      <c r="F27">
        <v>56</v>
      </c>
    </row>
    <row r="28" spans="1:25" x14ac:dyDescent="0.25">
      <c r="A28">
        <v>27</v>
      </c>
      <c r="B28" t="s">
        <v>371</v>
      </c>
      <c r="D28">
        <v>1</v>
      </c>
      <c r="E28">
        <v>27</v>
      </c>
      <c r="F28">
        <v>27</v>
      </c>
    </row>
    <row r="29" spans="1:25" x14ac:dyDescent="0.25">
      <c r="A29">
        <v>28</v>
      </c>
      <c r="B29" t="s">
        <v>371</v>
      </c>
      <c r="D29">
        <v>1</v>
      </c>
      <c r="E29">
        <v>27</v>
      </c>
      <c r="F29">
        <v>27</v>
      </c>
    </row>
    <row r="30" spans="1:25" x14ac:dyDescent="0.25">
      <c r="A30">
        <v>29</v>
      </c>
      <c r="B30" t="s">
        <v>371</v>
      </c>
      <c r="D30">
        <v>1</v>
      </c>
      <c r="E30">
        <v>24</v>
      </c>
      <c r="F30">
        <v>24</v>
      </c>
    </row>
    <row r="31" spans="1:25" x14ac:dyDescent="0.25">
      <c r="A31">
        <v>30</v>
      </c>
      <c r="B31" t="s">
        <v>370</v>
      </c>
      <c r="C31">
        <v>2</v>
      </c>
      <c r="D31">
        <v>2</v>
      </c>
      <c r="E31">
        <v>21</v>
      </c>
      <c r="F31">
        <v>42</v>
      </c>
    </row>
    <row r="32" spans="1:25" x14ac:dyDescent="0.25">
      <c r="Y32" t="s">
        <v>397</v>
      </c>
    </row>
    <row r="34" spans="1:8" x14ac:dyDescent="0.25">
      <c r="G34" s="58" t="s">
        <v>29</v>
      </c>
      <c r="H34" s="58"/>
    </row>
    <row r="35" spans="1:8" x14ac:dyDescent="0.25">
      <c r="G35" s="59" t="s">
        <v>392</v>
      </c>
      <c r="H35" s="59"/>
    </row>
    <row r="37" spans="1:8" x14ac:dyDescent="0.25">
      <c r="A37" t="s">
        <v>393</v>
      </c>
      <c r="B37" t="s">
        <v>394</v>
      </c>
    </row>
    <row r="38" spans="1:8" x14ac:dyDescent="0.25">
      <c r="A38">
        <v>2</v>
      </c>
      <c r="B38">
        <v>2</v>
      </c>
    </row>
    <row r="39" spans="1:8" x14ac:dyDescent="0.25">
      <c r="A39">
        <v>3</v>
      </c>
      <c r="B39">
        <v>3</v>
      </c>
    </row>
    <row r="40" spans="1:8" x14ac:dyDescent="0.25">
      <c r="A40">
        <v>3</v>
      </c>
      <c r="B40">
        <v>3</v>
      </c>
    </row>
    <row r="41" spans="1:8" x14ac:dyDescent="0.25">
      <c r="A41">
        <v>2</v>
      </c>
      <c r="B41">
        <v>2</v>
      </c>
    </row>
    <row r="42" spans="1:8" x14ac:dyDescent="0.25">
      <c r="A42">
        <v>3</v>
      </c>
      <c r="B42">
        <v>3</v>
      </c>
    </row>
    <row r="43" spans="1:8" x14ac:dyDescent="0.25">
      <c r="A43">
        <v>1</v>
      </c>
      <c r="B43">
        <v>1</v>
      </c>
    </row>
    <row r="44" spans="1:8" x14ac:dyDescent="0.25">
      <c r="A44">
        <v>3</v>
      </c>
      <c r="B44">
        <v>3</v>
      </c>
    </row>
    <row r="45" spans="1:8" x14ac:dyDescent="0.25">
      <c r="A45">
        <v>2</v>
      </c>
      <c r="B45">
        <v>2</v>
      </c>
    </row>
    <row r="46" spans="1:8" x14ac:dyDescent="0.25">
      <c r="A46">
        <v>1</v>
      </c>
      <c r="B46">
        <v>1</v>
      </c>
    </row>
    <row r="47" spans="1:8" x14ac:dyDescent="0.25">
      <c r="A47">
        <v>2</v>
      </c>
      <c r="B47">
        <v>2</v>
      </c>
    </row>
    <row r="48" spans="1:8" x14ac:dyDescent="0.25">
      <c r="A48">
        <v>2</v>
      </c>
      <c r="B48">
        <v>2</v>
      </c>
    </row>
    <row r="49" spans="1:2" x14ac:dyDescent="0.25">
      <c r="A49">
        <v>2</v>
      </c>
      <c r="B49">
        <v>2</v>
      </c>
    </row>
    <row r="50" spans="1:2" x14ac:dyDescent="0.25">
      <c r="A50">
        <v>3</v>
      </c>
      <c r="B50">
        <v>3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2</v>
      </c>
    </row>
  </sheetData>
  <autoFilter ref="A1:F31" xr:uid="{CEF8B666-48BA-4955-9B55-32BBD6FFECC2}"/>
  <mergeCells count="2">
    <mergeCell ref="G34:H34"/>
    <mergeCell ref="G35:H35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1.1. GREATSTARS</vt:lpstr>
      <vt:lpstr>1.2. AEROVIP</vt:lpstr>
      <vt:lpstr>1.3. PLANEAMIENTO FABRIL</vt:lpstr>
      <vt:lpstr>1.6. CUBA'S SUNSCREEN</vt:lpstr>
      <vt:lpstr>1.7. COOLING S.A.</vt:lpstr>
      <vt:lpstr>1.8. elCORREO</vt:lpstr>
      <vt:lpstr>1.10. SERVERPLACE</vt:lpstr>
      <vt:lpstr>1.11. ENERGIZAR S.A.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2015-06-05T18:19:34Z</dcterms:created>
  <dcterms:modified xsi:type="dcterms:W3CDTF">2019-09-09T21:13:13Z</dcterms:modified>
</cp:coreProperties>
</file>